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<sst xmlns="http://schemas.openxmlformats.org/spreadsheetml/2006/main" uniqueCount="1710">
  <si>
    <t>id</t>
  </si>
  <si>
    <t>created_at</t>
  </si>
  <si>
    <t>fav</t>
  </si>
  <si>
    <t>rt</t>
  </si>
  <si>
    <t>text</t>
  </si>
  <si>
    <t>media1</t>
  </si>
  <si>
    <t>media2</t>
  </si>
  <si>
    <t>media3</t>
  </si>
  <si>
    <t>media4</t>
  </si>
  <si>
    <t>compound</t>
  </si>
  <si>
    <t>neg</t>
  </si>
  <si>
    <t>neu</t>
  </si>
  <si>
    <t>pos</t>
  </si>
  <si>
    <t>RT @Sticknstones4: @KMOV When are these witch hunts going to end ? 
Jay Barnes never sued his buddy Scott Faughn 
for not complying to his…</t>
  </si>
  <si>
    <t>@ws_missouri @blackwidow07 @Sticknstones4 @SKOLBLUE1 @Mizzourah_Mom @Avenge_mypeople @HennessySTL @EdBigCon @kmoxnews @stltoday @RiverfrontTimes @ChrisHayesTV @tonymess (5) what you’ll find Will, is that many many many #moleg will have to recuse themselves in the #SpecialSession.  The numbers, I predict, will be staggering.  #mogov  you should also start asking the legislators to start voluntarily disclosing it to you. https://t.co/qqNBaCUDn1</t>
  </si>
  <si>
    <t>@ws_missouri @blackwidow07 @Sticknstones4 @SKOLBLUE1 @Mizzourah_Mom @Avenge_mypeople @HennessySTL @EdBigCon @kmoxnews @stltoday @RiverfrontTimes @ChrisHayesTV @tonymess (4) you and he news leader should publish a list of every legislator who received either LIHTC pac money or other tax credit pac money, and publish the amounts to each rep and senator for past two cycles.  If you want help w research, we will help you. But you’d have to commit. https://t.co/w06gia0Kie</t>
  </si>
  <si>
    <t>@ws_missouri @blackwidow07 @Sticknstones4 @SKOLBLUE1 @Mizzourah_Mom @Avenge_mypeople @HennessySTL @EdBigCon @kmoxnews @stltoday @RiverfrontTimes @ChrisHayesTV @tonymess (3) THAT’S why we’re so pissed off.  A huge # of #moleg are conflicted out from this #SPECIALSESSION bc their major donors are mad as hell not only about the $150 annually that @EricGreitens cut, but their mad and scared he might dig into the remaining $400M annual that remains. https://t.co/UHaAXkZXVq</t>
  </si>
  <si>
    <t>@ws_missouri @blackwidow07 @Sticknstones4 @SKOLBLUE1 @Mizzourah_Mom @Avenge_mypeople @HennessySTL @EdBigCon @kmoxnews @stltoday @RiverfrontTimes @ChrisHayesTV @tonymess (2) there’s also lists campaign donations to each candidate over every Q for past several years.  Parsons got &amp;gt;$10k last yr &amp;amp; maybe more from LIHTC donors. Haahr got ~ 20% (!) of money in 2017 from LIHTC pacs. &amp;amp; he took in nearly $200k total. #moleg is swimming in these donations https://t.co/FTeIoWJCIY</t>
  </si>
  <si>
    <t>@ws_missouri @blackwidow07 @Sticknstones4 @SKOLBLUE1 @Mizzourah_Mom @Avenge_mypeople @HennessySTL @EdBigCon @kmoxnews @stltoday @RiverfrontTimes @ChrisHayesTV @tonymess (1) Will: I actually appreciate that you’re doing that.  But you’re kind of spending time describing the water conditions as a man gets pulled under by a crocodile.  At this juncture you don’t need to understand the business model. There’s a list of LIHTC recipients. #moleg</t>
  </si>
  <si>
    <t>@ws_missouri Indeed! You and your paper (more of a rag, though, let’s be honest) have numerous anti-fans.  Were you surprised or did you have a larger point? #WeakSauceWill https://t.co/B74mcYPLMk</t>
  </si>
  <si>
    <t>RT @SL_OKC: #1995
I used Shazam to discover Since U Been Gone by Kelly Clarkson. https://t.co/0xOmHICFwC</t>
  </si>
  <si>
    <t>RT @blackwidow07: @ResignNowKim @joelcurrier @stlcao @ChristineDByers @HennessySTL @RiverfrontTimes @KMOV @SKOLBLUE1 @EdBigCon @MariaChappe…</t>
  </si>
  <si>
    <t>RT @ResignNowKim: @Mizzourah_Mom @ws_missouri @Avenge_mypeople @HennessySTL @EdBigCon @kmoxnews @stltoday @blackwidow07 @SKOLBLUE1 @Stickns…</t>
  </si>
  <si>
    <t>RT @ResignNowKim: Missouri House of Representatives: Urgent! Stop the Coup Against Gov. Eric Greitens - Sign the Petition! https://t.co/DJk…</t>
  </si>
  <si>
    <t>RT @ResignNowKim: @joelcurrier @stlcao @ChristineDByers Where the hell did the extra $400,000 the BOA gave #kimshady go? @stlcao ????!! #WH…</t>
  </si>
  <si>
    <t>RT @ResignNowKim: @ChrisHayesTV Chris: start demanding #moleg full disclosure of #TAXCREDITQUEEN campaign donations . They must avoid any c…</t>
  </si>
  <si>
    <t>RT @ResignNowKim: @ws_missouri Will: you should start asking all #moleg if they’re going to voluntarily and transparently disclose all of t…</t>
  </si>
  <si>
    <t>RT @ResignNowKim: @MSTLGA  https://t.co/oX5l8lFAen</t>
  </si>
  <si>
    <t>RT @ResignNowKim: @HennessySTL #moleg needs to disclose their tax credit queen donations. Now! #mogov https://t.co/OKgCj2e16I</t>
  </si>
  <si>
    <t>RT @ResignNowKim: @ChrisHayesTV @FOX2now Chris:  you should demand that ALL #MOLEG FULLY AND TRANSPARENTLY DISCLOSE ALL #TAXCREDITQUEEN DON…</t>
  </si>
  <si>
    <t>RT @ResignNowKim: @HennessySTL @jaybarnes5 LOVES HIM SOME KENTUCKY FRIED!!!!!! https://t.co/z0BD7yr7t9</t>
  </si>
  <si>
    <t>RT @ResignNowKim: So @mikeparson got a lot of #TAXCREDITQUEEN money.  Reports say he plans to reinstate LIHTC tax credits (you know, the on…</t>
  </si>
  <si>
    <t>RT @ResignNowKim: @farmerfar55 @AP4Liberty @ShaneTHazel @kelliwardaz @JoinTravisAllen @RealErinCruz Yep. Sure as hell not that backstabbing…</t>
  </si>
  <si>
    <t>RT @ResignNowKim: @AP4Liberty @AvrilMai91 @HawleyMO He wouldn’t have- he’s still at the gym.</t>
  </si>
  <si>
    <t>RT @ResignNowKim: BRING YOUR ROD, BRING YOUR DOG, BRING YOUR GIRLFRIEND TOO! WE’RE COMIN TO JC TO SET THINGS RIGHT; C’MON, WE’LL STOP THE C…</t>
  </si>
  <si>
    <t>RT @ResignNowKim: @Str8DonLemon Dunno, but his choice of undergarments has everyone whispering #parody https://t.co/RyKlPxaG7k</t>
  </si>
  <si>
    <t>RT @ResignNowKim: @ScottCharton @EricGreitens @scottfaughn @MarkReardonKMOX @KMOXPD @AP @mopns @stltoday @KMOV @kmoxnews @HennessySTL @EdBi…</t>
  </si>
  <si>
    <t>RT @ResignNowKim: @Sticknstones4 @latimes @latimes : our own journalists in this state are completely incompetent. Can you please look into…</t>
  </si>
  <si>
    <t>RT @ResignNowKim: @for_congress @Neilin1Neil @EricGreitens @RealTravisCook @YearOfZero @Sticknstones4 @KathieConway @inthejungle234 @Norasm…</t>
  </si>
  <si>
    <t>RT @ResignNowKim: @ScottCharton @JaneDueker “GOP used to be for clean government...” Yeah, then GOP got bought off by Tax Credit Queens lik…</t>
  </si>
  <si>
    <t>RT @sigi_hill: @magathemaga1 Because the impeachment committee controls the #MediaMob
Todd Richardson @Rep_TRichardson
Jay Barnes @jaybarne…</t>
  </si>
  <si>
    <t>RT @YearOfZero: Guys can you take a look at this?
@RealJamesWoods @LarrySchweikart @joelpollak @joel_capizzi @PoliticalShort @DonaldJTrump…</t>
  </si>
  <si>
    <t>RT @SKOLBLUE1: Good tidings to you #DonnybrookSTL excited for another show tonight! We have A LOT to talk about this evening don't we?</t>
  </si>
  <si>
    <t>RT @mopns: Connects the Dots: Conspiracy Against Governor Coming Into Focus Part 2 https://t.co/2IWNlGazrx</t>
  </si>
  <si>
    <t>RT @VisioDeiFromLA: Dude. He was asked directly about ms 13
Asked directly and answered.
He was speaking about ms 13. You are lying.
And…</t>
  </si>
  <si>
    <t>RT @VisioDeiFromLA: You deleted the tweet because you got caught straight up lying.
The press is the enemy of the American people.
Never…</t>
  </si>
  <si>
    <t>RT @SKOLBLUE1: I am asking for every follower to please sign this petition! If you don't like what is going on with #TRUMP guess what the S…</t>
  </si>
  <si>
    <t>@lindsaywise @EricGreitens Has she fully complied, Lindsay?  She provided explanation about communications with @Staceynewman about KS, or what happened to the *extra* $400,000 the board of aldermen gave her?How much she spent on Tisaby and Sullivan and #FakePhoto Case? She explained her misconduct? #moleg https://t.co/WqHEZSzaMU</t>
  </si>
  <si>
    <t>RT @CStamper_: Soros-backed prosecutor Kim Gardner tried to take down Greitens. Now the liberal media, self-interested politicians &amp;amp; schemi…</t>
  </si>
  <si>
    <t>RT @VisioDeiFromLA: Hey andrea Mitchell.
You are a flat out liar.
He was asked about Ms 13 directly before the question.
You are a lying…</t>
  </si>
  <si>
    <t>RT @JW1057: @AbbyLlorico @stlcao @CaseyNolen That is the kind of statement that every attorney dreams a judge will one day feel the need to…</t>
  </si>
  <si>
    <t>RT @philip_saulter: Missouri House of Representatives: Urgent! Stop the Coup Against Gov. Eric Greitens - Sign the Petition! https://t.co/6…</t>
  </si>
  <si>
    <t>RT @YearOfZero: 1. Fighting for The Forgotten Man
@EricGreitens gives speech at the Bio-Disel Press Connferene in #Missouri
He also calls…</t>
  </si>
  <si>
    <t>RIGHT ON BILL!!  As you say, “WE OWN THIS GOVERNMENT.”  NOT THE #TAXCREDITQUEEN MONEY MEN WHO INITIATED THIS BOGUS COUP #OCCUPYJEFFCITY READ ALL ABOUT IT HERE!!!!!  See Hennessy’s link and c’mon down!!!!!  https://t.co/NWYNJ4pnVD https://t.co/YddwOEKf7y</t>
  </si>
  <si>
    <t>RT @JW1057: @MissouriGOP 
Please sign and ask your followers to do so as well. This is baseless attack upon @GovGreitensMO  and we must fi…</t>
  </si>
  <si>
    <t>@Mizzourah_Mom @ws_missouri @Avenge_mypeople @HennessySTL @EdBigCon @kmoxnews @stltoday @blackwidow07 @SKOLBLUE1 @Sticknstones4 @RiverfrontTimes @ChrisHayesTV Also: Despite spelling, it’s actually pronounced Springfield News-Loser. Just to clarify. I help where I can.</t>
  </si>
  <si>
    <t>@Mizzourah_Mom @ws_missouri @Avenge_mypeople @HennessySTL @EdBigCon @kmoxnews @stltoday @blackwidow07 @SKOLBLUE1 @Sticknstones4 @RiverfrontTimes @ChrisHayesTV I know. Hell, the LA TIMES DOES BETTER REPORTING ON MO THAN THE CLOWNSHOE REPORTERS WHO LIVE HERE!!!!  OMG WILL!!! ITS SOOOOOOOOOO OBVIOUS!!!! FOLLOW THE %%^%#€¥¥* MONEY!!!!!! Also, @tonymess #COMPLETELYSUCKSATJOURNALISM AND #COMPLETELYSUCKSATLIFE  . Sorry, it’s obligatory 2 say https://t.co/2SDcSWGeEK</t>
  </si>
  <si>
    <t>RT @Mizzourah_Mom: @ResignNowKim @ws_missouri @Avenge_mypeople @HennessySTL @EdBigCon @kmoxnews @stltoday @blackwidow07 @SKOLBLUE1 @Stickns…</t>
  </si>
  <si>
    <t>Missouri House of Representatives: Urgent! Stop the Coup Against Gov. Eric Greitens - Sign the Petition! https://t.co/DJklXWd2xM via @Change  SIGN THE PETITION!!!! #STOPTHECOUP #OCCUPYJEFFCITY #MOLEG #MOGOV @HennessySTL @MariaChappelleN @SKOLBLUE1 @EdBigCon @Avenge_mypeople</t>
  </si>
  <si>
    <t>@joelcurrier @stlcao @ChristineDByers Where the hell did the extra $400,000 the BOA gave #kimshady go? @stlcao ????!! #WHERESTHEMONEYLEBOWSKI ? https://t.co/0QVcNNLqDB</t>
  </si>
  <si>
    <t>RT @SorosInSTL: Dont stick your nose into things, kid.
We are trying to pull of a coup!
#moleg #mogov #Greitens https://t.co/ywIf5VRN5C</t>
  </si>
  <si>
    <t>@zerohedge Kick ass.</t>
  </si>
  <si>
    <t>RT @Sticknstones4: @andybankertv @FOX2now @EricGreitens @KPLR11 Tell My Governor we got his back 💪🏼Missouri Strong</t>
  </si>
  <si>
    <t>@ChrisHayesTV Chris: start demanding #moleg full disclosure of #TAXCREDITQUEEN campaign donations . They must avoid any conflict of interest in upcoming. #SPECIALSESSION #MOGOV @EricGreitens  Also: note the clown featured in the photo below.... give you a hint. Last name is Smith.... https://t.co/zFEUkotjUw</t>
  </si>
  <si>
    <t>@ws_missouri Will: you should start asking all #moleg if they’re going to voluntarily and transparently disclose all of their #TAXCREDITQUEEN campaign donations.  If they refuse to do so, doesn’t that lead to an assumption of a conflict of interest in the upcoming #SPECIALSESSION ? #mogov https://t.co/i2P30zWObc</t>
  </si>
  <si>
    <t>@MSTLGA  https://t.co/oX5l8lFAen</t>
  </si>
  <si>
    <t>@HennessySTL #moleg needs to disclose their tax credit queen donations. Now! #mogov https://t.co/OKgCj2e16I</t>
  </si>
  <si>
    <t>RT @HennessySTL: Totally. If tax credits are good for some, they're good for all. If taxes are too high, cut them for all. Level the playin…</t>
  </si>
  <si>
    <t>RT @DavidALieb: Missouri Gov. @EricGreitens draws on Navy SEAL training to assert he won't quit amid allegations against him. @AP</t>
  </si>
  <si>
    <t>RT @ws_missouri: .@EricGreitens announced $4 million in released biofuel dollars and then pivoted to criticizing LIHTC developers. #moleg #…</t>
  </si>
  <si>
    <t>RT @jmannies: MoGov @EricGreitens  attacks low-income housing program, calling developers "ripoff artists". Implying they are to blame for…</t>
  </si>
  <si>
    <t>@jmannies @EricGreitens Are you implying they’re not?</t>
  </si>
  <si>
    <t>RT @magathemaga1: So who is the guy behind the money bags?
Jeff Smith, John Brunner — somebody else?
Funny how those pushing this coup th…</t>
  </si>
  <si>
    <t>RT @magathemaga1: Al Watkins says he got money cuz supposed 2 help with "fallout" of release. Why would anybody care if PS hurt financially…</t>
  </si>
  <si>
    <t>RT @magathemaga1: The mistake #MoLeg is making is that this is all going to die and goes away should #greitens be impeached.
You thought w…</t>
  </si>
  <si>
    <t>@ChrisHayesTV @FOX2now Chris:  you should demand that ALL #MOLEG FULLY AND TRANSPARENTLY DISCLOSE ALL #TAXCREDITQUEEN DONATIONS TO THEIR CAMPAIGNS - IF THEY DONT, IT AUTOMATICALLY SUGGESTS CONFLICT OF INTEREST VIS-À-VIS THE UPCOMING #SPECIALSESSION . @EricGreitens #mogov #OCCUPYJEFFCITY https://t.co/nees0CHtES</t>
  </si>
  <si>
    <t>@HennessySTL @jaybarnes5 LOVES HIM SOME KENTUCKY FRIED!!!!!! https://t.co/z0BD7yr7t9</t>
  </si>
  <si>
    <t>RT @HennessySTL: This is the story of Greasy Jay Barnes. As a freshman Missouri Rep, Barnes said he wanted nothing to do with the Tea Party…</t>
  </si>
  <si>
    <t>@TwitterLive Wtf?</t>
  </si>
  <si>
    <t>So @mikeparson got a lot of #TAXCREDITQUEEN money.  Reports say he plans to reinstate LIHTC tax credits (you know, the ones @EricGreitens killed) if he were to assume governorship. H/t @Sticknstones4 https://t.co/uJxPyfmS77. #MOLEG DISCLOSE YOUR TAX CREDIT CAMPAIGN DONORS NOW!!! https://t.co/pR9EJn0JD3</t>
  </si>
  <si>
    <t>@RealTravisCook @1057thePoint @jallman971 [mic drop]</t>
  </si>
  <si>
    <t>RT @Vets4AP: @ResignNowKim @AP4Liberty @AvrilMai91 @HawleyMO  https://t.co/5qv6n08R0L</t>
  </si>
  <si>
    <t>RT @AvrilMai91: @ResignNowKim @AP4Liberty @HawleyMO  https://t.co/ZyRZQ7zMkK</t>
  </si>
  <si>
    <t>@farmerfar55 @AP4Liberty @ShaneTHazel @kelliwardaz @JoinTravisAllen @RealErinCruz Yep. Sure as hell not that backstabbing bastard @HawleyMO .</t>
  </si>
  <si>
    <t>RT @farmerfar55: @ResignNowKim  #Liberty candidates need to be elected this fall to turn the nation back to sanity! Candidates like Austin…</t>
  </si>
  <si>
    <t>RT @HennessySTL: We can’t afford that much paper and glue. https://t.co/5E8pUkpECI</t>
  </si>
  <si>
    <t>RT @HennessySTL: Following the money (which isn't all that great. These slimeballs aren't as loaded as they think.) https://t.co/zxCAJw7ujq</t>
  </si>
  <si>
    <t>RT @blackwidow07: @ResignNowKim @Neilin1Neil @EricGreitens @RealTravisCook @YearOfZero @Sticknstones4 @KathieConway @inthejungle234 @Norasm…</t>
  </si>
  <si>
    <t>@AP4Liberty @AvrilMai91 @HawleyMO He wouldn’t have- he’s still at the gym.</t>
  </si>
  <si>
    <t>RT @Neilin1Neil: @ResignNowKim @blackwidow07 @EricGreitens @RealTravisCook @YearOfZero @Sticknstones4 @KathieConway @inthejungle234 @Norasm…</t>
  </si>
  <si>
    <t>RT @ResignNowKim: @blackwidow07 @TrumpChess @Neilin1Neil @EricGreitens @RealTravisCook @YearOfZero @Sticknstones4 @KathieConway @inthejungl…</t>
  </si>
  <si>
    <t>@jonesmarkh @RGreggKeller @stlcao @confide Touché!</t>
  </si>
  <si>
    <t>@blackwidow07 @Neilin1Neil @EricGreitens @RealTravisCook @YearOfZero @Sticknstones4 @KathieConway @inthejungle234 @Norasmith1000 @liberty1776son @VisioDeiFromLA @DeplorableGoldn @Boothe08887997 @JW1057 @edemery @kmoxnews @HennessySTL @EdBigCon @SKOLBLUE1 @stltoday @RiverfrontTimes @Avenge_mypeople Echoing Bill, and Jesus, “Stay awake, be ready, for we do not know the hour....”</t>
  </si>
  <si>
    <t>RT @HennessySTL: @blackwidow07 @ResignNowKim @Neilin1Neil @EricGreitens @RealTravisCook @YearOfZero @Sticknstones4 @KathieConway @inthejung…</t>
  </si>
  <si>
    <t>@jonesmarkh @RGreggKeller @stlcao Confidential.  However, for rights, please contact our attorney, Al Watkins - he only takes cash.</t>
  </si>
  <si>
    <t>@jonesmarkh @RGreggKeller @stlcao Copyright 2018, all rights reserved. 😜</t>
  </si>
  <si>
    <t>RT @ResignNowKim: @ScottCharton @EricGreitens That’s it, you greasball. DISCLOSE YOUR DONORS, NOW! OR SHUT THE HELL UP.  WHO FUNDS SCOTT CH…</t>
  </si>
  <si>
    <t>RT @HennessySTL: The Tax-Credit Lobby is Missouri's premier organized crime syndicate. Bribery, extortion, intimidation, racketeering, infl…</t>
  </si>
  <si>
    <t>BRING YOUR ROD, BRING YOUR DOG, BRING YOUR GIRLFRIEND TOO! WE’RE COMIN TO JC TO SET THINGS RIGHT; C’MON, WE’LL STOP THE COUP!!!  #MOLEG #MOGOV #GETONTHEBUS #OCCUPYJEFFCITY #FREEPARKINGONCAPITOLLAWN #CAMPERS #RVS #TRAILERS #BUSES #SEDANS #TENTCITY #PREGAMEATSCOTTFAUGHNSEXPAD https://t.co/AOnrMky8Gz</t>
  </si>
  <si>
    <t>@blackwidow07 @Neilin1Neil @EricGreitens @RealTravisCook @YearOfZero @Sticknstones4 @KathieConway @inthejungle234 @Norasmith1000 @liberty1776son @VisioDeiFromLA @DeplorableGoldn @Boothe08887997 @JW1057 @edemery @kmoxnews @HennessySTL @EdBigCon @SKOLBLUE1 @stltoday @RiverfrontTimes @Avenge_mypeople White, black- everybody loves BBQ ribs- can I get an amen?</t>
  </si>
  <si>
    <t>RT @magathemaga1: Some things to ask regarding the #GreitensTrial @MattStoneABC 
✔Who is Skyler
✔Source of Money?
✔KS/PS bank statements c…</t>
  </si>
  <si>
    <t>RT @ResignNowKim: @TrumpChess @Neilin1Neil @EricGreitens @RealTravisCook @YearOfZero @Sticknstones4 @KathieConway @inthejungle234 @Norasmit…</t>
  </si>
  <si>
    <t>RT @Sticknstones4: @ScottCharton @EricGreitens Word of caution, I’d be more worried about your scamming buddy Scott Faughn.   He seems like…</t>
  </si>
  <si>
    <t>@blackwidow07 @TrumpChess @Neilin1Neil @EricGreitens @RealTravisCook @YearOfZero @Sticknstones4 @KathieConway @inthejungle234 @Norasmith1000 @liberty1776son @VisioDeiFromLA @DeplorableGoldn @Boothe08887997 @JW1057 @edemery @jallman971 @Henryhahadavis @pahubb43 @EdBigCon @HennessySTL @RiverfrontTimes @SKOLBLUE1 @Avenge_mypeople @kmoxnews Can the blimp hold that many? Oh! You meant drop paper slips, not the lege! Oh ok.</t>
  </si>
  <si>
    <t>RT @blackwidow07: @ResignNowKim @TrumpChess @Neilin1Neil @EricGreitens @RealTravisCook @YearOfZero @Sticknstones4 @KathieConway @inthejungl…</t>
  </si>
  <si>
    <t>RT @Str8DonLemon: Did #MoneyBagsAl file Form 8300 with  IRS. It is required, as is the case here, when receiving $10k or more in cash. Fede…</t>
  </si>
  <si>
    <t>RT @CStamper_: This is the sort of crap driving the witch hunt to oust Missouri Governor Eric Greitens. No shocker that the local media nev…</t>
  </si>
  <si>
    <t>RT @KenPrier: @Str8DonLemon @magathemaga1 Ooooo, great call</t>
  </si>
  <si>
    <t>@Str8DonLemon Dunno, but his choice of undergarments has everyone whispering #parody https://t.co/RyKlPxaG7k</t>
  </si>
  <si>
    <t>RT @Str8DonLemon: 2 weeks have passed since Scott Faughn was discovered dropping off money to Al Watkins for this COUP.
Yes paying for the…</t>
  </si>
  <si>
    <t>RT @Sticknstones4: HEY #MOLEG  LOOK AT HOW SLEEZY SCAMMING SCOTT FAUGHN IS !  LA TIMES IS HOT ! THEYRE FOLLOWING THE MONEY 💰 STERLING BANK…</t>
  </si>
  <si>
    <t>@blackwidow07 @ScottCharton @EricGreitens @scottfaughn @MarkReardonKMOX @KMOXPD @AP @mopns @stltoday @KMOV @kmoxnews @HennessySTL @EdBigCon @RiverfrontTimes @SKOLBLUE1 @RealTravisCook @Avenge_mypeople @Sticknstones4 Ba-dum-dum. ;-)</t>
  </si>
  <si>
    <t>@jonesmarkh @RGreggKeller Fuq is your point, clownshoe? That incompetent ass @stlcao blew through nearly $400k plus monopolized her own and her top attorney’s time on A CASE SHE NEVER HAD EVIDENCE FOR AND WHICH WAS ENGINEERED BY #Moleg &amp;amp;You’re sittin here pissed EG defended himself, you fat piece of shit? https://t.co/RPLmMYm39M</t>
  </si>
  <si>
    <t>RT @Str8DonLemon: @Rep_TRichardson
IRS and FBI involved yet?
Who gave money 2 Faughn to pay off Al Watkins &amp;amp; Moon to invent fake sex scan…</t>
  </si>
  <si>
    <t>RT @magathemaga1: I'm back #MoLeg 
Things got too boring.
Appears we have our first live look at  #MoneyBagaAl 50k.
Courtesy of @MattSto…</t>
  </si>
  <si>
    <t>@ScottCharton @EricGreitens @scottfaughn @MarkReardonKMOX @KMOXPD @AP @mopns @stltoday @KMOV @kmoxnews @HennessySTL @EdBigCon @RiverfrontTimes @SKOLBLUE1 @RealTravisCook #ASSLESSCHAPSCHARTON #PLATFORMHEELSCHARTON #DIRTYMASSAGECHARTON https://t.co/sYPwx3gQZx</t>
  </si>
  <si>
    <t>@ScottCharton @EricGreitens @scottfaughn @MarkReardonKMOX @KMOXPD @AP @mopns @stltoday @KMOV @kmoxnews @HennessySTL @EdBigCon @RiverfrontTimes @SKOLBLUE1 @RealTravisCook Uh oh! @scottcharton just blocked me bc of this tweet!  that an admission of a conflict of interest Scott?!?!?!  Who is he protecting??? Who is @Scottfaughn protecting? Jeff Smith the #TAXCREDITQUEEN ? #markreardonkmox #moleg #mogov He worried no more invites to Faughn’s sex pad? https://t.co/p1LyEZr2aM</t>
  </si>
  <si>
    <t>@Sticknstones4 @latimes @latimes : our own journalists in this state are completely incompetent. Can you please look into this, because it’s a YUUUUUUGE STORY but clowns like @tonymess and @stltoday and #PRAVDA , I mean the @KCStar , #COMPLETELYSUCKATJOURNALISM  #MOLEG #MOGOV @EricGreitens https://t.co/av8kkkeWAO</t>
  </si>
  <si>
    <t>@ScottCharton @EricGreitens That’s it, you greasball. DISCLOSE YOUR DONORS, NOW! OR SHUT THE HELL UP.  WHO FUNDS SCOTT CHARTON, INC.?  YOU HANG OUT WITH SCUM LIKE @scottfaughn WHAT ARE THE CHANCES YOU HAVE A CONFLICT OF INTEREST, JUST LIKE HIM? @markreardonkmox @KMOXPD @AP @mopns #moleg @stltoday #mogov https://t.co/sHxlxwxaNu</t>
  </si>
  <si>
    <t>RT @MattStoneABC: ABC News has obtained a photo of one of the two packages each containing $50,000 that attorney Al Watkins claims he recei…</t>
  </si>
  <si>
    <t>RT @Str8DonLemon: We have to ask why Scott Charton is so invested in this COUP?
Is he getting paid by the same man who gave Scott Faughn t…</t>
  </si>
  <si>
    <t>RT @ResignNowKim: BRING YOUR TENT, CAMPER, TRAILER, RV, or SEDAN! LETS GO ON A CAMPING TRIP IN SCENIC JEFFERSON CITY, MISSOURAH!!!!  HEY #M…</t>
  </si>
  <si>
    <t>@JohnRLottJr @AidayCalluna @davidhogg111 @TheFrancescaF @ktsully059 @RBMEllis @KyleKashuv Well put, by the Dean of all Gun Statistics.  Thank you sir.</t>
  </si>
  <si>
    <t>RT @realbelairman: @adjunctprofessr @Belle4DJT Tank is full. Ready to go.</t>
  </si>
  <si>
    <t>@ScottCharton @JaneDueker “GOP used to be for clean government...” Yeah, then GOP got bought off by Tax Credit Queens like Jeff Smith and started cozying up to slimeball fake journalists like @scottfaughn and @ScottCharton . It’s ok though.... #THEPEASANTSARECOMING #OCCUPYJEFFCITY #MOLEG #MOGOV https://t.co/JiBL8QVTZk</t>
  </si>
  <si>
    <t>@TrumpChess @Neilin1Neil @EricGreitens @RealTravisCook @YearOfZero @Sticknstones4 @KathieConway @inthejungle234 @Norasmith1000 @liberty1776son @VisioDeiFromLA @DeplorableGoldn @Boothe08887997 @blackwidow07 @JW1057 @edemery @jallman971 @Henryhahadavis @pahubb43 BRING YOUR KIDS, BRING YOUR SPOUSE, BRING YOUR GRANDMA TOO! WE’RE COMIN TO JC TO SET THINGS RIGHT; C’MON, WE’LL SAVE YA A BREW!!!  #MOLEG #MOGOV #GETONTHEBUS #OCCUPYJEFFCITY #FREEPARKINGONCAPITOLLAWN #CAMPERS #RVS #TRAILERS #BUSES #SEDANS #TENTCITY #AFTERPARTYATJAYBARNESHOUSE https://t.co/cFrbmv7HTv</t>
  </si>
  <si>
    <t>RT @TrumpChess: @Neilin1Neil @EricGreitens @RealTravisCook @YearOfZero @Sticknstones4 @KathieConway @inthejungle234 @Norasmith1000 @liberty…</t>
  </si>
  <si>
    <t>RT @DeplorableGoldn: RT https://t.co/W3L33Vap54</t>
  </si>
  <si>
    <t>RT @DeplorableGoldn: RT 🚨 https://t.co/daOP36pMbu</t>
  </si>
  <si>
    <t>BRING YOUR TENT, CAMPER, TRAILER, RV, or SEDAN! LETS GO ON A CAMPING TRIP IN SCENIC JEFFERSON CITY, MISSOURAH!!!!  HEY #MOLEG ! WE’LL SAVE SOME BRATS AND BEER FOR YA!!!  #OCCUPYJEFFCITY #MOGOV https://t.co/527FVsBXrZ</t>
  </si>
  <si>
    <t>@for_congress @Neilin1Neil @EricGreitens @RealTravisCook @YearOfZero @Sticknstones4 @KathieConway @inthejungle234 @Norasmith1000 @liberty1776son @VisioDeiFromLA @DeplorableGoldn @Boothe08887997 @blackwidow07 @JW1057 @edemery @kmoxnews @HennessySTL @EdBigCon @SKOLBLUE1 @stltoday @RiverfrontTimes @Avenge_mypeople It’s all good. In that photo, trust me, you don’t want to be royalty. #OCCUPYJEFFCITY  #MOLEG #MOGOV @VisioDeiFromLA @jw https://t.co/U1igHab6xI</t>
  </si>
  <si>
    <t>RT @Lautergeist: Keep an eye over your shoulder.  You won't hear us coming
#MoLeg
#OccupyJeffCity https://t.co/4GBync7z2Y</t>
  </si>
  <si>
    <t>RT @YearOfZero: Jeff Smith?
Nobody wants to say the name but I’ll say it. Did the money come from Jeff Smith as rumored? Is #MoLeg investi…</t>
  </si>
  <si>
    <t>RT @ResignNowKim: @Neilin1Neil @EricGreitens @RealTravisCook @YearOfZero @Sticknstones4 @KathieConway @inthejungle234 @Norasmith1000 @liber…</t>
  </si>
  <si>
    <t>RT @ResignNowKim: @RJFerryJr @VisioDeiFromLA @HennessySTL @KMOXKilleen @EdBigCon @SKOLBLUE1 @blackwidow07 @stltoday @kmoxnews @Avenge_mypeo…</t>
  </si>
  <si>
    <t>RT @ResignNowKim: So, who’s up for #OccupyJeffCity ? Those of us who can, let’s take our tents and campers and RVs and go tailgate/camp out…</t>
  </si>
  <si>
    <t>@RJFerryJr @VisioDeiFromLA @HennessySTL @KMOXKilleen @EdBigCon @SKOLBLUE1 @blackwidow07 @stltoday @kmoxnews @Avenge_mypeople @Sticknstones4 Right on brother. Save me a brew.</t>
  </si>
  <si>
    <t>RT @RJFerryJr: @ResignNowKim @VisioDeiFromLA @HennessySTL @KMOXKilleen @EdBigCon @SKOLBLUE1 @blackwidow07 @stltoday @kmoxnews @Avenge_mypeo…</t>
  </si>
  <si>
    <t>RT @DeplorableGoldn: RT 🚨👇
#OccupyJeffCity 
The peasants are coming!
@HennessySTL 
@EricGreitens @Eric_Schmitt @BillEigel @TeamGreitens…</t>
  </si>
  <si>
    <t>RT @Avenge_mypeople: @RJFerryJr @ResignNowKim @VisioDeiFromLA @HennessySTL @KMOXKilleen @EdBigCon @SKOLBLUE1 @blackwidow07 @stltoday @kmoxn…</t>
  </si>
  <si>
    <t>@RJFerryJr @VisioDeiFromLA @HennessySTL @KMOXKilleen @EdBigCon @SKOLBLUE1 @blackwidow07 @stltoday @kmoxnews @Avenge_mypeople @Sticknstones4 Haha. In that case, there’s a lot to the south of the capitol. Massive lot there.  I would shoot for that.</t>
  </si>
  <si>
    <t>@RJFerryJr @VisioDeiFromLA @HennessySTL @KMOXKilleen @EdBigCon @SKOLBLUE1 @blackwidow07 @stltoday @kmoxnews @Avenge_mypeople @Sticknstones4 My strong and fervent wish is that you park on the capitol lawn....if commies can camp out in wall street and on the mall in downtown St. Louis, then we damn sure have a home on the front lawn of the capitol. You pay to maintain that lawn, you can park on it. #moleg #mogov https://t.co/jMc3m7pJn2</t>
  </si>
  <si>
    <t>RT @YearOfZero: #OccupyJeffCity 
The peasants are coming!
@HennessySTL 
@EricGreitens @Eric_Schmitt @BillEigel @TeamGreitens @gatewaypun…</t>
  </si>
  <si>
    <t>@Neilin1Neil @EricGreitens @RealTravisCook @YearOfZero @Sticknstones4 @KathieConway @inthejungle234 @Norasmith1000 @liberty1776son @VisioDeiFromLA @DeplorableGoldn @Boothe08887997 @blackwidow07 @JW1057 @edemery BRING YOUR TENT, CAMPER, TRAILER, RV, or SEDAN! LETS GO ON A CAMPING TRIP IN SCENIC JEFFERSON CITY, MISSOURAH!!!!  HEY #MOLEG ! WE’LL SAVE SOME BRATS AND BEER FOR YA!!!  #OCCUPYJEFFCITY https://t.co/XVb22wlQeG</t>
  </si>
  <si>
    <t>RT @Neilin1Neil: OCCUPY JEFF CITY STARTING FRIDAY @EricGreitens @RealTravisCook @YearOfZero @Sticknstones4 @KathieConway @inthejungle234 @N…</t>
  </si>
  <si>
    <t>RT @Str8DonLemon: Yo #Moleg 
The peasants are coming!
We are on a mission to find out who paid Scott Faughn and to find out who is paying…</t>
  </si>
  <si>
    <t>@RJFerryJr @VisioDeiFromLA @HennessySTL @KMOXKilleen @EdBigCon @SKOLBLUE1 @blackwidow07 @stltoday @kmoxnews @Avenge_mypeople @Sticknstones4 You bet! #GetOnTheBus #OCCUPYJEFFCITY !!!</t>
  </si>
  <si>
    <t>@jeffreyjonesmo @Str8DonLemon @philip_saulter @GovGreitensMO @JCunninghamMO You have no idea how law enforcement works. If she were assaulted, why in the hell hasn’t @stlcao @KimGardnerSTL @kimgardner77th prosecuted @EricGreitens RIDDLE ME THAT, BATMAN! You’re an effing idiot. Hide in a hole in shame for your stupidity.</t>
  </si>
  <si>
    <t>So, who’s up for #OccupyJeffCity ? Those of us who can, let’s take our tents and campers and RVs and go tailgate/camp out on the lawn of the Capitol for the duration of the #SpecialSession .  RETWEET if you’re game for #OccupyJeffCity #moleg #mogov #STANDWITHGREITENS https://t.co/aAjiJMd9Rb</t>
  </si>
  <si>
    <t>@ScottCharton @EricGreitens Did you quit the AP, or were you fired for being as stupid as you are slovenly? By definition nothing @ericgreitens and Kitty Sneed did was domestic violence. Wasn’t sex assault-she consented.  We know bc she said. We also know bc ambitious @sltcao would have charged him. #MOLEG https://t.co/nW5hGwZ7lh</t>
  </si>
  <si>
    <t>RT @ResignNowKim: @phil_petty @ArtmanJanet Holy shit: is that @scottfaughn  doing #TWMP in Israel?????? #moleg #mogov</t>
  </si>
  <si>
    <t>RT @mopns: Connect the Dots: Conspiracy Against Gov. Greiten’s Coming Into Focus https://t.co/zbdc1SVB9C</t>
  </si>
  <si>
    <t>RT @mopns: The link for thhis story is now working. We apologize for any inconvenience.
"One question we have is why is Rep. Stacey Newman…</t>
  </si>
  <si>
    <t>RT @mopns: Are State GOP Lawmakers Being Pressured to Support Governor Greitens? https://t.co/uD914t5DPk</t>
  </si>
  <si>
    <t>@phil_petty @ArtmanJanet Holy shit: is that @scottfaughn  doing #TWMP in Israel?????? #moleg #mogov</t>
  </si>
  <si>
    <t>RT @JW1057: @MSTLGA Because Al Watkins is a pathological liar. Indeed, even Kim Gardner asked FBI to investigate and she was turned down. H…</t>
  </si>
  <si>
    <t>RT @YearOfZero: Just a reminder 
@MOHOUSECOMM @MOHouseGOP @MOHouseDems A friendly reminder that a vote to impeach/censure @GovGreitensMO i…</t>
  </si>
  <si>
    <t>RT @JW1057: @sigi_hill @philip_saulter @StateHouseRock @stltoday @Rep_TRichardson @jaybarnes5 @jeanielauer @KevinLAustin1 @shawnrhoads154 @…</t>
  </si>
  <si>
    <t>RT @JCunninghamMO: Consensual is the key. She kept coming back. That is not a victim. It is a participant. https://t.co/aJQWi4I0CN</t>
  </si>
  <si>
    <t>RT @Norasmith1000: Mayor Krewson, why aren't you calling for Kim Gardner's resignation yet? Can you give us taxpayers a tally please on how…</t>
  </si>
  <si>
    <t>RT @CStamper_: Sounds like the FBI is investigating the shady $100,000 cash payment that went to one of the witnesses’ attorney in Soros-ba…</t>
  </si>
  <si>
    <t>RT @VisioDeiFromLA: Where was your concern for outside investigators on the tax payer dime?
#moleg https://t.co/IsYbnpMFIT</t>
  </si>
  <si>
    <t>@spyguy1108 @JCunninghamMO Second: you don’t read much, do you. There was no allegation of assault. None. And if she was assaulted, then why didn’t the dangerously ambitious and incompetent @stlcao charge him w sex assault?  You’re a complete moron. Just stop talking &amp;amp; spare everyone. #mogov #moleg</t>
  </si>
  <si>
    <t>@spyguy1108 @JCunninghamMO Excuse me, clown, have you ever worked above peon level on any campaign in your life? No? Then #STFU , bc you obviously don’t know rudimentary shit. 80% of campaigns do this and no one cares.  The 20% that don’t, are inconsequential in size &amp;amp; don’t need to rent/buy lists.</t>
  </si>
  <si>
    <t>@Acolyte76 @JCunninghamMO How is your comment relevant- to anything?  Is it me, or does your profile pic literally scream: “I’m a little beta bitch - I’m going to curl up on the couch with my cat and my hot tea and listen to Sam Smith.” #BetaMale I send you dislike @EricGreitens bc he is your foil. #mogov</t>
  </si>
  <si>
    <t>@ADBemus Dude: you is dumb. English, mutha-effer! Do you read it? Or have you been under a rock? The #FakePhoto felony charge carried jail time if convicted. #moleg #mogov . Good to see that @RGreggKeller ‘s pals are dense mouth breathers like him. #Fail https://t.co/XW2IIzVT8v</t>
  </si>
  <si>
    <t>@sigi_hill @YearOfZero @BobOnderMO @EricGreitens @KevinCorlew @BooneCoMOGOP @paulcurtman Uh oh! Ominous news for Captain Ron!</t>
  </si>
  <si>
    <t>RT @sigi_hill: @YearOfZero @BobOnderMO @EricGreitens @KevinCorlew @BooneCoMOGOP @paulcurtman I heard today about this guy being the 'Skyler…</t>
  </si>
  <si>
    <t>@ChristineDByers @stltoday Why yes I do! Big stories: @scottfaughn paid $70,000 to Al Watkins - where’d he get the money?  Did KS’s attorney also get paid by Scott? How many #moleg get #TaxCreditQueen donations? @EricGreitens #mogov * Shouldn’t all #moleg voluntarily disclose this before impeachment vote? https://t.co/0c8VpJFbey</t>
  </si>
  <si>
    <t>RT @YearOfZero: But not #KimShady investigators?
This is a coup
#moleg #mogov @Neilin1Neil @JW1057 @BobOnderMO @KevinCorlew @BillEigel @B…</t>
  </si>
  <si>
    <t>@YearOfZero @Neilin1Neil @JW1057 @BobOnderMO @KevinCorlew @BillEigel @BooneCoMOGOP Preach on brotha Yoz. https://t.co/1cXwbtencP</t>
  </si>
  <si>
    <t>RT @Str8DonLemon: #MoLeg coup plotters entire strategy is banking on the fact that they think the voters won't vote them out.
They are mis…</t>
  </si>
  <si>
    <t>RT @Str8DonLemon: Yo #MoLeg
I see you still got ur witch hunt going!
Remember, there would be no second indictment without the first indi…</t>
  </si>
  <si>
    <t>@HotPokerPrinces Not uncommon to charge $300/ hr with 15 yrs experience. In many larger stl mo firms, 7-10 years.  At 30 years, not uncommon for $350-400 or much more.  Of course DC is common for the latter to be $800 or more an hour.</t>
  </si>
  <si>
    <t>RT @HotPokerPrinces: This Absurdity on the hourly cost of a lawyer
Many Moleg members are Lawyers ,Do they charge less 
than $ 350/hr for…</t>
  </si>
  <si>
    <t>@J_Hancock @EricGreitens Duh-doi</t>
  </si>
  <si>
    <t>RT @J_Hancock: . @EricGreitens’ impeachment team says alleged victim should testify in open, face cross-examination https://t.co/9AHWTd4qZO…</t>
  </si>
  <si>
    <t>RT @Sticknstones4: Low Income Housing tax credits were deemed ineffective to the state, for ever $1 granted only .42 cents was staying in s…</t>
  </si>
  <si>
    <t>RT @MariaChappelleN: You're missing Steve Tilley and Mike Parson. https://t.co/WxN4PR75y6</t>
  </si>
  <si>
    <t>RT @HotPokerPrinces: @MariaChappelleN I think there’s a lot more characters missing 
All those that received, misused &amp;amp; abused the Low Inco…</t>
  </si>
  <si>
    <t>RT @HotPokerPrinces: @MariaChappelleN The Missouri millionaires have used &amp;amp; abused the tax payers long enough.  TIMES UP,  Moleg needs to s…</t>
  </si>
  <si>
    <t>RT @kwilli1046: Ted Cruz - Social Media platforms that engage in #censorship should lose their legal protection!   https://t.co/J17IhAFlnN</t>
  </si>
  <si>
    <t>RT @MrNashington: YouTube won't let users comment on, share, or like @PrisonPlanet's new video https://t.co/neOOUbTZxp</t>
  </si>
  <si>
    <t>RT @ResignNowKim: @RGreggKeller You and your crony clients and whipped #moleg engineer scandals/coup, imperil his freedom and career, &amp;amp; the…</t>
  </si>
  <si>
    <t>RT @ResignNowKim: (1) RE: #SpecialSession : Every single #moleg needs to disclose all monies received from any tax credit queen donor.  Inc…</t>
  </si>
  <si>
    <t>RT @ResignNowKim: (2) All #moleg need to be required to do this. And if they aren’t willing to do it, then that entitles PUBLIC to an adver…</t>
  </si>
  <si>
    <t>RT @ResignNowKim: (3) #moleg need to PUBLICLY IDENTIFY all tax credit dominations to their campaigns- now. Hell, they should issue a press…</t>
  </si>
  <si>
    <t>@MSTLGA Yeah: where is @nicolergalloway ‘s audit of the #TaxCreditQueen rip off of Missouri taxpayers? ($600M annual)And she’s looking into how much @EricGreitens spent on lawyers? Wtf, man! #moleg #mogov This such an absurd, corrupt shit show @jaybarnes5 has going on down in Jeff City. https://t.co/iiyrJqnTNc</t>
  </si>
  <si>
    <t>@RGreggKeller Yeah, no shit.</t>
  </si>
  <si>
    <t>RT @VisioDeiFromLA: Hed be right
Many in #Moleg have been dishonest https://t.co/EoPy3WtHjL</t>
  </si>
  <si>
    <t>RT @zerohedge: China Unleashes "Island Encirclement" War Drills Over Taiwan https://t.co/IG06aYXluF</t>
  </si>
  <si>
    <t>RT @VisioDeiFromLA: So Scott faughn is lying and the money wasnt for a book...
#moleg #mogov #Greitens https://t.co/iFm9WIL6Zp</t>
  </si>
  <si>
    <t>RT @MSTLGA: #Moleg stop screwing over the voters with your Corruption &amp;amp; Greed 
Low Income Housing Tax Credits have been in need of reform f…</t>
  </si>
  <si>
    <t>RT @MSTLGA: Where can i find the auditors report on the Low Income Housing Tax Creidts ? 
Why did #Moleg allow years of inefficiency &amp;amp; abu…</t>
  </si>
  <si>
    <t>(3) #moleg need to PUBLICLY IDENTIFY all tax credit dominations to their campaigns- now. Hell, they should issue a press release. And it should be transparent, and the public should be informed. Or the whole #SpecialSession is a confirmed farce. Oh, and do sign an affidavit, too. https://t.co/hx0C3KA65L</t>
  </si>
  <si>
    <t>(2) All #moleg need to be required to do this. And if they aren’t willing to do it, then that entitles PUBLIC to an adverse inference -an assumption that they’re voting against @EricGreitens out of simple self-interest. @markreardonkmox @charliekmox @KMOXKilleen #mogov #JeffSmith https://t.co/RGdHwyqW42</t>
  </si>
  <si>
    <t>(1) RE: #SpecialSession : Every single #moleg needs to disclose all monies received from any tax credit queen donor.  Including pacs established for the benefit of the same.  I want signed affidavit disclosure from all of them. #mogov @markreardonkmox @charliekmox @KMOXKilleen https://t.co/Jau48aVCyc</t>
  </si>
  <si>
    <t>@RGreggKeller You and your crony clients and whipped #moleg engineer scandals/coup, imperil his freedom and career, &amp;amp; then throw a tantrum when he doesn’t roll over n die. What about $300k @stlcao spent on #FakePhoto ? Or opportunity cost to CAO or @HawleyMO ,or the witchhunt committee? #mogov https://t.co/13bROmheMw</t>
  </si>
  <si>
    <t>RT @ResignNowKim: @RGreggKeller @HafnerMO Wait: so you don’t believe there’s a conspiracy when tax credit queen stooge @scottfaughn drops o…</t>
  </si>
  <si>
    <t>@RGreggKeller @HafnerMO Wait: so you don’t believe there’s a conspiracy when tax credit queen stooge @scottfaughn drops off literally bags of cash to pay for a sex scandal, but some rich poster child for white privilege in T&amp;amp;C gets ripped off, it’s Deep Throat? #moleg #GetTheFuckOuttaHere #mogov https://t.co/zEJFyTAaCH</t>
  </si>
  <si>
    <t>RT @Sticknstones4: Audit Scott Faughn &amp;amp; Missouri Times
Where did the Cash Come From 
@nicolergalloway @MissouriRevenue https://t.co/gug39…</t>
  </si>
  <si>
    <t>@Cryptomoon6 Thanks man.  They’ve been after me and others.  It’s pretty bad.</t>
  </si>
  <si>
    <t>RT @YearOfZero: This is a good thread on what to do to stop THE COUP against #Missouri voters
#moleg #mogov #greitens @MissouriGOP @TeamGr…</t>
  </si>
  <si>
    <t>Apparently I’ve been shadowbanned without being informed by twitter. I had to run a third party app check to confirm. But it’s true. The Marxists At twitter strike again.</t>
  </si>
  <si>
    <t>RT @MarcCox971: Poor Circuit Atty Gardner. On a seek &amp;amp; destroy mission against Gov Greitens with no evidence - but it’s her “integrity” tha…</t>
  </si>
  <si>
    <t>RT @EricGreitens: Great to see @jortego, who is visiting the Capitol today for the final week of session. Jack led our office in our weekly…</t>
  </si>
  <si>
    <t>RT @rhondas_lil_sis: Hoping #moleg will get back to the work of the people. #WitchHunt https://t.co/jQhE3R91nt</t>
  </si>
  <si>
    <t>RT @Sticknstones4: @Neilin1Neil @EricGreitens @RealTravisCook @KathieConway @Norasmith1000 @liberty1776son @VisioDeiFromLA @DeplorableGoldn…</t>
  </si>
  <si>
    <t>@KCStar Well, we can always count on the good ol @KCStar to carry water for whoever is preferred by the oligarchy.  Good job, rag! #moleg @EricGreitens https://t.co/Y5U8RhLiOB</t>
  </si>
  <si>
    <t>@VisioDeiFromLA @thesearcher998 @Norasmith1000 @MOGOP_Chairman @Eric_Schmitt @EricGreitens @HennessySTL @Avenge_mypeople @gatewaypundit @Thomas1774Paine @Sticknstones4 @tracey_vinsand Prediction: YES.
PLEASE COME TO JEFF CITY AND TELL YOURE LEGISLATORS THAT A VOTE FOR IMPEACHMENT WILL LOSE  Y O U R  VOTE!!!!!!  #BurnThePhoneLines #STORMJEFFCITY .  TELL EVERYONE YOU KNOW #THEPEASANTSARECOMING #GETONTHEBUS https://t.co/GEQckrT1XM</t>
  </si>
  <si>
    <t>RT @CallMeSquiggly: Hey @HawleyMO too bad you didn't stand by the governor, and threw him under the bus. You called on him to resign when t…</t>
  </si>
  <si>
    <t>RT @VisioDeiFromLA: (2) Next on Deck
J. Eggleston
Will he screw over #Missouri Voters by impeaching?
Call him up or email him and ask hi…</t>
  </si>
  <si>
    <t>RT @JW1057: @MOHOUSECOMM @MOHouseGOP @MOHouseDems A friendly reminder that a vote to impeach/censure @GovGreitensMO is a vote against your…</t>
  </si>
  <si>
    <t>@JW1057 @EricGreitens @MOHOUSECOMM PLEASE COME TO JEFF CITY AND TELL YOURE LEGISLATORS THAT A VOTE FOR IMPEACHMENT WILL LOSE  Y O U R  VOTE!!!!!!  #BurnThePhoneLines #STORMJEFFCITY .  TELL EVERYONE YOU KNOW #THEPEASANTSARECOMING #GETONTHEBUS https://t.co/hdyySlhuma</t>
  </si>
  <si>
    <t>RT @971FMTalk: TUNE-IN AT 710: Gov. Greitens' attorney Edward Dowd will be speaking with @MarcCox971 on #GreitensTrial and more!</t>
  </si>
  <si>
    <t>RT @Avenge_mypeople: Here's the guy who gave 50 grand to lawyer Al Watkins. He has some big money backing him. Banks with interest in keepi…</t>
  </si>
  <si>
    <t>RT @VisioDeiFromLA: DISBAR #KIMSHADY next!
#MoLeg #MoGov #Greitens #Stlouis https://t.co/x1fXDFnkse</t>
  </si>
  <si>
    <t>RT @BryanLowry3: BREAKING: St. Louis Metro Police now confirms it will investigate the alleged perjury by private investigator following me…</t>
  </si>
  <si>
    <t>RT @Avenge_mypeople: Hey, @AP4Liberty I got some signs thanks to Neil and Heather! Also got you a new donor. After a lengthy discussion, my…</t>
  </si>
  <si>
    <t>RT @VisioDeiFromLA: Don’t lie about evidence you have
Don’t meet witnesses on the east side secretly 
Don’t try to get the trial date Nov 1…</t>
  </si>
  <si>
    <t>RT @CStamper_: More bad news for Soros-backed prosecutor Kim Gardner &amp;amp; her handpicked investigator Tisaby: Tisaby is now under investigatio…</t>
  </si>
  <si>
    <t>RT @JW1057: @CStamper_ Is this really bad news for Kim Gardner? She wanted to prove no one is above the law and now well she may well ended…</t>
  </si>
  <si>
    <t>@joelcurrier @SLMPD @EricGreitens @StLouisCityCA Did you ask @stlcao @KimGardnerSTL @kimgardner77th if she planned on resigning? #moleg @EricGreitens #StandWithGreitens</t>
  </si>
  <si>
    <t>RT @joelcurrier: .@SLMPD says that after meeting with @ericgreitens' defense lawyers Ed Dowd and Scott Rosenblum today, the deparment is op…</t>
  </si>
  <si>
    <t>RT @BigJShoota: 😏😏😏😏 https://t.co/TWIJ0gi31n</t>
  </si>
  <si>
    <t>RT @AngelaLily0501: Woohoo!! Crazy wench is going down! #greitens #Gaza #Trump
#Qanon
#MAGA
#Jerusalem
https://t.co/MtpFMbUwyo</t>
  </si>
  <si>
    <t>RT @Norasmith1000: #moleg 
Greitens' lawyer to file police report against Kim Gardner, investigator https://t.co/q205T0uYQK via @fox2now</t>
  </si>
  <si>
    <t>RT @sigi_hill: Smells like #Fraud to me, #LewisAndClarkRealEstate the money laundering pad for #moleg #LIHTC? Could that be the reason why…</t>
  </si>
  <si>
    <t>RT @VisioDeiFromLA: Still on here pushing for #MoLeg to screw voters over I see?
@Eric_Schmitt @MOHouseGOP @EricGreitens 
#MOGov #Greiten…</t>
  </si>
  <si>
    <t>RT @VisioDeiFromLA: Scott Chartons buddy Scott Faughn got busted dropping off money to the key witness in the #GreitensTrial
Its clear to…</t>
  </si>
  <si>
    <t>RT @VisioDeiFromLA: What's it going to be @FitzpatrickMO 
Do you plan on screwing #Missouri voters over?
#MoLeg #Mogov #Greitens @Eric_Sc…</t>
  </si>
  <si>
    <t>RT @VisioDeiFromLA: #moleg wants to pretend that the issue of Scott Faughns money and where he got it isnt important, but its critical
👉Li…</t>
  </si>
  <si>
    <t>RT @RealTravisCook: Going up on https://t.co/LqVNagt9Kx discussing #Kimgardner's debacle with Governor #Greitens, as well as the disturbing…</t>
  </si>
  <si>
    <t>RT @HotPokerPrinces: I think it’s fair to say, there was no evidence
No photo 
Just a bunch of Lies  &amp;amp; wasted tax payers money https://t.co…</t>
  </si>
  <si>
    <t>RT @VisioDeiFromLA: Have been  wondering @Eric_Schmitt 
Do you stand with then people and against depriving them of their vote, or with pe…</t>
  </si>
  <si>
    <t>RT @ResignNowKim: @jrosenbaum @stlpublicradio @CarolinaHidalgo Yeah: #TheFixIsIn . They’ve already made their decision to impeach- the mone…</t>
  </si>
  <si>
    <t>RT @ResignNowKim: @ws_missouri @EricGreitens Yeah, ain’t gonna fly: team credit queen will want to ramrod the impeachment.  Prediction: vot…</t>
  </si>
  <si>
    <t>RT @ResignNowKim: @VisioDeiFromLA #BurnThePhoneLines #STORMJEFFCITY .  TELL EVERYONE YOU KNOW #THEPEASANTSARECOMING https://t.co/gnC9Lfhfsw</t>
  </si>
  <si>
    <t>RT @ResignNowKim: @Sticknstones4 My prediction? Yes. Yes he will screw Missouri voters. They’re all corrupt bastards and they’ve got to go.…</t>
  </si>
  <si>
    <t>RT @ResignNowKim: @Avenge_mypeople GO TO JEFF CITY TODAY! RAISE HELL AT THE CAPITAL.  TELL THE LEGISLATORS THAT A VOTE FOR IMPEACHMENT LOSE…</t>
  </si>
  <si>
    <t>RT @ResignNowKim: @RGreggKeller Listen to this crap: “dark arts.”  You’re less darth Vader and more darth douchebag.  There’s no art to it:…</t>
  </si>
  <si>
    <t>RT @ResignNowKim: @VisioDeiFromLA @MissouriGOP Jane is an industry lobbyist whore- always has been always will be. GOP got bribed by tax cr…</t>
  </si>
  <si>
    <t>RT @ResignNowKim: @Shawtypepelina @Hope4Hopeless1 @RenaeAngelia @Bud_Doggin @NameRedacted7 @staceynewman @StLouisCityCA @molegislature @stl…</t>
  </si>
  <si>
    <t>RT @ResignNowKim: @Sticknstones4 COME TO JEFF CITY AND TELL YOUR REPS A VOTE FOR IMPEACHMENT WILL LOSE Y O U R VOTE!!!!! #BurnThePhoneLines…</t>
  </si>
  <si>
    <t>RT @ResignNowKim: @Sticknstones4 PLEASE COME TO JEFF CITY AND TELL YOURE LEGISLATORS THAT A VOTE FOR IMPEACHMENT WILL LOSE  Y O U R  VOTE!!…</t>
  </si>
  <si>
    <t>RT @ResignNowKim: @JackSuntrup @KurtEricksonPD @stltoday This clown reporter is a schill for the money men!  PLEASE COME TO JEFF CITY AND T…</t>
  </si>
  <si>
    <t>RT @ResignNowKim: @FOX2now @SKOLBLUE1 @JW1057</t>
  </si>
  <si>
    <t>RT @ResignNowKim: @FOX2now @SKOLBLUE1 TIME TO RESIGN KIM!!!!! SUBORNING PERJURY AINT ACCEPTABLE ANYWHERE - NOT EVEN IN ST LOUIS. #YOUREDONE…</t>
  </si>
  <si>
    <t>RT @ResignNowKim: @jmannies Nope:  @EricGreitens is filing a criminal complaint against @stlcao @kimgardner77th .... #ResignNowKim</t>
  </si>
  <si>
    <t>RT @ResignNowKim: @BryanLowry3 If Tisaby did no wrong, why plead the 5th?   Dirty T and Kimmy G.  They could be a hip hop duo. #kimshady @s…</t>
  </si>
  <si>
    <t>@BryanLowry3 If Tisaby did no wrong, why plead the 5th?   Dirty T and Kimmy G.  They could be a hip hop duo. #kimshady @stlcao https://t.co/mxkAQabMu9</t>
  </si>
  <si>
    <t>RT @KMOV: The Latest: Greitens wants police to investigate prosecutor https://t.co/0SPZ5nIlcH https://t.co/I2EwWao6dp</t>
  </si>
  <si>
    <t>RT @Sticknstones4: Hallelujah https://t.co/jQ6OMpakzV</t>
  </si>
  <si>
    <t>@jmannies Nope:  @EricGreitens is filing a criminal complaint against @stlcao @kimgardner77th .... #ResignNowKim</t>
  </si>
  <si>
    <t>RT @KMOV: Attorneys for Gov. @EricGreitens say they'll ask the police to look into alleged misconduct by #Stl prosecutor's office. #KMOV #G…</t>
  </si>
  <si>
    <t>RT @Sticknstones4: Wonderful ! Lock her &amp;amp; Tisaby Up
No playing the victim card either Kimmy!
you abused your power &amp;amp; duty for politics ,…</t>
  </si>
  <si>
    <t>RT @JPRadioMofo: Looks like @EricGreitens attorney is filing a police report against shady Prosecutor Kim Gardner, who dismissed the case a…</t>
  </si>
  <si>
    <t>RT @Sticknstones4: Missouri Voters that elected the Governor are being 
Underestimated by the corrupt status quo #Moleg https://t.co/cHxSqv…</t>
  </si>
  <si>
    <t>@FOX2now @SKOLBLUE1 TIME TO RESIGN KIM!!!!! SUBORNING PERJURY AINT ACCEPTABLE ANYWHERE - NOT EVEN IN ST LOUIS. #YOUREDONE @stlcao https://t.co/BzQ6fnj0Im</t>
  </si>
  <si>
    <t>@FOX2now @SKOLBLUE1 @JW1057</t>
  </si>
  <si>
    <t>@JackSuntrup @KurtEricksonPD @stltoday This clown reporter is a schill for the money men!  PLEASE COME TO JEFF CITY AND TELL YOURE LEGISLATORS THAT A VOTE FOR IMPEACHMENT WILL LOSE  Y O U R  VOTE!!!!!!  #BurnThePhoneLines #STORMJEFFCITY .  TELL EVERYONE YOU KNOW #THEPEASANTSARECOMING #GETONTHEBUS https://t.co/ANRb4rJd4W</t>
  </si>
  <si>
    <t>RT @FOX2now: Greitens’ lawyer to file police report against Kim Gardner, investigator https://t.co/6Oq8R8iQCd https://t.co/GKIfjQtNdq</t>
  </si>
  <si>
    <t>RT @CStamper_: As if having her witch hunt dismissed yesterday weren’t bad enough for Soros-backed prosecutor Kim Gardner, now a police rep…</t>
  </si>
  <si>
    <t>@Sticknstones4 PLEASE COME TO JEFF CITY AND TELL YOURE LEGISLATORS THAT A VOTE FOR IMPEACHMENT WILL LOSE  Y O U R  VOTE!!!!!!  #BurnThePhoneLines #STORMJEFFCITY .  TELL EVERYONE YOU KNOW #THEPEASANTSARECOMING #GETONTHEBUS https://t.co/97XwHwO3Ha</t>
  </si>
  <si>
    <t>RT @CStamper_: Soros-backed Kim Gardner handpicked an investigator who repeatedly committed perjury, hid evidence, and created false eviden…</t>
  </si>
  <si>
    <t>@Sticknstones4 COME TO JEFF CITY AND TELL YOUR REPS A VOTE FOR IMPEACHMENT WILL LOSE Y O U R VOTE!!!!! #BurnThePhoneLines #STORMJEFFCITY .  TELL EVERYONE YOU KNOW #THEPEASANTSARECOMING https://t.co/ubFuWjbvYv</t>
  </si>
  <si>
    <t>RT @Sticknstones4: Please respect my Vote 
Vote No on Impeachement #moleg #greitens https://t.co/McppPjqtzS</t>
  </si>
  <si>
    <t>RT @Sticknstones4: Please respect my vote !
Vote No on Impeachment. #moleg #greitens https://t.co/8KtTLluyay</t>
  </si>
  <si>
    <t>RT @VisioDeiFromLA: Parson Tax Credit Bot at it again 
#moleg #MOGov https://t.co/KBlwVUA53W</t>
  </si>
  <si>
    <t>RT @jrosenbaum: INBOX: @EricGreitens attorneys will file a police report re: Tisaby depositions. https://t.co/Wx7A1Ybv44</t>
  </si>
  <si>
    <t>@ES03784893 Lol</t>
  </si>
  <si>
    <t>@Shawtypepelina @Hope4Hopeless1 @RenaeAngelia @Bud_Doggin @NameRedacted7 @staceynewman @StLouisCityCA @molegislature @stlcao @HawleyMO GO TO JEFF CITY T O D A Y AND TELL THEM YOU’RE MAD AS HELL AND WONT TAKE THIS SHIT. #BurnThePhoneLines #STORMJEFFCITY .  TELL EVERYONE YOU KNOW #THEPEASANTSARECOMING https://t.co/EBCmVI2rlV</t>
  </si>
  <si>
    <t>@VisioDeiFromLA @MissouriGOP Jane is an industry lobbyist whore- always has been always will be. GOP got bribed by tax credit queens, put out the hit on @EricGreitens and now they’re justifying it as they go. To hell w em all. #BurnThePhoneLines #STORMJEFFCITY .  TELL EVERYONE YOU KNOW #THEPEASANTSARECOMING https://t.co/xGksAR182s</t>
  </si>
  <si>
    <t>RT @Hope4Hopeless1: @RenaeAngelia @Bud_Doggin @NameRedacted7 KITTY SNEED &amp;amp; ALL the rest of THE FILTHY TRASH in #MoGov #MOLEG .@StaceyNewman…</t>
  </si>
  <si>
    <t>RT @VisioDeiFromLA: Jane.
I don't care. @MissouriGOP clearly doesnt care about will of voters. They care about tax credits
Tear it apart.…</t>
  </si>
  <si>
    <t>RT @VisioDeiFromLA: Where did Scott get his Money?
I know you guys are buddies.
#moleg #mogov #Greitens https://t.co/08IU676rSh</t>
  </si>
  <si>
    <t>@RGreggKeller Listen to this crap: “dark arts.”  You’re less darth Vader and more darth douchebag.  There’s no art to it: it’s just flat out bribing people with promises of power and money- and also threats of personal destruction to gain compliance.  It’s not an art- it’s just bribery. #moleg https://t.co/C77eVCTKWD</t>
  </si>
  <si>
    <t>RT @VisioDeiFromLA: Greg you slandered a guy on fake chages which you very well know are fake.
The GOP deserves to be voted out. 
Maybe w…</t>
  </si>
  <si>
    <t>RT @VisioDeiFromLA: (7) Next on Deck
Scott Fitzpatrick
Will he screw over #Missouri Voters by impeaching?
Call him up, email him and twe…</t>
  </si>
  <si>
    <t>RT @VisioDeiFromLA: (6) Next on Deck
Becky Ruth
Will she screw over #Missouri Voters by impeaching?
Call her up, email her &amp;amp; tweet her a…</t>
  </si>
  <si>
    <t>RT @VisioDeiFromLA: (5) Next on Deck
Bill Eigel 
Will he screw over #Missouri Voters by impeaching?
Call him up, email him and tweet him…</t>
  </si>
  <si>
    <t>RT @VisioDeiFromLA: (4) Next on Deck
Tim Remole 
Will he screw over #Missouri Voters by impeaching?
Call him up, email him and tweet him…</t>
  </si>
  <si>
    <t>RT @VisioDeiFromLA: (3) Next on Deck
Nate Walker 
Will he screw over #Missouri Voters by impeaching?
Call him up or email him and ask hi…</t>
  </si>
  <si>
    <t>@Avenge_mypeople GO TO JEFF CITY TODAY! RAISE HELL AT THE CAPITAL.  TELL THE LEGISLATORS THAT A VOTE FOR IMPEACHMENT LOSES  Y O U R VOTE. https://t.co/hV21NDyWHx</t>
  </si>
  <si>
    <t>@VisioDeiFromLA @ES03784893 @timremole @EricGreitens @MissouriGOP @melody_grover @Hope4Hopeless1 @RealTravisCook @Shawtypepelina @HotPokerPrinces @JohnLamping @Norasmith1000 @SKOLBLUE1 @EdBigCon @GOP @MoDemParty @JayAshcroftMO @HennessySTL Preach on: We’re calling in a Broken Arrow on our own position of necessary.  My soul is prepared. Damn the corrupt GOP to hell. #BurnThePhoneLines #STORMJEFFCITY .  TELL EVERYONE YOU KNOW #THEPEASANTSARECOMING https://t.co/xWmN4Ztt03</t>
  </si>
  <si>
    <t>RT @VisioDeiFromLA: @ES03784893 @timremole @EricGreitens @MissouriGOP @melody_grover @Hope4Hopeless1 @RealTravisCook @Shawtypepelina @HotPo…</t>
  </si>
  <si>
    <t>@Sticknstones4 My prediction? Yes. Yes he will screw Missouri voters. They’re all corrupt bastards and they’ve got to go. #BurnThePhoneLines #STORMJEFFCITY .  TELL EVERYONE YOU KNOW #THEPEASANTSARECOMING https://t.co/gvAKzaOv5m</t>
  </si>
  <si>
    <t>@VisioDeiFromLA #BurnThePhoneLines #STORMJEFFCITY .  TELL EVERYONE YOU KNOW #THEPEASANTSARECOMING https://t.co/gnC9Lfhfsw</t>
  </si>
  <si>
    <t>@ws_missouri @EricGreitens Yeah, ain’t gonna fly: team credit queen will want to ramrod the impeachment.  Prediction: vote to impeach within 1 week. Save this tweet. #BurnThePhoneLines #STORMJEFFCITY .  TELL EVERYONE YOU KNOW #THEPEASANTSARECOMING https://t.co/4W9s5meAUa</t>
  </si>
  <si>
    <t>RT @CStamper_: Yesterday we witnessed a political witch hunt designed to force a conservative out of office collapse. Accusations and media…</t>
  </si>
  <si>
    <t>RT @ResignNowKim: @Avenge_mypeople @AP4Liberty @Monetti4Senate @SykesforSenate #BurnThePhoneLines #STORMJEFFCITY .  TELL EVERYONE YOU KNOW…</t>
  </si>
  <si>
    <t>@jrosenbaum @stlpublicradio @CarolinaHidalgo Yeah: #TheFixIsIn . They’ve already made their decision to impeach- the money men have called the hit.  This isn’t democracy.  It’s an oligarchy. The people need to take it back. We’re not fooled by the propaganda. #THEPEASANTSARECOMING https://t.co/IhI1zMbLRI</t>
  </si>
  <si>
    <t>@DeplorableGoldn @YearOfZero @EricGreitens #BurnThePhoneLines #STORMJEFFCITY .  TELL EVERYONE YOU KNOW #THEPEASANTSARECOMING https://t.co/dLcE2j6cmQ</t>
  </si>
  <si>
    <t>@JackSuntrup @stltoday Yeah: screw greasy jay’s smear machine propaganda.  I’m done listening to your horseshit. The people know a bullshit railroad job when they see it. #BurnThePhoneLines #STORMJEFFCITY .  TELL EVERYONE YOU KNOW #THEPEASANTSARECOMING https://t.co/8n8ey5RwhR</t>
  </si>
  <si>
    <t>@Avenge_mypeople @EricGreitens #BurnThePhoneLines #STORMJEFFCITY .  TELL EVERYONE YOU KNOW #THEPEASANTSARECOMING https://t.co/1WITS2exUF</t>
  </si>
  <si>
    <t>RT @Avenge_mypeople: 2) @EricGreitens plan to put a stop to it is what stirred up this hornets nest of vipers. Even though the corrupt #Kim…</t>
  </si>
  <si>
    <t>@Avenge_mypeople @jallman971 Preach on brother.  Let’s take the fight to the source. #BurnThePhoneLines #STORMJEFFCITY .  TELL EVERYONE YOU KNOW #THEPEASANTSARECOMING https://t.co/cjHujfM6QL</t>
  </si>
  <si>
    <t>RT @Avenge_mypeople: There is some seriously underhanded, dirty politics in Missouri. Behind it all- the attempted prosecution of the gover…</t>
  </si>
  <si>
    <t>@Str8DonLemon @caesar718 @Avenge_mypeople @RealTravisCook @Shawtypepelina @philip_saulter @HotPokerPrinces @blackwidow07 @STLCountyGOP @MissouriGOP @Hope4Hopeless1 @aaron_hedlund #BurnThePhoneLines #STORMJEFFCITY .  TELL EVERYONE YOU KNOW #THEPEASANTSARECOMING https://t.co/z9gwge5wUE</t>
  </si>
  <si>
    <t>RT @Str8DonLemon: #MoLeg 
Food 4 thought
There would be no special committee if no fake indictment
Think.
U dbags only formed special h…</t>
  </si>
  <si>
    <t>RT @SKOLBLUE1: @ResignNowKim @Mizzourah_Mom @tkinder @EricGreitens @RobbyTheremin @Blackboxhalo @BarklageCompany @HennessySTL @EdBigCon @km…</t>
  </si>
  <si>
    <t>@HennessySTL Yet another reason to: #BurnThePhoneLines #STORMJEFFCITY .  TELL EVERYONE YOU KNOW #THEPEASANTSARECOMING https://t.co/pa5bPI86T5</t>
  </si>
  <si>
    <t>RT @HennessySTL: Wow. Gloves off! https://t.co/uu89Dqy258</t>
  </si>
  <si>
    <t>@HennessySTL #BurnThePhoneLines #STORMJEFFCITY .  TELL EVERYONE YOU KNOW #THEPEASANTSARECOMING https://t.co/yxENbm10Jb</t>
  </si>
  <si>
    <t>@HennessySTL #BurnThePhoneLines #STORMJEFFCITY .  TELL EVERYONE YOU KNOW #THEPEASANTSARECOMING https://t.co/u1wLaacIYA</t>
  </si>
  <si>
    <t>RT @JW1057: @MarkReardonKMOX @KMOXKilleen May want to look into secret Mission Continues donor list. Not so secret when the names are poste…</t>
  </si>
  <si>
    <t>RT @HennessySTL: If you can get to Jefferson City this week, tell legislators the people frown on overturning elections. Impeachment means…</t>
  </si>
  <si>
    <t>RT @HennessySTL: Tonight feels like 2009 all over again. Maybe we need a little #teaparty in JC #mo? Give #moleg the old George III treatme…</t>
  </si>
  <si>
    <t>@Avenge_mypeople @AP4Liberty @Monetti4Senate @SykesforSenate #BurnThePhoneLines #STORMJEFFCITY .  TELL EVERYONE YOU KNOW #THEPEASANTSARECOMING https://t.co/w4LeUDoyVg</t>
  </si>
  <si>
    <t>RT @Avenge_mypeople: Notice how they lead you to believe that Hawley is the only candidate who has a chance against Claire? It's intentiona…</t>
  </si>
  <si>
    <t>RT @JW1057: Our corrupt @stlcao! https://t.co/pyPRDijlXX</t>
  </si>
  <si>
    <t>@jmannies @EricGreitens Here’s @johnrhancock ‘a unhinged comparison - https://t.co/sKqKPqOoYy</t>
  </si>
  <si>
    <t>@jmannies @EricGreitens What, you talking bout @johnrhancock - the man who just compared Greitens to Ted Bundy? I’ve got some advice for Hancock - he and his corrupt cronies better grab their anal bum cover. We’re coming to JC to demand justice. #BurnThePhoneLines #STORMJEFFCITY .  #THEPEASANTSARECOMING https://t.co/KpDC65KLDQ</t>
  </si>
  <si>
    <t>@ES03784893 @EricGreitens @missioncontinue Blah blah blah #TorquemadaJane . No use reasoning w a paid troll.  #Done.  We’re coming to JC to demand justice. #BurnThePhoneLines #STORMJEFFCITY .  TELL EVERYONE YOU KNOW #THEPEASANTSARECOMING https://t.co/kZ85C7K3Ku</t>
  </si>
  <si>
    <t>RT @sigi_hill: Now, now, Jane Dueker claims to be a 'Media Attorney' aka COLLUDER
Now she has a 'hussy-fit' bc her intrigues didn't work ou…</t>
  </si>
  <si>
    <t>RT @ResignNowKim: @SKOLBLUE1 @Mizzourah_Mom @tkinder @EricGreitens FIGHT BACK!!! SKOLL!!!!!! #BurnThePhoneLines #STORMJEFFCITY .  TELL EVER…</t>
  </si>
  <si>
    <t>RT @VisioDeiFromLA: (1) #Missouri COUP is ON!
Time 2 see which #MoLeg reps &amp;amp; senators support people and which want to screw over voters…</t>
  </si>
  <si>
    <t>@HennessySTL #BurnThePhoneLines #STORMJEFFCITY .  TELL EVERYONE YOU KNOW #THEPEASANTSARECOMING https://t.co/Za1MotIU2T</t>
  </si>
  <si>
    <t>RT @HennessySTL: Focus on legislators who are Not termed out. Warn them that people don’t like having elections nullifies by pawns. https:/…</t>
  </si>
  <si>
    <t>@SKOLBLUE1 @Mizzourah_Mom @tkinder @EricGreitens FIGHT BACK!!! SKOLL!!!!!! #BurnThePhoneLines #STORMJEFFCITY .  TELL EVERYONE YOU KNOW #THEPEASANTSARECOMING https://t.co/r47uneGJHy</t>
  </si>
  <si>
    <t>RT @SKOLBLUE1: @tkinder @EricGreitens There is an all out war on #Greitens and the #corruption runs so deep in #STL and #Missouri  Very Sad!</t>
  </si>
  <si>
    <t>@Norasmith1000 @sigi_hill @VisioDeiFromLA @Rep_TRichardson @willscharf @Shawtypepelina @Neilin1Neil @RealTravisCook @Avenge_mypeople @HennessySTL @SKOLBLUE1 @ByronYork @gatewaypundit #BurnThePhoneLines #STORMJEFFCITY .  TELL EVERYONE YOU KNOW #THEPEASANTSARECOMING https://t.co/NlLc1p7EVo</t>
  </si>
  <si>
    <t>RT @Norasmith1000: @VisioDeiFromLA @Rep_TRichardson @willscharf @Shawtypepelina @Neilin1Neil @RealTravisCook @Avenge_mypeople @HennessySTL…</t>
  </si>
  <si>
    <t>@blackwidow07 @Sticknstones4 @HennessySTL @Rep_TRichardson @jaybarnes5 @Mikelkehoe @ronfrichards1 #BurnThePhoneLines #STORMJEFFCITY .  TELL EVERYONE YOU KNOW #THEPEASANTSARECOMING https://t.co/DshjWStSk8</t>
  </si>
  <si>
    <t>@sigi_hill @VisioDeiFromLA @Rep_TRichardson @willscharf @Shawtypepelina @Neilin1Neil @RealTravisCook @Avenge_mypeople @Norasmith1000 @HennessySTL @SKOLBLUE1 @ByronYork @gatewaypundit @scottfaughn Fight back!
#BurnThePhoneLines #STORMJEFFCITY .  TELL EVERYONE YOU KNOW #THEPEASANTSARECOMING https://t.co/t72IIo9F5H</t>
  </si>
  <si>
    <t>RT @sigi_hill: @VisioDeiFromLA @Rep_TRichardson @willscharf @Shawtypepelina @Neilin1Neil @RealTravisCook @Avenge_mypeople @Norasmith1000 @H…</t>
  </si>
  <si>
    <t>@VisioDeiFromLA @RonFRichard @Rep_TRichardson #BurnThePhoneLines #STORMJEFFCITY .  TELL EVERYONE YOU KNOW #THEPEASANTSARECOMING https://t.co/UoGICclmMB</t>
  </si>
  <si>
    <t>RT @VisioDeiFromLA: You dont know me
Who else wants to screw over Missouri voters?
@RonFRichard does.
Does @Rep_TRichardson want 2 screw…</t>
  </si>
  <si>
    <t>RT @ResignNowKim: @VisioDeiFromLA @Mikelkehoe @RonFRichard @jaybarnes5 @Rep_TRichardson @HennessySTL @Neilin1Neil @Shawtypepelina @Avenge_m…</t>
  </si>
  <si>
    <t>@JohnLamping Let’s fight back, As men of honor, John. #STORMJEFFCITY https://t.co/3yCsOMaTBs</t>
  </si>
  <si>
    <t>RT @JohnLamping: This is a lobbyist lead effort and the lobbying part is over.  Promises have been made, deals have been cut (see next LtGo…</t>
  </si>
  <si>
    <t>@HennessySTL #STORMJEFFCITY https://t.co/3EEWjvxdFP</t>
  </si>
  <si>
    <t>RT @HennessySTL: Stfb, #moleg. Stfb. https://t.co/EHiaxWg6Oo</t>
  </si>
  <si>
    <t>@HennessySTL #STORMJEFFCITY</t>
  </si>
  <si>
    <t>RT @HennessySTL: Some people hate elections. Why should ordinary people get to vote, anyway? https://t.co/uoQXOHKa1w</t>
  </si>
  <si>
    <t>@RealTravisCook Let’s fight back Travis. #StormJeffCity .  It’s coming. https://t.co/32R957rlGe</t>
  </si>
  <si>
    <t>@VisioDeiFromLA @Mikelkehoe @RonFRichard @jaybarnes5 @Rep_TRichardson @HennessySTL @Neilin1Neil @Shawtypepelina @Avenge_mypeople @willscharf @SKOLBLUE1 @RealTravisCook @RightSideUp313 @Sticknstones4 @blackwidow07 #BurnThePhoneLines #STORMJEFFCITY .  TELL EVERYONE YOU KNOW #THEPEASANTSARECOMING https://t.co/FymWe2Nrjd</t>
  </si>
  <si>
    <t>@blackwidow07 @VisioDeiFromLA @ZekeMelchizedek @Neilin1Neil @Shawtypepelina @willscharf @Avenge_mypeople @HennessySTL @SKOLBLUE1 @Lautergeist @Sticknstones4 @BigJShoota @MissouriGOP ...sometimes.</t>
  </si>
  <si>
    <t>@VisioDeiFromLA @Mikelkehoe @RonFRichard @jaybarnes5 @Rep_TRichardson @HennessySTL @Neilin1Neil @Shawtypepelina @Avenge_mypeople @willscharf @SKOLBLUE1 @RealTravisCook @RightSideUp313 @Sticknstones4 @blackwidow07 #BurnThePhoneLines #STORMJEFFCITY .  TELL EVERYONE YOU KNOW #THEPEASANTSARECOMING https://t.co/HicYni6hvm</t>
  </si>
  <si>
    <t>RT @VisioDeiFromLA: #Moleg doesnt care about #Missouri
Will they steal from U? If U let them.
Dont let them
Mike Kehoe #573-751-2076
@Mi…</t>
  </si>
  <si>
    <t>@blackwidow07 @VisioDeiFromLA @ZekeMelchizedek @Neilin1Neil @Shawtypepelina @willscharf @Avenge_mypeople @HennessySTL @SKOLBLUE1 @Lautergeist @Sticknstones4 @BigJShoota @MissouriGOP 😛</t>
  </si>
  <si>
    <t>RT @blackwidow07: @ResignNowKim @VisioDeiFromLA @ZekeMelchizedek @Neilin1Neil @Shawtypepelina @willscharf @Avenge_mypeople @HennessySTL @SK…</t>
  </si>
  <si>
    <t>@VisioDeiFromLA @ZekeMelchizedek @Neilin1Neil @Shawtypepelina @willscharf @Avenge_mypeople @HennessySTL @SKOLBLUE1 @Lautergeist @Sticknstones4 @blackwidow07 @BigJShoota @MissouriGOP #STORMJEFFCITY</t>
  </si>
  <si>
    <t>RT @VisioDeiFromLA: @ZekeMelchizedek @Neilin1Neil @Shawtypepelina @willscharf @Avenge_mypeople @HennessySTL @SKOLBLUE1 @Lautergeist @Stickn…</t>
  </si>
  <si>
    <t>@kodacohen @valeriehahn @EricGreitens @stltoday She still could have prosecuted the case - she could have had 30 other ACAs try the Case - including Dierker.  She bowed out to save face.  She had jack and shit- and jack left. And she knew it. #Fail https://t.co/LlNvbetvl9</t>
  </si>
  <si>
    <t>RT @sigi_hill: @ws_missouri You haven't learned a damn thing: It's called Coup d'état to CYA. Do your job and do investigative journo inste…</t>
  </si>
  <si>
    <t>RT @philip_saulter: @ws_missouri Well since these senators clearly do not represent the interest of Missouri voters I call on them to resig…</t>
  </si>
  <si>
    <t>RT @VisioDeiFromLA: @blackwidow07 @Boothe08887997 @ST_Designs @Neilin1Neil @EricGreitens @RealTravisCook @YearOfZero @Sticknstones4 @Kathie…</t>
  </si>
  <si>
    <t>RT @Sticknstones4: You don’t have to be a democrat or Republican 
Kim Gardner should not be prosecuting anybody 
  The Human Party request…</t>
  </si>
  <si>
    <t>@EricGreitens Roger that. #STORMJEFFCITY #THEPEASANTSARECOMING</t>
  </si>
  <si>
    <t>#THEPEASANTSARECOMING #STORMJEFFCITY https://t.co/da1rrXAH73</t>
  </si>
  <si>
    <t>RT @Sticknstones4: @HennessySTL ROADTRIP !</t>
  </si>
  <si>
    <t>RT @ResignNowKim: @HennessySTL Boots on the ground!  RALLY AT THE CAPITOL!!!!!!!  SHOW #MOLEG WE MEAN BUSINESS......NAME TIME. NAME THE DAY…</t>
  </si>
  <si>
    <t>@ChrisPearcey @Bob4Right @OhSweetCinna @EricGreitens You mean like millions of women who went to go see fifty shades of boring?  They sick too? #clown</t>
  </si>
  <si>
    <t>RT @sigi_hill: Ditto that! #ProsecuteThemAll #moleg https://t.co/u4RBYBchty</t>
  </si>
  <si>
    <t>RT @DeplorableGoldn: Please!!!!!  #moleg #mogov #Greitens https://t.co/MSJrKtDWCI</t>
  </si>
  <si>
    <t>RT @ResignNowKim: @KMOV Yeah- I saw you post this same hit piece earlier. Love the smear headline.  #YELLOWDOGJOURNALISM . You had to get a…</t>
  </si>
  <si>
    <t>@KMOV Yeah- I saw you post this same hit piece earlier. Love the smear headline.  #YELLOWDOGJOURNALISM . You had to get a degree for this bullshit.  Could of saved your money and gone to an antifa camp for a week.</t>
  </si>
  <si>
    <t>RT @sigi_hill: Let's do it! #DrainTheMOSewer https://t.co/93GMfQPpgE</t>
  </si>
  <si>
    <t>RT @HennessySTL: Developing... https://t.co/itLuqK64rl</t>
  </si>
  <si>
    <t>@ws_missouri Yeah: kehoe got a big award from @Scott faughn in January- are shocked that they’re in bed together? Of course he’s calling for impeachment, you nitwit. They have the same donors!!  You call yourself a journalist? @KCStar @stltoday @AP https://t.co/iLKfOuHJ0h</t>
  </si>
  <si>
    <t>@HennessySTL Boots on the ground!  RALLY AT THE CAPITOL!!!!!!!  SHOW #MOLEG WE MEAN BUSINESS......NAME TIME. NAME THE DAY!!!!! #StormJeffCity</t>
  </si>
  <si>
    <t>RT @HennessySTL: Now, that crooked Kim Gardner dropped fraudulent charges, it’s time for the people to take down the crooks trying to overt…</t>
  </si>
  <si>
    <t>RT @HennessySTL: This will panic Missouri Republicans. Hawley trails rotten Claire. Time for new blood in #MOSen race? I hear good things a…</t>
  </si>
  <si>
    <t>@HennessySTL @AP4Liberty Sounds good to me. @HawleyMO : you’re finished you backstabbing bastard.  I wouldn’t vote for you to save my own mother! Every agent of the #illegalCoup must be brought to justice.  #moleg You’re a weasel. You’ve abused your power. You’ve lost your honor.  And you’re done.</t>
  </si>
  <si>
    <t>RT @CaseyNolen: @scottfaughn Good context. I wasn’t clear on the refernce. Thanks. Speaking of transparency...any update on the “$50k”? I’d…</t>
  </si>
  <si>
    <t>RT @VisioDeiFromLA: Hey Charton
Where is Faughn and I why dont uou do something constructive like ask him where he got that money.
Sorry…</t>
  </si>
  <si>
    <t>@SamWilliams1397 @VisioDeiFromLA @EricGreitens Resign now @stlcao @KimGardnerSTL @kimgardner77th @staceynewman</t>
  </si>
  <si>
    <t>RT @SamWilliams1397: @EricGreitens  https://t.co/EG2yOQwwCR</t>
  </si>
  <si>
    <t>@internalmonolo2 @VisioDeiFromLA So Kehoe was a @scottfaughn stooge. Hahaha. Of course he was!  Because all of the leaders of then fuqing #IllegalCoup are! https://t.co/gNd1rrpgT2</t>
  </si>
  <si>
    <t>@STLed If there’s a shred of justice left in this state after this sorry dumpster fire of a prosecution and railroad job, Kim will be prosecuted and disbarred</t>
  </si>
  <si>
    <t>@CStamper_ @RGreggKeller is the people’s exhibit A for paid oligarch stooge.  He’s a fuqing industry whore.  So #TheFixIsIn , huh Gregg!  We’ll show you you son of a bitch.  Every last tax credit whore out there is going to be exposed.  I will make it my fucking mission in life you twat.</t>
  </si>
  <si>
    <t>RT @CStamper_: How many Missourians is he calling stupid, #moleg ? How many voters in your district? https://t.co/JfaTABbvun</t>
  </si>
  <si>
    <t>@JaneDueker , being of the lobbyist class herself, knows that #TheFixIsIn for impeachment. The oligarchs have already ordered their servants (err legislators) to fall in line or the campaign donations stop! #moleg #mogov .  All you bastards, #WeWillRemember @HennessySTL @EdBigCon https://t.co/jOSTK5frj5</t>
  </si>
  <si>
    <t>RT @magathemaga1: @Nanci_TattooU @jrosenbaum @willscharf @Shawtypepelina @SKOLBLUE1 @RealTravisCook @Neilin1Neil @Avenge_mypeople @blackwid…</t>
  </si>
  <si>
    <t>RT @HennessySTL: Elliott Davis is eviscerating fraudulent Prosecutor Kim Gardner.  Wow. Her family might disown her now!</t>
  </si>
  <si>
    <t>RT @ResignNowKim: (9) #GetMadGodDamnit :... hopefully it won’t come to that.  Hopefully YOU GET OFF YOUR ASS - YES! YOU!!! - and START RAIS…</t>
  </si>
  <si>
    <t>RT @ResignNowKim: (8) #GetMadGodDamnit : .. then you and I can work together as our own investigative journalists and burn the party to the…</t>
  </si>
  <si>
    <t>RT @ResignNowKim: (7) #GetMadGodDamnit : it’s as bad as I’m telling you. You’ve got consultants like @johnrhancock openly implying he suppo…</t>
  </si>
  <si>
    <t>RT @ResignNowKim: (6) #GetMadGodDamnit : ... these criminals are stealing the state money - our money- to make themselves rich and to ultim…</t>
  </si>
  <si>
    <t>RT @ResignNowKim: (5) #GetMadGodDamnit : take a day off work this week and drive to jeff city and raise hell. This is not the time to be ni…</t>
  </si>
  <si>
    <t>RT @ResignNowKim: (4) #BadNews : ... So if you don’t like this, then you need to get mad dog mad and get off your ass. You need to CALL YOU…</t>
  </si>
  <si>
    <t>RT @ResignNowKim: (3) #BadNews : ... So even as you celebrate tonight knowing that he concocted Case against @EricGreitens has failed, the…</t>
  </si>
  <si>
    <t>RT @ResignNowKim: (2) #BadNews : ... ordered their political consultants to issue an ultimatum to legislators throughout the state: either…</t>
  </si>
  <si>
    <t>RT @ResignNowKim: (1) #BadNews : Supporters of Lawful Government of and by the people and not oligarchs- I have heard from several sources…</t>
  </si>
  <si>
    <t>RT @Lautergeist: .#GreitensTrial https://t.co/ZfikBSmnnh</t>
  </si>
  <si>
    <t>RT @HennessySTL: Yep. The oligarchs of the I-55 corridor and the cowardly Republicans they own. Sad state. https://t.co/ONkqhf85on</t>
  </si>
  <si>
    <t>(9) #GetMadGodDamnit :... hopefully it won’t come to that.  Hopefully YOU GET OFF YOUR ASS - YES! YOU!!! - and START RAISING HELL AT JEFF CITY TO DEFEAT THE COUP AGAINST #ERICGREITENS AND DEFEAT THE TAX CREDIT CRIMINALS WHO HAVE HIJACKED OUR STATE GOVERNMENT!!!!!! Let’s DO IT!!! https://t.co/u2dNdfEFvI</t>
  </si>
  <si>
    <t>(8) #GetMadGodDamnit : .. then you and I can work together as our own investigative journalists and burn the party to the ground - vote every last one of them out, and expose every single tax credit gangster and shut their corrupt businesses down &amp;amp; run them out of state. ... https://t.co/yRuuzJagLu</t>
  </si>
  <si>
    <t>(7) #GetMadGodDamnit : it’s as bad as I’m telling you. You’ve got consultants like @johnrhancock openly implying he supports the #IllegalCoup (impeachment) even before evidence has been heard. GO NOW and let #moleg know you mean business. And if they vote anyway .... https://t.co/ZzFeJDGIK6</t>
  </si>
  <si>
    <t>(6) #GetMadGodDamnit : ... these criminals are stealing the state money - our money- to make themselves rich and to ultimately run this state like their own fiefdom - and YOU AS SERFS! Are you going to take that shit? From these gangsters? ..... https://t.co/rJ52Olhalu</t>
  </si>
  <si>
    <t>(5) #GetMadGodDamnit : take a day off work this week and drive to jeff city and raise hell. This is not the time to be nice and polite. These bastards are pissing on our laws. They’re pissing on republicanism as a form of government. They’re turning Mo into a banana republic ... https://t.co/8qHo9NXEQm</t>
  </si>
  <si>
    <t>(4) #BadNews : ... So if you don’t like this, then you need to get mad dog mad and get off your ass. You need to CALL YOUR LEGISLATORS IMMEDIATELY AND TELL THEM THAT A VOTE FOR IMPEACHMENT LOSES YOUR VOTE. You’re on the net. Look up their numbers... #moleg https://t.co/SzEOsumpTr</t>
  </si>
  <si>
    <t>(3) #BadNews : ... So even as you celebrate tonight knowing that he concocted Case against @EricGreitens has failed, the deep state within Missouri has taken governance out of your hands.  They don’t want you in control.  They’re vicious and they will not stop...#moleg https://t.co/VMSeUTgKDK</t>
  </si>
  <si>
    <t>(2) #BadNews : ... ordered their political consultants to issue an ultimatum to legislators throughout the state: either get on board with impeachment or you’re done.  The special session has not even started yet, but the decision to impeach has already been dictated....#moleg https://t.co/oIKNMNgSie</t>
  </si>
  <si>
    <t>(1) #BadNews : Supporters of Lawful Government of and by the people and not oligarchs- I have heard from several sources that #TheFixIsIn and @EricGreitens will be impeached.  The money men behind the annual $600 Billion in tax credits have made the call and have .. #moleg #mogov https://t.co/u7FhJ5Fmz6</t>
  </si>
  <si>
    <t>@ES03784893 @JaneDueker @EricGreitens @GOP @MOGOP_Chairman @MOrepublicans @jaybarnes5 Look at that! @janedueker gets a reply from......@janedueker with a bag on her head!!!! #moleg #mogov</t>
  </si>
  <si>
    <t>@JaneDueker @ES03784893 @EricGreitens @GOP @MOGOP_Chairman @MOrepublicans @jaybarnes5 So that’s your opinion, eh? I don’t believe it. “BREAKING: Jane Dueker believes Eric Greitens is screwed. Public in shock at her declaration.” You’s a joke. #mogov #moleg.</t>
  </si>
  <si>
    <t>@johnrhancock your coup clients are in Twouble now. Walls are closin’ in.... #WHATCHAGONNADO https://t.co/aQgZ7io60V</t>
  </si>
  <si>
    <t>RT @ResignNowKim: OMG!!! Did @johnrhancock seriously just compare @EricGreitens to Ted Bundy?????? #moleg #unhinged #CoupCrashesIntoMountai…</t>
  </si>
  <si>
    <t>@KMOV What a limp hit-tweet.  Can’t you smear him better than that? Put some effort into it. #mogov moleg https://t.co/Mca1zH438D</t>
  </si>
  <si>
    <t>@STLsherpa @RightSideUp313 It didn’t get dismissed- it was such a dumpster fire that she DISMISSED IT HERSELF to attempt to save face. #parthetic @stlcao @KimGardnerSTL @kimgardner77th #ResignNowKim #moleg #mogov #FailedCoup https://t.co/hQMELEKqNf</t>
  </si>
  <si>
    <t>RT @STLsherpa: You spend taxpayer money to prosecute a governor. You hire experts, investigate and file charges. Then your case gets dismis…</t>
  </si>
  <si>
    <t>RT @JW1057: @l_hoffer No. It is an extremely high burden to call prosecutor as a witness. Gardner mishandled this case from the beginning w…</t>
  </si>
  <si>
    <t>RT @joshschisler: @johnrhancock If your side flagrantly violates the law while "investigating" your political adversary, I would not recomm…</t>
  </si>
  <si>
    <t>RT @ResignNowKim: @rxpatrick Hear that??? @RGreggKeller #moleg @jaybarnes5 @staceynewman . Sound of nails being driven into the coffin of y…</t>
  </si>
  <si>
    <t>RT @ResignNowKim: @rxpatrick Hey @jaybarnes5 ....... #WHATCHAGONNADO ? Death knell of ya dirty little coup...... https://t.co/IzWXxeWexN</t>
  </si>
  <si>
    <t>RT @ResignNowKim: @rxpatrick #moleg #mogov @EricGreitens @jaybarnes5 @RGreggKeller @JaneDueker @BarklageCompany @HennessySTL @stltoday @ton…</t>
  </si>
  <si>
    <t>RT @ResignNowKim: @imagine_garden RUH ROH GGREGG!  #ThePeasantsAreComing #GOPocalypse . I can hear the din of the angry mob in the distance…</t>
  </si>
  <si>
    <t>RT @ResignNowKim: @CDTCivilWar @ws_missouri @MissouriTimes @scottfaughn @EricGreitens Hey Rudi- while you’re there, ask them what they thin…</t>
  </si>
  <si>
    <t>RT @ResignNowKim: @magathemaga1 @jaybarnes5 That’s OK @jaybarnes5 : your role in this #IllegalCoup is going to come out.  MO peasants gonna…</t>
  </si>
  <si>
    <t>RT @ResignNowKim: @JaneDueker Your #bullshit coup is #Imploding . What? No clever snark about how @EricGreitens is gonna lose the trial? Tr…</t>
  </si>
  <si>
    <t>RT @ResignNowKim: @ES03784893 @EricGreitens @GOP @MOGOP_Chairman @MOrepublicans That similar to how you were “sure” Trump would lose, and “…</t>
  </si>
  <si>
    <t>RT @ResignNowKim: @magathemaga1 I think you have @J_Hancock confused with a real journalist, like @KMOXKilleen ... you know, the kind that…</t>
  </si>
  <si>
    <t>RT @ResignNowKim: @ES03784893 @GOP @EricGreitens Translation: “Nothing to see here...our fake evidenceless prosecution of @EricGreitens is…</t>
  </si>
  <si>
    <t>RT @ResignNowKim: @magathemaga1 @RGreggKeller @EricGreitens @blackwidow07 @ByronYork @willscharf @Shawtypepelina @mopns @DerekGrier @SKOLBL…</t>
  </si>
  <si>
    <t>RT @ResignNowKim: @CStamper_ In witch hunts, the process IS the punishment......the trial is an afterthought.  Hence, why @stlcao @KimGardn…</t>
  </si>
  <si>
    <t>RT @ResignNowKim: @sigi_hill @scottfaughn Here’s why we can’t find @scottfaughn .....@ScottCharton #PlatformHeelsCharton https://t.co/FvUpK…</t>
  </si>
  <si>
    <t>RT @ResignNowKim: @AbbyLlorico @EricGreitens Yeah- Gardner doesn’t have any evidence.  That’s a good day. @stlcao https://t.co/oWKNUQIz96</t>
  </si>
  <si>
    <t>RT @ResignNowKim: @jrosenbaum @emilyrau No, she could have. - she has 30 other ACAs at her disposal.  She’ll still have he prospect of bein…</t>
  </si>
  <si>
    <t>RT @VisioDeiFromLA: @Adamrx7 @deannamarie623 @KMOXKilleen @kmoxnews @EricGreitens He didnt read the article. The entire basis for the indic…</t>
  </si>
  <si>
    <t>RT @JW1057: @Sticknstones4 @VisioDeiFromLA @willscharf @Shawtypepelina @RightSideUp313 @Neilin1Neil @RealTravisCook @SKOLBLUE1 @Rep_TRichar…</t>
  </si>
  <si>
    <t>RT @Sticknstones4: @VisioDeiFromLA @willscharf @Shawtypepelina @RightSideUp313 @Neilin1Neil @RealTravisCook @SKOLBLUE1 @Rep_TRichardson @bl…</t>
  </si>
  <si>
    <t>RT @HennessySTL: Thank you Governor @EricGreitens for *living* Resilience right before our eyes. Great day for Justice. #mo</t>
  </si>
  <si>
    <t>RT @Sticknstones4: Governor Eric Greitens Press Conference after Felony Invasion of Privacy Case was dropped 
We Have a great Mission Befo…</t>
  </si>
  <si>
    <t>OMG!!! Did @johnrhancock seriously just compare @EricGreitens to Ted Bundy?????? #moleg #unhinged #CoupCrashesIntoMountain #mogov @RGreggKeller @HennessySTL @jaybarnes5 https://t.co/Kxg953s93V</t>
  </si>
  <si>
    <t>RT @KMOV: The Latest: Prosecutors drop charge against Greitens https://t.co/8kdkFDnOxm</t>
  </si>
  <si>
    <t>RT @Sticknstones4: Confirmed No picture 
It’s Time the money behind this charade of a case be followed 
Who supplied the 120k cash 
#gre…</t>
  </si>
  <si>
    <t>RT @Str8DonLemon: Remember #MoLeg
No evidence.
She dont even have the photo!
The whole case based on that!
When do we disbar Crooked Kim…</t>
  </si>
  <si>
    <t>RT @VisioDeiFromLA: Why? 
You dont impeach on feelings.
Mad because he didnt get convicted of false charges?
#MoLeg #MoGov #Greitens #gr…</t>
  </si>
  <si>
    <t>RT @DeplorableGoldn: RT 🚨
Well since these senators clearly do not represent the interest of Missouri voters I call on them to resign.  The…</t>
  </si>
  <si>
    <t>RT @Str8DonLemon: Where is the police report?
Oh wait Kim Gardner didnt go to the police and instead hired some "OUTSIDE PROSECUTORS"
She…</t>
  </si>
  <si>
    <t>RT @VisioDeiFromLA: It's COUP Time!
Not even an apology 4 dragging #greitens through the mud on false charges! 
Now #MoLeg looks to disre…</t>
  </si>
  <si>
    <t>RT @VisioDeiFromLA: Sarah anybody who follows your coverage is a complete idiot and doesnt want the truth 
#moleg #mogov #Greitens #Greite…</t>
  </si>
  <si>
    <t>RT @EricGreitens: Special interests have been ripping you off for years. We put an end to it and we’re putting more money back in your pock…</t>
  </si>
  <si>
    <t>RT @EricGreitens: We all have to deal with suffering, but if we deal with it in the right way, we can emerge with strength.
I also believe…</t>
  </si>
  <si>
    <t>@ws_missouri Not due to lack of evidence. LIES. YOU HAD NO EVIDENCE YOU DISGRACE TO THE LEGAL PROFESSION!!! YOU ARE MISSOURI’S OWN #MIKENIFONG . YOUR DISBARMENT IS IMMINENT. #moleg #mogov @stlcao</t>
  </si>
  <si>
    <t>@VisioDeiFromLA Nope: wasn’t interested in your coverage Sarah</t>
  </si>
  <si>
    <t>RT @VisioDeiFromLA: IT'S NOT A COUP
IT'S NOT A COUP
IT'S NOT A COUP
IT'S NOT A COUP
IT'S NOT A COUP
IT'S NOT A COUP
IT'S NOT A COUP
IT'S NO…</t>
  </si>
  <si>
    <t>RT @RightSideUp313: @VisioDeiFromLA @Rep_TRichardson @HennessySTL This never gets old!</t>
  </si>
  <si>
    <t>@RGreggKeller No, this is throw all shit possible at the wall to see what sticks.  #YouLose #Desperation #moleg.  Rats are comin’ outta the woodwork now to stop the hemorrhaging. Plane has crashed into mountain for #IllegalCoup when u have @johnrhancock comparing @EricGreitens to Ted Bundy lol</t>
  </si>
  <si>
    <t>RT @magathemaga1: Which reminded me of story/video from @mopns
"One question we have is why Newman’s stepson, Andrew Newman, who works 4 t…</t>
  </si>
  <si>
    <t>@TinaMorphis @stlbriancollins @jrosenbaum @EricGreitens @stlcao @KimGardnerSTL @kimgardner77th In that case, if done in the spirit of love and mercy, I thank you.</t>
  </si>
  <si>
    <t>@jrosenbaum @emilyrau No, she could have. - she has 30 other ACAs at her disposal.  She’ll still have he prospect of being called in the second trial too. No- this was about prolonging the punishment by abuse of process....and getting what she wanted from the beginning - a Nov (elections) trial date.</t>
  </si>
  <si>
    <t>@TinaMorphis @stlbriancollins @jrosenbaum @EricGreitens @stlcao @KimGardnerSTL @kimgardner77th Good one.....</t>
  </si>
  <si>
    <t>RT @magathemaga1: #KimShady afraid of testifying cuz she manipulated KS into bogus testimony of hers and now she wants to refile with diffe…</t>
  </si>
  <si>
    <t>@JuanTibonya @stltoday Unfortunately no- she bailed when she learned she’d have to be called as a witness- so she punted in the hopes of a November trial date for a new Case. #ProsecutorialMisconduct  #DisbarKimGardner #AbuseOfProcess #moleg #mogov @EricGreitens . She lives to die another day.</t>
  </si>
  <si>
    <t>RT @stltoday: BREAKING: Circuit attorney seeking special prosecutor in #Greitens case, charge dropped in meantime https://t.co/hI5YZCAKEC</t>
  </si>
  <si>
    <t>@stlbriancollins @jrosenbaum @EricGreitens NO EVIDENCE WHATSOEVER + COMPLETE INCOMPETENCE &amp;amp; PROSECUTORIAL MISCONDUCT BY #KIMSHADY #MOLEG #MOGOV https://t.co/NCXSAFF4YF</t>
  </si>
  <si>
    <t>RT @jrosenbaum: A spokeswoman for Gardner says they’ll be refining the case, with request for a special prosecutor. https://t.co/WujCU7sEox</t>
  </si>
  <si>
    <t>RT @EdBigCon: BREAKING! The entire case against @EricGreitens has been TOSSED!  #MOLEG #GreitensCriminalTrial</t>
  </si>
  <si>
    <t>RT @KMOXKilleen: Charge dropped against @EricGreitens by St Louis Circuit Attorney. Invasion of privacy case over before it starts.</t>
  </si>
  <si>
    <t>RT @KMOXKilleen: All sides in chambers for sudden meeting with judge in @EricGreitens case. Something is about to happen and it feels signi…</t>
  </si>
  <si>
    <t>RT @ResignNowKim: @ScottCharton @VP @EricGreitens Hey guess what Scott, YOU’RE neck deep in the “Greitens scandal.” Or have you forgotten y…</t>
  </si>
  <si>
    <t>RT @ResignNowKim: @KMOV @stlcao you idiots!  You prosecuted this man @EricGreitens without having any evidence! I hear the Missouri Bar cal…</t>
  </si>
  <si>
    <t>RT @caesar718: @ResignNowKim @EricGreitens @KimGardnerSTL @kimgardner77th @stlcao She’s gotta go!</t>
  </si>
  <si>
    <t>RT @blackwidow07: @ResignNowKim @magathemaga1 @scottfaughn @Neilin1Neil @RealTravisCook @Norasmith1000 @Shawtypepelina @willscharf @DerekGr…</t>
  </si>
  <si>
    <t>RT @ResignNowKim: @magathemaga1 @scottfaughn @Neilin1Neil @RealTravisCook @blackwidow07 @Norasmith1000 @Shawtypepelina @willscharf @DerekGr…</t>
  </si>
  <si>
    <t>RT @ResignNowKim: @caesar718 @EricGreitens Yes, that’s how ethical prosecutors normally proceed.... but then we’re talking #kimshady here.…</t>
  </si>
  <si>
    <t>RT @ResignNowKim: @J_Hancock @ES03784893 @EricGreitens Just following up, Jason: any progress on finding out where @scottfaughn ‘s $70k cam…</t>
  </si>
  <si>
    <t>RT @RealTravisCook: @ResignNowKim @JW1057 When you are a failed rock &amp;amp; roll star--all rebellious against the established pillars of society…</t>
  </si>
  <si>
    <t>RT @AbbyLlorico: .@EricGreitens just walked into the courtroom looking like he was on a campaign stop: a big smile and eager handshakes for…</t>
  </si>
  <si>
    <t>@AbbyLlorico @EricGreitens Yeah- Gardner doesn’t have any evidence.  That’s a good day. @stlcao https://t.co/oWKNUQIz96</t>
  </si>
  <si>
    <t>RT @magathemaga1: Speaking of Stacey Newman... 
@SpeakerTimJones spoke about this when he was arguing with her on Twitter when she decided…</t>
  </si>
  <si>
    <t>RT @JW1057: @AshliLincoln Why is CAO not complying with public records requests? Why are they not providing proof payment to Sullivan, Ente…</t>
  </si>
  <si>
    <t>RT @CStamper_: Soros-backed Gardner’s witch hunt involves:
"$50k in cash was dropped to the attorney in this case representing the ex-husba…</t>
  </si>
  <si>
    <t>RT @ResignNowKim: @JW1057 @RealTravisCook I think I heard something about “Beta Male Blues.”</t>
  </si>
  <si>
    <t>RT @magathemaga1: What we definitely know for sure?
Stacey Knewman is involved in coordination with Mo House dems and #KimShady
She knew.…</t>
  </si>
  <si>
    <t>RT @magathemaga1: As for #MoLeg Collusion with #KimShady...
Was it only Democrats?
Did any member of @MOHouseGOP also collude with CAO 2…</t>
  </si>
  <si>
    <t>@sigi_hill @scottfaughn Here’s why we can’t find @scottfaughn .....@ScottCharton #PlatformHeelsCharton https://t.co/FvUpKjmXMu</t>
  </si>
  <si>
    <t>RT @sigi_hill: Who is hiding @scottfaughn #moleg #MoGov #MOSen https://t.co/D36xe4uKun</t>
  </si>
  <si>
    <t>RT @RightSideUp313: @magathemaga1 Riddle me this all you screaming Libs; if Koster was elected, instead of Greitens, and had same affair wo…</t>
  </si>
  <si>
    <t>RT @magathemaga1: You impeach over BS, EXPECT massive losses at ballot box in November. You have to fight this or they will keep doing it &amp;amp;…</t>
  </si>
  <si>
    <t>@JW1057 @RealTravisCook I think I heard something about “Beta Male Blues.”</t>
  </si>
  <si>
    <t>RT @Sticknstones4: @JW1057 @RealTravisCook Soft peter rock</t>
  </si>
  <si>
    <t>RT @JW1057: @RealTravisCook Any truth to the report Phil Sneed is founding a new band called "Limp Dick?"
#moleg #mogov #greitens #KimShady…</t>
  </si>
  <si>
    <t>RT @RealTravisCook: My take: Katrina Sneed likely made up the photo/blackmail story in order to justify her affair to her husband when foun…</t>
  </si>
  <si>
    <t>@CStamper_ In witch hunts, the process IS the punishment......the trial is an afterthought.  Hence, why @stlcao @KimGardnerSTL @kimgardner77th didn’t acquire evidence before charging @EricGreitens , &amp;amp; why @jaybarnes5 is racing through w special session. Justice be damned. #railroad #moleg https://t.co/FYoEfAPkY1</t>
  </si>
  <si>
    <t>RT @CStamper_: Gardner’s witch hunt “was a weak case from the beginning, and the prosecution has admitted that they DO NOT have the photogr…</t>
  </si>
  <si>
    <t>RT @BigJShoota: #AsExpected 
In a move that confirms, this has all gone too far, #MoLeg subpoena #EricGreitens’ top political adviser 
#Gre…</t>
  </si>
  <si>
    <t>RT @CStamper_: In witch hunts the prosecution isn't "interested in winning so much as in damaging the accused politically. And this is espe…</t>
  </si>
  <si>
    <t>RT @DineshDSouza: If the FBI systematically spied on the Trump campaign, the big question becomes: who gave the order?</t>
  </si>
  <si>
    <t>RT @magathemaga1: Judge OKd use of name &amp;amp; you cannot GAG public
Also ALLEGED victim
Public can speak about KS if they want. It's in PUBLI…</t>
  </si>
  <si>
    <t>RT @ResignNowKim: @ST_Designs @TheBADASS_army @ma_franks @elisadamico @EricGreitens Hey! It’s a First And Fourteenth Amendment Press/ Acces…</t>
  </si>
  <si>
    <t>RT @sigi_hill: MISSOURI CRIME SCENE
The secret coup by #MODemocRATs and the #MOSenat sewer against @GovGreitensMO to keep their corruptions…</t>
  </si>
  <si>
    <t>RT @magathemaga1: I see your conceding defeat on the fake hairdresser story and pivoting tl more bs.
How about an apology for all of your…</t>
  </si>
  <si>
    <t>RT @magathemaga1: Now Jason.
Ask
Who funded @scottfaughn 
Who is The Funder
That's the key
Dig into this
#moleg #mogov #GreitensTrial…</t>
  </si>
  <si>
    <t>@ST_Designs @TheBADASS_army @ma_franks @elisadamico @EricGreitens Hey! It’s a First And Fourteenth Amendment Press/ Access to the Court’s issue.  Not to mention 6th Amendment confrontation clause. This ain’t a sex assault case. The public has a right to know - this isn’t a police state. She shoulda had better “friends” than @staceynewman #moleg</t>
  </si>
  <si>
    <t>RT @sigi_hill: Crooked @jaybarnes5 #Resign!
Crooked  @Rep_TRichardson #Resign!
#WeWillRememberYou https://t.co/1B4L93YJl4</t>
  </si>
  <si>
    <t>RT @eyokley: Bunch of lawmakers from another set of #MOLeg controversies finally got their wish. https://t.co/yu24gKJuai</t>
  </si>
  <si>
    <t>RT @BigJShoota: 🧐🧐🧐🧐 https://t.co/LCIiFAQTfq</t>
  </si>
  <si>
    <t>RT @magathemaga1: @BigJShoota The sad thing shoota is while some dems may be involved, it looks like more republicans are involved.</t>
  </si>
  <si>
    <t>@BigJShoota Word</t>
  </si>
  <si>
    <t>RT @magathemaga1: @jrosenbaum @jaybarnes5 @Rep_TRichardson Hey Jason doing a little homework my self here based on what's public
Will be u…</t>
  </si>
  <si>
    <t>RT @jrosenbaum: What I’m wondering is if @jaybarnes5 will subpoena low income housing tax credit developers/lobbyists to ask them under oat…</t>
  </si>
  <si>
    <t>RT @CStamper_: Soros-backed Kim “Gardner herself met personally with the witness in a motel in Illinois where there were no witnesses and n…</t>
  </si>
  <si>
    <t>RT @ChrisHayesTV: The MO Gov's iCloud photos have been obtained. According to defense atty Jim Martin, the CA received records from Apple l…</t>
  </si>
  <si>
    <t>@magathemaga1 @RGreggKeller @EricGreitens @blackwidow07 @ByronYork @willscharf @Shawtypepelina @mopns @DerekGrier @SKOLBLUE1 @RightSideUp313 @RealTravisCook @Norasmith1000  https://t.co/zxDm6soPFc</t>
  </si>
  <si>
    <t>RT @magathemaga1: And just to add @RGreggKeller 
It appears it wasnt @EricGreitens who brought this.
Who created this witch hunt?
Who is…</t>
  </si>
  <si>
    <t>RT @magathemaga1: I have no sympathy for your argument. 
The PA lied to the GJ to get an indictment.
You all have slandered a man knowing…</t>
  </si>
  <si>
    <t>@ES03784893 @GOP @EricGreitens Translation: “Nothing to see here...our fake evidenceless prosecution of @EricGreitens is exploding in our faces....must think up some new hyper emotional distraction with which to attack!” #moleg #mogov</t>
  </si>
  <si>
    <t>RT @Sticknstones4: Many #Moleg Memebers let Missouri get ripped off for years
Governor Greitens put an end to it 
This is why they want t…</t>
  </si>
  <si>
    <t>RT @magathemaga1: Speaking of #MoLeg 
We know that Stacey Knewman was colluding with CAO to arrange this. Her words indicate there was coo…</t>
  </si>
  <si>
    <t>RT @magathemaga1: Who is “The Funder”?
The Funder likely has connection to following people:
1. #MoLeg
2. Scott Faughn
3. Skyler 
The Fu…</t>
  </si>
  <si>
    <t>RT @CStamper_: Soros-backed prosecutor Kim Gardner’s witch hunt “is the criminalization of politics, something the left has been doing for…</t>
  </si>
  <si>
    <t>@magathemaga1 I think you have @J_Hancock confused with a real journalist, like @KMOXKilleen ... you know, the kind that actually digs and pounds the pavement to get the story and get it right?  Jason is less Woodward &amp;amp; Bernstein and more @TheMAURYShow #moleg #mogov</t>
  </si>
  <si>
    <t>@caesar718 @EricGreitens Yes, that’s how ethical prosecutors normally proceed.... but then we’re talking #kimshady here. @KimGardnerSTL @kimgardner77th @stlcao something tells me #kimshady hasn’t been keeping up on her CLE hours. #moleg #FAIL #MOGOV https://t.co/xRZYeF1SSA</t>
  </si>
  <si>
    <t>RT @magathemaga1: Jason.
Who is the funder of Scott Faughn's Money.
That's the key to this.
Are you sitting on it?
#moleg #mogov #Greit…</t>
  </si>
  <si>
    <t>RT @magathemaga1: No evidence.
Remind me again what #KimShady and associates told the GJ they had to reach indictment? 
#moleg #mogov #Gr…</t>
  </si>
  <si>
    <t>RT @caesar718: Well well, what do you know?! Complete political witch hunt against @EricGreitens. They should have been in receipt of evide…</t>
  </si>
  <si>
    <t>RT @magathemaga1: Total farce.
#KimShady needs to be disbarred.
No photo 
No cloud data 
No case 
DISMISS 
DISBAR
Come on Rex!
#MOLeg…</t>
  </si>
  <si>
    <t>@ES03784893 @EricGreitens @GOP @MOGOP_Chairman @MOrepublicans @JaneDueker @jaybarnes5 I don’t get it- is this supposed to be a response to me? Wtf?</t>
  </si>
  <si>
    <t>@J_Hancock @ES03784893 @EricGreitens Just following up, Jason: any progress on finding out where @scottfaughn ‘s $70k came from? Or who’s paying KS’s legal fees? Or who Skyler is? Or whether or not the whole damn thing is being orchestrated by the #TaxCreditQueens who lost their corporate welfare? #moleg #mogov https://t.co/v952CQ2n4F</t>
  </si>
  <si>
    <t>@ES03784893 @EricGreitens @GOP @MOGOP_Chairman @MOrepublicans That similar to how you were “sure” Trump would lose, and “sure” Greitens would lose, and “sure” Greitens was guilty of the photo #bullshit ? LOLOLOLOL. #moleg #mogov @JaneDueker @EricGreitens @jaybarnes5 #GreasyJay #WHATCHAGONNADO https://t.co/9ZUmbvNlzx</t>
  </si>
  <si>
    <t>RT @TomJEstes: School admins like this guy are now openly opposing a bill that would require public schools to work harder to make sure kid…</t>
  </si>
  <si>
    <t>@JPRadioMofo LEMMY! I missed ya man! #AceOfSpades #LemmyForever</t>
  </si>
  <si>
    <t>@JaneDueker Your #bullshit coup is #Imploding . What? No clever snark about how @EricGreitens is gonna lose the trial? Trying to put that colossal failure behind you? THERE NEVER WAS ANY EVIDENCE! KIM HAD BUTKIS FROM THE BEGINNING and you aided this farce. #moleg #mogov @markreardonkmox https://t.co/iJrcfbEvSQ</t>
  </si>
  <si>
    <t>RT @magathemaga1: Learn about “Face” and “Asia”
Trump knows what he is doing. America will get a better deal as a result thanks to trumps…</t>
  </si>
  <si>
    <t>@magathemaga1 @jaybarnes5 That’s OK @jaybarnes5 : your role in this #IllegalCoup is going to come out.  MO peasants gonna run you out on a rail.  I can hear the roar of the mob now. Impeachment or no, #WeWillRemember you. You will be exposed for the fiend you are. #moleg your lynch mob, too. Ya goober. https://t.co/cX5it7uhxN</t>
  </si>
  <si>
    <t>RT @CStamper_: George Soros is expanding the model he has tested in Missouri, where the prosecutor he funded is now leading a witch hunt ag…</t>
  </si>
  <si>
    <t>RT @magathemaga1: Is @jaybarnes5 attempting to taint the jury pool?
#moleg #mogov #greitens #GreitensTrial https://t.co/Dxkpn8UdgL</t>
  </si>
  <si>
    <t>@KMOV @stlcao you idiots!  You prosecuted this man @EricGreitens without having any evidence! I hear the Missouri Bar calling, @kimgardner77th @KimGardnerSTL ... They want you to leave your keys and your BAR CARD  on your desk.... You’re a disgrace. #moleg #mogov https://t.co/2IJVQI3JP0</t>
  </si>
  <si>
    <t>RT @KMOV: Greitens' lawyer says prosecutors have stopped photo search https://t.co/aMrVASmybf</t>
  </si>
  <si>
    <t>RT @CStamper_: Soros-backed Kim Gardner’s witch hunt centers on whether or not a photograph was taken. “The prosecution does not have the p…</t>
  </si>
  <si>
    <t>RT @JW1057: Consent. Committee Failure. Prosecutorial Misconduct. @MoRepEvans @TeamGreitens 
#moleg #mogov #greitens #KimShady #IStandWithG…</t>
  </si>
  <si>
    <t>@CDTCivilWar @ws_missouri @MissouriTimes @scottfaughn @EricGreitens Hey Rudi- while you’re there, ask them what they think about @ScottCharton .  I mean, while we’re talking about excommunicating clowns.  #moleg #PlatformHeelsCharton #mogov https://t.co/XIkV0SPvwc</t>
  </si>
  <si>
    <t>RT @RestiveRabble: @CStamper_ The criminalizing of the American justice system is horrifying. The lack of public outrage is our doom.</t>
  </si>
  <si>
    <t>@ScottCharton @VP @EricGreitens Hey guess what Scott, YOU’RE neck deep in the “Greitens scandal.” Or have you forgotten your buddy @scottfaughn . Has he eaten all of your cheeto stock yet? Moving on to pork rinds next. Uh oh! #moleg Scott - you’re a joke. Nobody takes you seriously. #PlatformHeelsCharton https://t.co/kmtOD2YhvE</t>
  </si>
  <si>
    <t>RT @CDTCivilWar: The Missouri Capitol News Association, by a 7-0 vote, has revoked the membership of @MissouriTimes due to the payments by…</t>
  </si>
  <si>
    <t>@CStamper_ Don’t forget prosecutorial immunity.  They’re untouchable tyrants—— the sort of thing that appeals to a Marxist like Soros. #moleg</t>
  </si>
  <si>
    <t>RT @CStamper_: “Prosecutorial discretion gives district attorneys a huge say in the charges and sentences that defendants face. But reform…</t>
  </si>
  <si>
    <t>@imagine_garden RUH ROH GGREGG!  #ThePeasantsAreComing #GOPocalypse . I can hear the din of the angry mob in the distance....they’re making their way to JC....with torches and sharpened pitchforks. Y’all might want to sit this one out....and not “see this thing through...” #moleg @RGreggKeller https://t.co/6yOnDWsXvb</t>
  </si>
  <si>
    <t>RT @rnjulesb: Gov. Greitens lawyer says prosecutors have given up on finding photo of ex-mistress https://t.co/IKtxw1EFIZ via @fox2now</t>
  </si>
  <si>
    <t>@rxpatrick #moleg #mogov @EricGreitens @jaybarnes5 @RGreggKeller @JaneDueker @BarklageCompany @HennessySTL @stltoday @tonymess @J_Hancock @KCStar #GreitensTrial #StandWithGreitens @scottfaughn @EricGreitens @stlcao @ChrisHayesTV @kmox @kmoxnews @KMOXKilleen @charliekmox @ScottCharton</t>
  </si>
  <si>
    <t>@rxpatrick Hey @jaybarnes5 ....... #WHATCHAGONNADO ? Death knell of ya dirty little coup...... https://t.co/IzWXxeWexN</t>
  </si>
  <si>
    <t>@rxpatrick Hey @JaneDueker ...... #WHATCHAGONNADO https://t.co/cbc8Y1nMFx</t>
  </si>
  <si>
    <t>@rxpatrick Hear that??? @RGreggKeller #moleg @jaybarnes5 @staceynewman . Sound of nails being driven into the coffin of your dirty little coup.  #Whatchagonnado when Missouri voters fully learn the truth about this Lege Lynching plot? #PeasantsAreComing #WeWillRemember #mogov https://t.co/M0ChY7DXgM</t>
  </si>
  <si>
    <t>RT @rxpatrick: Greitens trial update, 10:15am. Defense lawyer Jim Martin said earlier that prosecutors obtained data on gov’s Apple iCloud…</t>
  </si>
  <si>
    <t>RT @Blackboxhalo: @ChrisHayesTV Paid story(in cash), May have dreamt it, No picture, corrupt CA Kim, Fake News @tonymess</t>
  </si>
  <si>
    <t>RT @CStamper_: Soros-backed Kim “Gardner hired a private investigator rather than use the St. Louis police, and the investigator, William T…</t>
  </si>
  <si>
    <t>RT @EdBigCon: No photo, No Case! #moleg https://t.co/7PWXYdolGn</t>
  </si>
  <si>
    <t>RT @CStamper_: Soros-backed prosecutor Kim Gardner has finally abandoned her desperate search for the evidence she should have had in hand…</t>
  </si>
  <si>
    <t>RT @CStamper_: Soros spent "more than $3 million into seven local district-attorney campaigns in six states over the past year,” &amp;amp; his inve…</t>
  </si>
  <si>
    <t>RT @KMOXKilleen: Hmmmm... https://t.co/vgKJmW8JLr</t>
  </si>
  <si>
    <t>RT @CStamper_: Kim Gardner's "campaign for circuit attorney received no less than $190,750.73 from Soros-funded groups. It should be pointe…</t>
  </si>
  <si>
    <t>RT @CStamper_: “Isn’t anyone interested in the questions about the political motivations in this whole ordeal?” Well, some of us are. Unfor…</t>
  </si>
  <si>
    <t>@rlippmann FOR THE LOVE OF GOD: #BENCHTRIAL</t>
  </si>
  <si>
    <t>@ws_missouri #WHERESTHEMONEYLEBOWSKI ? Until you start reporting on where @scottfaughn got the $70k, you’re never going to get to the next level - actually being a journalist. Figure that out, you’ll blow the conspiracy wide open. History-making. That doesn’t interest you. I get it. #moleg</t>
  </si>
  <si>
    <t>@charliekmox CONGRATULATIONS on 30 great years @kmox ! We love you Charlie! Keep up the great work! As always, thank you for your honesty and integrity. I hope that is appreciated by @KMOXPD et al. #moleg #mogov @KMOXKilleen @HennessySTL</t>
  </si>
  <si>
    <t>@LaurenTrager @EricGreitens @KMOV Will any of those updates include 1) your coordination with @stlcao Kim Gardner leading up to her decision to charge;2) how you landed the Phil Sneed interview;3) where @scottfaughn got $70k to pay Sneed’s bills;&amp;amp;4) who’s paying KS legal bills? Feel like reporting today? #moleg</t>
  </si>
  <si>
    <t>RT @magathemaga1: Keep spinning tony.
You and charton ain't going to make the question of where Scott Faughn got his money go away.
Basic…</t>
  </si>
  <si>
    <t>RT @HotPokerPrinces: Special interests Ripping off Missouri Taxpayers 
Eric Greitens stood up for Taxpayers to end this corrupt scam  
TIM…</t>
  </si>
  <si>
    <t>RT @magathemaga1: FLASHBACK #moleg #mogov
Remember this? 
This is when @EricGreitens cut off the gravy train. This was late last year....…</t>
  </si>
  <si>
    <t>RT @magathemaga1: Find The Funder, Find The Key
✔️Where is Scott Faughn
✔️Who gave him the money?
✔️Who is Skyler?
👉Who lost the most fro…</t>
  </si>
  <si>
    <t>@ChristopherAve That’s correct Chris. Say, did you happen to uncover anything about1) who’s paying KS’s Simpson legal bills;2) where @scottfaughn got $70k to pay for ex hubby’s lawyer; and3) if the money men are related to the tax credits @EricGreitens cut? How bout some journalism Chris? #moleg</t>
  </si>
  <si>
    <t>RT @JW1057: 50 Shades of Katrina "Kitty" Sneed. Who is paying Scott Simpson? What did @stlcao say to you in that hotel room, when it was ju…</t>
  </si>
  <si>
    <t>RT @sigi_hill: Missouri Crime Scene
The #MoralTurpitude #MoLeg are using #KittySneedWhore lies to square up against Governor #Greitens that…</t>
  </si>
  <si>
    <t>RT @SKOLBLUE1: IRS needs to be involved along with @FBIStLouis  Scott Faughn needs to be forthright and come clean. His sex and drug den ca…</t>
  </si>
  <si>
    <t>RT @CStamper_: Soros’ with hunt is reaching its apex in Missouri where his prosecutor is currently trying to oust Missouri’s Republican Gov…</t>
  </si>
  <si>
    <t>@ES03784893 @EricGreitens @JaneDueker @SpeakerTimJones Mmmmmkay.......?</t>
  </si>
  <si>
    <t>RT @SKOLBLUE1: @JGibsonDem @stltoday @kevinmcdermott It is EXTREMELY clear that you obviously have ZERO idea how military contracts work, n…</t>
  </si>
  <si>
    <t>RT @RightSideUp313: @KMOXKilleen @EricGreitens Kevin, would you kindly investigate who’s paying for all this? City hall is silent so I’m wo…</t>
  </si>
  <si>
    <t>@ScottCharton @EricGreitens @MoRepEvans If no consent, why hasn’t overly ambitious -and professionally negligent(you been tracking the multiple bar complaints against her?) -Kim Gardner @stlcao charged his ass? Can’t squirrel out of that one #PlatformHeelsCharton #moleg U tired of @scottfaughn drinkin all yur beer yet? https://t.co/zp2gdT4lIm</t>
  </si>
  <si>
    <t>@ES03784893 @Kootiekat0507 @KMOXKilleen @EricGreitens Yeah Kevin: the impeachment trolls have conceded defeat in @stlcao Kim’s BS photo Case. You might as well stop covering it bc it will end in tremendous embarrassment for the #moleg who have been leveraging it to fulfill their coup objective. #mogov . Spare them the embarrassment.</t>
  </si>
  <si>
    <t>RT @Norasmith1000: This is exactly what I've thought!
 #moleg #mogov https://t.co/ujlXD3PmLW</t>
  </si>
  <si>
    <t>@BigJShoota See also #Waco</t>
  </si>
  <si>
    <t>@RiverfrontTimes  https://t.co/h6wJFSs9fZ</t>
  </si>
  <si>
    <t>@ES03784893 @EricGreitens Finally: sometimes the F-bomb is the only word that truly captures the sentiment.  And it felt great exercising my first amendment freedoms -esp. re clowns at @stltoday . God bless America, and @jack and his censor brownshirts can eat it.</t>
  </si>
  <si>
    <t>@ES03784893 @EricGreitens And another thing- I didn’t vote for Greitens and, frankly, at this point it’s not about him. I realize paid consultants like you (are you @JaneDueker ?) have trouble understanding altruism (Read: fighting for something you don’t get paid for). #moleg #mogov @SpeakerTimJones https://t.co/0nOQCeBM3L</t>
  </si>
  <si>
    <t>@ES03784893 @EricGreitens Think you misunderstand what’s happening here, friend. It’s oddly personal bc I’m a member of “the public” who has been consuming propaganda news for decades and I’m fed up w the bullshit. I’m tired of being lied to by journo-divas like @tonymess &amp;amp; @gilbertbailon . #moleg #mogov</t>
  </si>
  <si>
    <t>RT @CStamper_: Soros-backed Kim Gardner’s witness, the supposed victim’s “ex-husband -- who divorced her over the affair with Greitens -- v…</t>
  </si>
  <si>
    <t>RT @liberty1776son: @ResignNowKim @SpeakerTimJones @magathemaga1 @tonymess @GilbertBailon @stltoday So, Katrina Snead is not a victim here.…</t>
  </si>
  <si>
    <t>@jmannies @MarshallGReport Blah blah blah. Who cares.</t>
  </si>
  <si>
    <t>RT @CStamper_: Soros-backed Kim Gardner is wasting big time taxpayer dollars on a Harvard professor who simply laughs at the judge after th…</t>
  </si>
  <si>
    <t>RT @zerohedge: Stormy's Lawyer Drops Mysterious Tweet Linking Qatari 'Royalty', Ice Cube, Cohen, Flynn, Bannon, &amp;amp; Trump https://t.co/bFpigj…</t>
  </si>
  <si>
    <t>RT @magathemaga1: @Blackboxhalo @tonymess @therebirth @EricGreitens "If you are anonymous, I wont debate you"
That's tony saying he knows…</t>
  </si>
  <si>
    <t>RT @Avenge_mypeople: @magathemaga1 @tonymess @blackwidow07 @Shawtypepelina @DerekGrier @MOHouseGOP @grcfay @mopns @Sticknstones4 @SpeakerTi…</t>
  </si>
  <si>
    <t>RT @magathemaga1: @tonymess since U dont want people talking about Stacey Newman's friend or her inconsistent testimony (lies) &amp;amp; perhaps he…</t>
  </si>
  <si>
    <t>RT @ResignNowKim: @SpeakerTimJones @magathemaga1 Translation: “Hey Tony: you suck ass. Go fuck yourself.” @tonymess @gilbertbailon @stltoda…</t>
  </si>
  <si>
    <t>RT @HennessySTL: Missouri is more corrupt than Russia.  Missouri’s oligarchs are out to get @EricGreitens. The evil oligarchs want your tax…</t>
  </si>
  <si>
    <t>RT @magathemaga1: What is @tonymess going to report?
U cant gag the public.
Judge OKd use of the names for media. Why arent you naming th…</t>
  </si>
  <si>
    <t>@SpeakerTimJones @magathemaga1 Translation: “Hey Tony: you suck ass. Go fuck yourself.” @tonymess @gilbertbailon @stltoday . Messenger sucks at journalism and sucks at sound dietary choices.....and sucks at life.  I wouldn’t be surprised if he were also flaccid, judging by his #WeakAssPropagandaNSheeit #moleg https://t.co/LgFYonHDFu</t>
  </si>
  <si>
    <t>RT @SpeakerTimJones: The Internet Autocrat Hath Spoken!! So absolutely laughable to watch this washed up dinosaur media character assassin…</t>
  </si>
  <si>
    <t>@magathemaga1 @scottfaughn @Neilin1Neil @RealTravisCook @blackwidow07 @Norasmith1000 @Shawtypepelina @willscharf @DerekGrier @RightSideUp313 @MOHouseGOP @SKOLBLUE1 OMG! Then that would mean that the media, elements within @MissouriGOP and the @MoDemParty are all conspiring against @EricGreitens and flagrantly deceiving the public!! What can we do to stop this madness?!?! @moleg #mogov should people start tweeting these Qs to media directly?</t>
  </si>
  <si>
    <t>RT @magathemaga1: @ResignNowKim @scottfaughn @Neilin1Neil @RealTravisCook @blackwidow07 @Norasmith1000 @Shawtypepelina @willscharf @DerekGr…</t>
  </si>
  <si>
    <t>RT @Allthatjewelry: ANTIFA trained by terrorist and endorsed by the DNC!  is put on 🇺🇸 FBI terrorism list. LIBERAL &amp;amp; LEFT-WING WEBSITE
http…</t>
  </si>
  <si>
    <t>@magathemaga1 @scottfaughn @Neilin1Neil @RealTravisCook @blackwidow07 @Norasmith1000 @Shawtypepelina @willscharf @DerekGrier @RightSideUp313 @MOHouseGOP @SKOLBLUE1 Wait! Are you saying the media may be deliberately sitting on the truth in order to actively shape political events? That doesn’t seem “objective.”  You suggesting the media is mostly composed of ideological activists who push propaganda narratives on the public? #moleg #mogov</t>
  </si>
  <si>
    <t>RT @magathemaga1: SPECULATION #MOLEG
Why does media lack any curiosity as to where @scottfaughn's 💰 came from?
What if media knows where…</t>
  </si>
  <si>
    <t>@internalmonolo2 @YearOfZero Too bad we can’t see a poll of what a drag your pal @scottfaughn has been?  Has your doublewide been raided yet by the cops, lookin for #FugitiveFaughn ? I shouldn’t be so hard on you.  You’re just a lackey of the big money. #moleg #mogov https://t.co/tF177oXIiv</t>
  </si>
  <si>
    <t>RT @JW1057: @mffisher Please get the facts straight about what we know regarding the affair between @EricGreitens and Katrina. @JamesMNHarr…</t>
  </si>
  <si>
    <t>RT @magathemaga1: "The Thing"?
Sounds like The Coup
Saying that in such a way presupposes there was plan in motion
"Failure to..." indic…</t>
  </si>
  <si>
    <t>RT @magathemaga1: @RiverfrontTimes @sarahfenske @ChrisHayesTV @stltoday @KCStar @kmoxnews @KMOXKilleen @MarkReardonKMOX @MarcCox971 @971FMT…</t>
  </si>
  <si>
    <t>@RGreggKeller see what I mean about the truth will out?  You the ringleader of this coup? Or just a lieutenant? #moleg #mogov #IllegalCoup @stltoday @KMOXKilleen @kmoxnews @rep_TRichardson @jaybarnes5 @jeanielauer @shawnrhoads154 @elijahhaahr har har har @scottfaughn #TWMP https://t.co/Cd5AXv6BOL</t>
  </si>
  <si>
    <t>@RiverfrontTimes Dunno, clown. Ever heard of the 6th Amendment? You folks gonna be goosestepping in no time. Fuckin fascists. #YouSuckAtRationalThought</t>
  </si>
  <si>
    <t>RT @magathemaga1: Well it was interesting, wasn’t it? 
You were on location?
Still evading that subpoena, Scott?
Where did you get the m…</t>
  </si>
  <si>
    <t>@magathemaga1 @tonymess @stltoday @tonymess is a hack and a coward. Expose his activism-fashioned-as-journalism and he gets all butt-hurt.  Tony: #YouSuckAtJournalism and we’re going to keep exposing your interested ideological activism you tout as objective journalism. @gilbertbailon is no better. #moleg #mogov https://t.co/X2iKMX7eFX</t>
  </si>
  <si>
    <t>RT @magathemaga1: Quit trying to change the subject.
Your talking about dark money. Let’s talk about dark money.
Who Gave Scott Faughn th…</t>
  </si>
  <si>
    <t>@zerohedge Fuck Google. Monopoly needs to be broken up. 15 years ago, google was worth a shit. Today, it’s a useless graveyard of ad bullshit. Can’t find a fucking thing.</t>
  </si>
  <si>
    <t>RT @zerohedge: "The Search Engine Is The Most Powerful Source Of Mind Control Ever Invented..." https://t.co/SoYPHayX04</t>
  </si>
  <si>
    <t>RT @MariaChappelleN: https://t.co/qhqYBwLZpz</t>
  </si>
  <si>
    <t>RT @YearOfZero: @AngelaLily0501 @magathemaga1 @EricGreitens @MOGOP_Chairman @Rep_TRichardson @ByronYork @MOHouseGOP @gatewaypundit @Norasmi…</t>
  </si>
  <si>
    <t>RT @magathemaga1: At least @MariaChappelleN is asking!
#GreitensTrial #findfaughn #Greitens #Missouri #MoneyBags https://t.co/JfYr3dFQpc</t>
  </si>
  <si>
    <t>RT @Sticknstones4: @jeffreyboyd We sure can do better !  Stlcao office is a Hot Mess ! 
https://t.co/kte0GphRgY</t>
  </si>
  <si>
    <t>RT @Sticknstones4: @jeffreyboyd Mr Boyd how much is being spent on Greitens circus prosecution?  It’s a BS case,! All that money for sulliv…</t>
  </si>
  <si>
    <t>RT @Sticknstones4: Do a story on How Much the city of St. Louis is spending to prosecute a class D felony ! 
@LydaKrewson @PresReed @Ellio…</t>
  </si>
  <si>
    <t>RT @ResignNowKim: @J_Hancock @eyokley @EricGreitens (Cont.) Another meta question: 5) for all of the loudest #moleg and other politicos adv…</t>
  </si>
  <si>
    <t>RT @ResignNowKim: @J_Hancock Yeah, so Jason: who engineered the “distraction?”  Huh? Are you capable of asking the tough questions, or are…</t>
  </si>
  <si>
    <t>RT @ResignNowKim: @StevenDialTV @41actionnews You advertise “clear and complete coverage.” It is neither clear nor complete.  It’s lazy rep…</t>
  </si>
  <si>
    <t>RT @ResignNowKim: @magathemaga1 @MOHouseGOP @jaybarnes5 @Rep_TRichardson Great questions that hack journalists like @tonymess @kevinmcdermo…</t>
  </si>
  <si>
    <t>RT @ResignNowKim: @MariaChappelleN @Sticknstones4 @scottfaughn Hey @hafnermo or should I say #MoleManMike : where is @scottfaughn ?  #moleg</t>
  </si>
  <si>
    <t>RT @Sticknstones4: @JGibsonDem Bro you live in Illinois  you don’t vote in Missouri 
Learn the facts of the case 
https://t.co/Tmj1se20cO</t>
  </si>
  <si>
    <t>RT @magathemaga1: Hey @Rep_TRichardson @Rep_TRichardson 
And it will be complete electoral uprising if u keep witch hunt going.
We know h…</t>
  </si>
  <si>
    <t>RT @Sticknstones4: @StevenDialTV @41actionnews Find Scott Faughn 
FOLLOW THE MONEY !!!  Some  #moleg are corrupt https://t.co/bEFDVOTo8l</t>
  </si>
  <si>
    <t>@MariaChappelleN @Sticknstones4 @scottfaughn Hey @hafnermo or should I say #MoleManMike : where is @scottfaughn ?  #moleg</t>
  </si>
  <si>
    <t>RT @MariaChappelleN: Table. Chairs. Back set. Sunburn. Where's @scottfaughn? https://t.co/BcrLz3hpaQ</t>
  </si>
  <si>
    <t>@magathemaga1 @MOHouseGOP @jaybarnes5 @Rep_TRichardson Great questions that hack journalists like @tonymess @kevinmcdermott and anyone at @KCStar wont ask. You folks aren’t journalists. You’re ideological activists masquerading as objective reporters. You’re lying to the public, much like #moleg &amp;amp; @scottfaughn . You sell lies. https://t.co/SXBmXspdYH</t>
  </si>
  <si>
    <t>RT @magathemaga1: U should ask judge why there isnt a bench trial at this point.
Slanted coverage h The @MOHouseGOP releasing incomplete r…</t>
  </si>
  <si>
    <t>RT @Sticknstones4: @StevenDialTV @41actionnews History of being on trial for Alledgedy taking a photo 🤳 that does not exist, no witness tha…</t>
  </si>
  <si>
    <t>@StevenDialTV @41actionnews You advertise “clear and complete coverage.” It is neither clear nor complete.  It’s lazy reporting at best,  #YellowDogJournalism  sensationalism at worst. Get off your ass &amp;amp; ask real questions: where did @scottfaughn money come from? Who is driving the persecution? Why? #moleg https://t.co/EMdEqiogll</t>
  </si>
  <si>
    <t>RT @magathemaga1: The real question is why @kcstar wont report the story correctly 
Somebody likely paid these people up make this story u…</t>
  </si>
  <si>
    <t>RT @magathemaga1: Democrats want complete gun confiscation.
Dont be fooled
Common sense gun control means what?
We already have common s…</t>
  </si>
  <si>
    <t>RT @JW1057: @MariaChappelleN Watkins says he received $120k. Sullivan's contract is capped at $120k. Coincidence?
#moleg #mogov #greitens #…</t>
  </si>
  <si>
    <t>RT @magathemaga1: Says a lot about journalism in #Missouri when @MariaChappelleN only one asking hard questions
Where is Scott?
And where…</t>
  </si>
  <si>
    <t>RT @magathemaga1: Who is "The Funder"?
Where is the money coming from?
It wasn’t Scott’s Money. IRS NEEDS TO GET INVOLVED
#Greitens #Gre…</t>
  </si>
  <si>
    <t>RT @DineshDSouza: Is Mueller this dumb? Or does he think the press is too dumb to notice he indicted a Russian company that doesn’t even ex…</t>
  </si>
  <si>
    <t>RT @VisioDeiFromLA: Too bad the story is a lie.
#Greitens https://t.co/D3APGlNAjO</t>
  </si>
  <si>
    <t>RT @HennessySTL: WHAT A DISGRACE! Special Counsel Mueller Charged Russian Company Not in Existence at Time of Charge!  https://t.co/7EN9iF2…</t>
  </si>
  <si>
    <t>RT @Avenge_mypeople: THREAD. I recommend you read it because it is the truth. https://t.co/2XZ3TjsIyG</t>
  </si>
  <si>
    <t>RT @sagajake: 1. One of the biggest obvious differences between the Real Right (or Traditionalist Right) and the mainstream Right is this:…</t>
  </si>
  <si>
    <t>RT @sagajake: 6. The spiritual decadence caused by pure capitalism has led to the atomization of society, and people literally cannot conce…</t>
  </si>
  <si>
    <t>RT @sagajake: 4. In other words, if you are really of the Right, you cannot reify the economy. Man is not "homo economicus." Economic man h…</t>
  </si>
  <si>
    <t>RT @sagajake: 3. Unlike the libertarian-right or alt-lite or Beltway Elite, we believe that the actual goal of our civilization is the main…</t>
  </si>
  <si>
    <t>RT @MSTLGA: His Advertisers Too https://t.co/THRCVjerXk</t>
  </si>
  <si>
    <t>RT @ResignNowKim: @J_Hancock @eyokley @EricGreitens Jason: “scandals” are narratives, and they don’t just “happen”, they’re pushed by inter…</t>
  </si>
  <si>
    <t>RT @ResignNowKim: @J_Hancock @eyokley @EricGreitens (Cont.) So our question to you, Jase, is: “what are you doing to report honestly to us…</t>
  </si>
  <si>
    <t>RT @ResignNowKim: @J_Hancock @eyokley @EricGreitens (Cont.) So instead of insulting your readers, how bout you start reporting on the eleph…</t>
  </si>
  <si>
    <t>RT @ResignNowKim: @J_Hancock @eyokley @EricGreitens (Cont.) More meta questions: 2) connection bt @scottfaughn &amp;amp; @rep_TRichardson &amp;amp; #Sterli…</t>
  </si>
  <si>
    <t>RT @ResignNowKim: @Sticknstones4 @magathemaga1 @KDNLABC30 @38sport @Connections22 @scottfaughn @hafnermo @BarklageCompany #moleg @stltoday…</t>
  </si>
  <si>
    <t>@J_Hancock Yeah, so Jason: who engineered the “distraction?”  Huh? Are you capable of asking the tough questions, or are you content to mindlessly fan rhe “scandal” flames- aka #YellowDogJournalism #RememberTheMaine #moleg #mogov  #ScandalPeddler . I hear @TMZ is hiring, Jason. https://t.co/WLTL3L4In3</t>
  </si>
  <si>
    <t>@Sticknstones4 @magathemaga1 @KDNLABC30 @38sport @Connections22 @scottfaughn @hafnermo @BarklageCompany #moleg @stltoday @KMOXKilleen</t>
  </si>
  <si>
    <t>RT @Sticknstones4: @KDNLABC30 @38sport @Connections22 
By airing on location, you’re accessory to @scottFaughn evading a supoena 
You are…</t>
  </si>
  <si>
    <t>RT @Sticknstones4: When you have cash payments , closed door sessions, indictments without evidence &amp;amp; witnesses evading a supoena   You bet…</t>
  </si>
  <si>
    <t>@J_Hancock @eyokley @EricGreitens (Cont.) Another meta question: 5) for all of the loudest #moleg and other politicos advocating #Greitens ouster- have you asked them if they have a conflict of interest? Asked them if they’re being paid to say these things? Asked them if they stand to profit politically or $$$??? https://t.co/9XAfmJhj6A</t>
  </si>
  <si>
    <t>@J_Hancock @eyokley @EricGreitens (Cont.) More meta questions: 2) connection bt @scottfaughn &amp;amp; @rep_TRichardson &amp;amp; #SterlingBank - all of Poplar bluff, &amp;amp; #LIHTC ? 3) Greitens killed $1.5B (10yrs) of corporate welfare; who has a motive to take him out? 4)same entities funding #moleg anxious to knock out #Greitens ? https://t.co/IVaRkeBdTB</t>
  </si>
  <si>
    <t>@J_Hancock @eyokley @EricGreitens (Cont.) So instead of insulting your readers, how bout you start reporting on the elephants in the room? The meta questions to which the skeptical public want answers. #moleg #mogov . For ex.: where did @scottfaughn money come from? @RGreggKeller @stltoday @KMOXKilleen @kmoxnews</t>
  </si>
  <si>
    <t>@J_Hancock @eyokley @EricGreitens (Cont.) So our question to you, Jase, is: “what are you doing to report honestly to us about who’s pushing these narratives? #moleg #mogov  You spend all this ink reporting on the kabuki theater, pretending there’s nothing behind the screen. I’ll tell you who: @RGreggKeller et al https://t.co/UY3YiwzhY7</t>
  </si>
  <si>
    <t>@J_Hancock @eyokley @EricGreitens Jason: “scandals” are narratives, and they don’t just “happen”, they’re pushed by interested persons who feed guys like you. Yet, guys like you report on the “scandal” (read: pushed narrative) as if they’re not pre-packaged narratives. THAT’S why the public doesn’t trust you. https://t.co/uHUCSWrUij</t>
  </si>
  <si>
    <t>@RiverfrontTimes Query: Who are his people? @Avenge_mypeople</t>
  </si>
  <si>
    <t>RT @ResignNowKim: A limerick for Greg-guh: “His name was @RGreggKeller , an industry whore of a feller. He ginned up a coup, to gain IOUs,…</t>
  </si>
  <si>
    <t>RT @Sticknstones4: @ResignNowKim @RGreggKeller @scottfaughn @EricGreitens @BarklageCompany @Rep_TRichardson How much did he pay Scott for t…</t>
  </si>
  <si>
    <t>A limerick for Greg-guh: “His name was @RGreggKeller , an industry whore of a feller. He ginned up a coup, to gain IOUs, and hid @scottfaughn in his cellar.” #moleg #mogov @EricGreitens #greitens #greitenstrial #StandWithGreitens @BarklageCompany @Rep_TRichardson #WHATCHAGONNADO https://t.co/2naOL9sIR2</t>
  </si>
  <si>
    <t>RT @ResignNowKim: Hey @RGreggKeller you’re out of touch and out of the loop. Try to keep up w current events- especially if you’re gonna tr…</t>
  </si>
  <si>
    <t>RT @ResignNowKim: @Avenge_mypeople @JW1057 @RonFRichard @VisioDeiFromLA @magathemaga1 @rxpatrick @joelcurrier @MarkReardonKMOX @Sticknstone…</t>
  </si>
  <si>
    <t>RT @ResignNowKim: @RGreggKeller Despicable: a word reserved for GOP Iagos (see Othello) like @Hafnermo @BarklageCompany @RGreggKeller @jayb…</t>
  </si>
  <si>
    <t>RT @ResignNowKim: @RGreggKeller Well, thank god a DC consultant ally rag supports your coup. That sure as hell would make me sleep well at…</t>
  </si>
  <si>
    <t>RT @ResignNowKim: @RGreggKeller Nope, Greg-guh: just means you and your pals have buddies at the examiner. Unsurprising.  Just like your gu…</t>
  </si>
  <si>
    <t>RT @Sticknstones4: Looking at Greg Keller’s late night drunken twitter rants.
Dude would have been better served to just rub one out, and s…</t>
  </si>
  <si>
    <t>RT @JW1057: @KMOXKilleen @EricGreitens No proof of transmission (plus other problems) means no case. Dismissal time @stlcao! You manipulate…</t>
  </si>
  <si>
    <t>RT @ResignNowKim: @CStamper_ @thesearcher998 Kim is a complete dumbshit. @stlcao @kimgardner77th . She needs to resign. https://t.co/5rJN29…</t>
  </si>
  <si>
    <t>@Gilcoleman @InGodIDoTrust @realDonaldTrump @POTUS What a miserable looking bunch.  Bet they’re great at cocktail parties.</t>
  </si>
  <si>
    <t>RT @JW1057: Hmm! 2 times in 12 years. 1 time wasn't really cheating? Were Kitty and Phil on a break so it didn't count (Ross &amp;amp; Rachel on Fr…</t>
  </si>
  <si>
    <t>@ES03784893 @EricGreitens Pathetic. That’s not what you meant, and you know it, clown. Honk honk. Your original comment only made sense if you meant intercourse. Again, you lose. We keep playing, but the result will never change. #Fail #moleg #mogov @JaneDueker https://t.co/BQvFTkZzqp</t>
  </si>
  <si>
    <t>RT @ResignNowKim: @ES03784893 Look I get it, you’re embarrassed bc you got caught not knowing shit-but your desperate efforts are just sad.…</t>
  </si>
  <si>
    <t>RT @Lautergeist: The comedy of errors with this trial is STAGGERING.  Prosecution JUST NOW subpoenas EG's phone.  Betting #KimShady @stlcao…</t>
  </si>
  <si>
    <t>@CStamper_ @thesearcher998 Kim is a complete dumbshit. @stlcao @kimgardner77th . She needs to resign. https://t.co/5rJN29j1zs</t>
  </si>
  <si>
    <t>RT @CStamper_: Already two days into jury selection and Soros-backed Kim Gardner is still desperately in search of evidence she should have…</t>
  </si>
  <si>
    <t>@ES03784893 Look I get it, you’re embarrassed bc you got caught not knowing shit-but your desperate efforts are just sad. You’re not good at this. It’s ok. In the Trump economy, you can easily start a new career - just like the #moleg supporting the #IllegalCoup when we vote them out. #mogov https://t.co/7zJbzcGgoj</t>
  </si>
  <si>
    <t>RT @InGodIDoTrust: Some estimates that draining the swamp of all the traitors (past and present) will reduce the federal payroll by 60 to 8…</t>
  </si>
  <si>
    <t>RT @JW1057: 2/2 What was spent on two other experts and Enterra? Plus additional work. Don't you wonder if the CAO is actually paying these…</t>
  </si>
  <si>
    <t>RT @JW1057: 1/2 @MariaChappelleN I don't believe the $120k to Watkins was all the money spent. Where is the money for Scott Simpson coming…</t>
  </si>
  <si>
    <t>@RGreggKeller Gregg: I’ll still be here.....  #moleg #mogov so will the rest of the voters pissed off with you and your clients. @EricGreitens https://t.co/Gb2qak9Gr0</t>
  </si>
  <si>
    <t>RT @Sticknstones4: @RGreggKeller The only thing i have in common with drunk, bad parent Alec Baldwin is I like to play word with friends 
Y…</t>
  </si>
  <si>
    <t>@KMOXKilleen @EricGreitens Marco from Tropoja says: https://t.co/Mso12NOZLb</t>
  </si>
  <si>
    <t>RT @Sticknstones4: @KMOXKilleen @EricGreitens  https://t.co/ulHCyRIZcm</t>
  </si>
  <si>
    <t>RT @ResignNowKim: @ES03784893 Again: you said he stuck her with his “cockiness.” Demonstrating you dont know shit about this case, among ot…</t>
  </si>
  <si>
    <t>@ES03784893 Nope: you can’t walk back your demonstrated ignorance.  Bell can’t be unrung. You said they had intercourse.  They didn’t. You lose. #moleg #mogov . You so dumb. @JaneDueker</t>
  </si>
  <si>
    <t>RT @JW1057: @StLCountyRepub @realDonaldTrump @nfpstl Sorry, I must support @clairecmc over @HawleyMO. I will support any Republican other t…</t>
  </si>
  <si>
    <t>@MattMackowiak And who pushed that hit piece? Full court press by Missourah money men and their consultants like @RGreggKeller .  Is anyone surprised?  #moleg</t>
  </si>
  <si>
    <t>RT @ResignNowKim: @ES03784893 You suggested stuck her with his “cockiness.” Clown.  Did you miss that part? #moleg #mogov</t>
  </si>
  <si>
    <t>RT @magathemaga1: Sorry @dcexaminer @ByronYork 
EG innocent 
Get out here 2 #moleg 2 investigate properly
#Missouri media is in cover up…</t>
  </si>
  <si>
    <t>RT @VisioDeiFromLA: Kinky, Consensual affair. 
It’s ALLEGED.  Not proven. 
You know what the most popular genre of books are?
Romance no…</t>
  </si>
  <si>
    <t>@ES03784893 Again: you said he stuck her with his “cockiness.” Demonstrating you dont know shit about this case, among other things. @JaneDueker #mogov #moleg @EricGreitens</t>
  </si>
  <si>
    <t>@ES03784893 You suggested stuck her with his “cockiness.” Clown.  Did you miss that part? #moleg #mogov</t>
  </si>
  <si>
    <t>RT @travelandfish: Thank God every day you are in America and can go to Mass, Sunday service, whatever you do and not be scared! Latest ISI…</t>
  </si>
  <si>
    <t>@ES03784893 Are you mentally handicapped? THEY DID A COMPLETE FORENSIC EXAM OF HIS PHONE- as in EVERYTHING.  #moleg #mogov @EricGreitens .  You’re on a roll today, you’re batting .000 . Course you’re always wrong, it’s esp. easy to swat your shit down today. Went at it too hard last night?</t>
  </si>
  <si>
    <t>RT @magathemaga1: So @stltoday knows the case is falling apart so they run a pathetic hit piece because they are pathetic.
Justin have you…</t>
  </si>
  <si>
    <t>@ES03784893 Talk about infectious diseases. You caught a case of the dumbs. They didn’t have intercourse, clown. #moleg #mogov #TryReadingSome @EricGreitens</t>
  </si>
  <si>
    <t>@ES03784893 @EricGreitens You idiot: they didn’t have intercourse! My god! Read up on this shit before you start running your mouth! #moleg #mogov @JaneDueker #Moron #Dumbshit</t>
  </si>
  <si>
    <t>RT @CStamper_: Honor your father and your mother, so that you may live long in the land the LORD your God is giving you. (Exodus 20:12)</t>
  </si>
  <si>
    <t>RT @ResignNowKim: @RGreggKeller Did you seriously just comment on your own comment? Shit man, I retweet my own tweets, but man’s gotta have…</t>
  </si>
  <si>
    <t>RT @ResignNowKim: @Dogan4Rep @RGreggKeller @dcexaminer @Rep_TRichardson @elijahhaahr @RobVescovo I love how you’re sucking up to your donor…</t>
  </si>
  <si>
    <t>RT @ResignNowKim: @GKCdaily @RGreggKeller Whatever. Gregg, you virtue signaling Chesterton is like @StormyDaniels virtue signaling abstinen…</t>
  </si>
  <si>
    <t>RT @ResignNowKim: @JaneDueker : I’ll dedicate a limerick to you soon, too.</t>
  </si>
  <si>
    <t>RT @ResignNowKim: https://t.co/shD5rz8vLR</t>
  </si>
  <si>
    <t>RT @ResignNowKim: @Norasmith1000 @VisioDeiFromLA @RGreggKeller It’s OK, Nora. Remember: there’s an injustice against Eric, but that’s not t…</t>
  </si>
  <si>
    <t>RT @ResignNowKim: @HotPokerPrinces @VisioDeiFromLA I found Skylar! @ScottCharton #moleg https://t.co/Tjf8FdLjww</t>
  </si>
  <si>
    <t>RT @ResignNowKim: @magathemaga1 @MOHouseGOP @tonymess : you’re a joke. You’re a  propagandist piece of shit.  You don’t even write well. Lu…</t>
  </si>
  <si>
    <t>RT @ResignNowKim: @kingaugustus @NoMoSocialism75 @AvrilMai91 @AP4Liberty Most importantly, he isn’t a treacherous bastard like @HawleyMO</t>
  </si>
  <si>
    <t>RT @ResignNowKim: @timmthelen Oh honey, shhhsssshh.  1) the 4 schneiderman women actually accused him of brutal sex assault. 2) 19 women ac…</t>
  </si>
  <si>
    <t>RT @ResignNowKim: @timmthelen No no no. You’re thinking of Roman Polanski- and Bill Clinton.....and also....you got nuthin’ on Greitens. Gi…</t>
  </si>
  <si>
    <t>RT @ResignNowKim: @MilitaryEarth @RJFerryJr You’re not forgotten brother. #WeWillRemember</t>
  </si>
  <si>
    <t>RT @ResignNowKim: @timmthelen a) because they aren’t cunts like that piece of shit. b) they’re not guilty of anything. Btw: schneiderman lo…</t>
  </si>
  <si>
    <t>RT @timmthelen: Let's review
19 Women came forward to accuse Trump. You ignored them &amp;amp; now pretend that means he's innocent.
1 Woman came f…</t>
  </si>
  <si>
    <t>@MilitaryEarth @RJFerryJr You’re not forgotten brother. #WeWillRemember</t>
  </si>
  <si>
    <t>RT @MilitaryEarth: Honoring Marine Maj. Douglas A. Zembiec who selflessly sacrificed his life eleven years ago in Iraq for our great Countr…</t>
  </si>
  <si>
    <t>@timmthelen No no no. You’re thinking of Roman Polanski- and Bill Clinton.....and also....you got nuthin’ on Greitens. Give up. You lose. Just go back to your shitty apartment, comb over, and 80s porn. You have failed at everything in your life. It’s ok. You’ve options. You can exit.</t>
  </si>
  <si>
    <t>@timmthelen Oh honey, shhhsssshh.  1) the 4 schneiderman women actually accused him of brutal sex assault. 2) 19 women accused trump of what? [crickets].  And 3) w Greitens- she didn’t accuse him of doing shit. No accusation of sex assault. In fact she adores him. Try reading, clown fucker.</t>
  </si>
  <si>
    <t>@kingaugustus @NoMoSocialism75 @AvrilMai91 @AP4Liberty Most importantly, he isn’t a treacherous bastard like @HawleyMO</t>
  </si>
  <si>
    <t>@timmthelen a) because they aren’t cunts like that piece of shit. b) they’re not guilty of anything. Btw: schneiderman loved to be pissed on by women.....same as Hitler. Just sayin’.</t>
  </si>
  <si>
    <t>RT @gatewaypundit: OH BOY! Iranian Regime Threatens to Release Names of Western Officials Who Took Bribes to Pass Nuke Deal https://t.co/93…</t>
  </si>
  <si>
    <t>RT @VisioDeiFromLA: There was no collusion. https://t.co/0FQyTn8O8X</t>
  </si>
  <si>
    <t>@magathemaga1 @MOHouseGOP @tonymess : you’re a joke. You’re a  propagandist piece of shit.  You don’t even write well. Lucky for you, you give great HJs To @GilbertBailon  . btw: never trust a man named Gilbert. Who the hell publicizes his name as Gilbert? Fuck kind of a name is that? https://t.co/HQK94lGHwZ</t>
  </si>
  <si>
    <t>RT @magathemaga1: Messenger still doesn’t care who gave Scott Faughn his money though.
This is why the St. Louis Post dispatch has no cred…</t>
  </si>
  <si>
    <t>RT @HotPokerPrinces: WHO IS SKYLER WITH THE 50,000 GRAND IN CASH
#BankOfRex #FindFaughn #Joplin #Mizzou #Columbia #Liberty #poplarbluff #s…</t>
  </si>
  <si>
    <t>@HotPokerPrinces @VisioDeiFromLA I found Skylar! @ScottCharton #moleg https://t.co/Tjf8FdLjww</t>
  </si>
  <si>
    <t>RT @VisioDeiFromLA: Because the story is bogus 
The abuse story is entirely made up 
#Greitens https://t.co/iqfisinF5S</t>
  </si>
  <si>
    <t>RT @BevFries: The Great #Greitens Railroading...
#Soros #KimberlyGardner #DueProcess #PoliticalHitJob #WitchHunt #CCOT #PJNet #MAGA #moleg…</t>
  </si>
  <si>
    <t>@Norasmith1000 @VisioDeiFromLA @RGreggKeller It’s OK, Nora. Remember: there’s an injustice against Eric, but that’s not the larger issue. Men like Greg-guh piss on the common man-folk who are supposed to be master and beneficiaries of the state. In time, we’ll bring justice to his kind- win or lose in STL. This isn’t over.</t>
  </si>
  <si>
    <t>RT @Norasmith1000: @ResignNowKim @VisioDeiFromLA @RGreggKeller Gregg and others are getting desperate. Case is falling apart by the day, no…</t>
  </si>
  <si>
    <t>@zerohedge Who cares? Shit needs to end. One side needs to win. One side needs to lose. This stasis crap is ridiculous.</t>
  </si>
  <si>
    <t>@adjunctprofessr @feeonly77 The lies are bad.  The abuse of power is unforgivable. #moleg</t>
  </si>
  <si>
    <t>RT @adjunctprofessr: 💥💥💥 Comey coordinated with Mueller before he sat down with a Congressional Committee!
The weasel is not only a leaker…</t>
  </si>
  <si>
    <t>https://t.co/shD5rz8vLR</t>
  </si>
  <si>
    <t>@JaneDueker : I’ll dedicate a limerick to you soon, too.</t>
  </si>
  <si>
    <t>A limerick for Greg-guh: “His name was @RGreggKeller , an industry whore of a feller. He ginned up a coup, to gain IOUs, and hid @scottfaughn in his cellar.” #moleg #mogov @EricGreitens #greitens #greitenstrial #StandWithGreitens @HennessySTL @BarklageCompany @Rep_TRichardson https://t.co/p5yZjViU1U</t>
  </si>
  <si>
    <t>@GKCdaily @RGreggKeller Whatever. Gregg, you virtue signaling Chesterton is like @StormyDaniels virtue signaling abstinence. Much you stand to profit w @ericgreitens out of the way, huh? U don’t get out bed lest there’s a $ to be had. Yur a one-eyed jack, Gregg. I’ve seen your other side. #moleg #mogov</t>
  </si>
  <si>
    <t>@Dogan4Rep @RGreggKeller @dcexaminer @Rep_TRichardson @elijahhaahr @RobVescovo I love how you’re sucking up to your donors by publicizing this crap.  It’s manifest it’s a hit piece published @ behest of a consultant. Didn’t just get published out of nowhere. You’re waterboy to the powerful. Go play w @RGreggKeller . I’m sure you’ll be useful to his clients.</t>
  </si>
  <si>
    <t>@RGreggKeller Did you seriously just comment on your own comment? Shit man, I retweet my own tweets, but man’s gotta have a line. Whoops, looks like you’ve got some #WeakSauce on your shirt. Go get a napkin or somethin. Shits embarrassing. #moleg</t>
  </si>
  <si>
    <t>RT @HotPokerPrinces: This Week In Missouri Politics 
More of Scott’s Total BS
70k delivered to Al Watkins
Evading Supoena 
BOYCOTT @KDNLA…</t>
  </si>
  <si>
    <t>RT @ScottAdamsSays: Which was, literally, a joke. https://t.co/TFop3h6lJ8</t>
  </si>
  <si>
    <t>@RiverfrontTimes Hey clown: aren’t you the rag that covers injured cats?  In a fire, if Missouri had to choose between Saving your entire staff, or the Motor City Madman, we’d choose the Nuge. Go cover a Bieber concert or Caitlyn Jenner book signing. Piss off. #BitchesBeTrippin @HennessySTL</t>
  </si>
  <si>
    <t>Hey @RGreggKeller you’re out of touch and out of the loop. Try to keep up w current events- especially if you’re gonna try and whip up impeachment votes and ask men to stake their careers on horseshit. #moleg #PeasantsAreComin #WeWillRemember . https://t.co/Ww5luzjzbq</t>
  </si>
  <si>
    <t>@TomJEstes Sure. Why not. @hawleymo is a fucking disgrace. I’d literally vote for a dead body before I voted for that asshole. #AbuseOfPower</t>
  </si>
  <si>
    <t>@VisioDeiFromLA Dude: it’s that clown @RGreggKeller - everyone knows he’s an industry whore.</t>
  </si>
  <si>
    <t>RT @VisioDeiFromLA: To be fair, it is dishonorable 2 release incomplete report before trial thus depriving a man of a fair trial as jury po…</t>
  </si>
  <si>
    <t>RT @ResignNowKim: @stltoday Maybe they’ll hold a hearing about @staceynewman and @stlcao @kimgardner77th  and Newman’s son’s tax credit con…</t>
  </si>
  <si>
    <t>@stltoday ‘Nuther point: McKee has made tens of millions on tax credits. Good thing your #dumbshit circuit attorney @stlcao @kimgardner77th has been persecuting the only man ( @EricGreitens )in the state with the balls to stop this sort of theft. #YouSuckAtGoverning #BoAisIncompetent https://t.co/coiKUknHmi</t>
  </si>
  <si>
    <t>@RGreggKeller Gregg: i looked up “petty bullshit” on Wikipedia and found....a photo of your hair. This article is a piss poor hit piece- even by rag @stltoday standards. #moleg #mogov . Author should be fired for sucking at simple propaganda. I didn’t even read the critical portion of it: https://t.co/fHRm2q0LHz</t>
  </si>
  <si>
    <t>@RGreggKeller @RGreggKeller are you high? FORENSICS FOUND BUTKIS ON HIS CELL PHONE! 1) no photo 2) no cloud 3) no forensics 4) no nothing. @stlcao has two things goin for it: jack and shit; and jack just left. #moleg #mogov #HighOnOwnSupply @EricGreitens #GreitensTrial #Greitens https://t.co/jvVyKSi4dM</t>
  </si>
  <si>
    <t>@cawleykl @JaneDueker @KimGardnerSTL Further: if not consensual, then why wouldn’t @kimgardner77th - who had zero evidence in this case from day one, yet made decision to charge at drop of a hat- why wouldn’t Gardner have charged him w assault? #RiddleMeThatBatman @stlcao #moleg Put up or stop calling it assault.</t>
  </si>
  <si>
    <t>@cawleykl @JaneDueker @KimGardnerSTL 6 people- like Perjurers TIsaby and @stlcao ? No photo, no cloud, no nothing. Her story has been different across cmtee testimony, 2 depos and video interview w Tisaby.  She never said it wasn’t consensual. Hell - even on the exhusband audio shes praising Greitens as “brilliant.”</t>
  </si>
  <si>
    <t>RT @ResignNowKim: @KMOXKilleen Kevin: love you man.  One of the only reporters in this town who cares about getting it right - even if you…</t>
  </si>
  <si>
    <t>RT @HotPokerPrinces: MEDIA, TIME TO STOP GETTING YOUR STRINGS PULLED BY SCOTT FAUGHN
 FOLLOW THE MONEY !
120K CASH BUYS A FAKE SEX SCANDA…</t>
  </si>
  <si>
    <t>RT @VisioDeiFromLA: Who is the funder?
I've been tweeting this for days now.
Media isnt curious?
But imagine if roles were reversed and…</t>
  </si>
  <si>
    <t>@stltoday Maybe they’ll hold a hearing about @staceynewman and @stlcao @kimgardner77th  and Newman’s son’s tax credit connections and the contrived charges against @EricGreitens too.  Hey: and just how did Kim pay Tisaby? &amp;amp; Harvard boy Sullivan? Where’d that $200K come from? @LydaKrewson</t>
  </si>
  <si>
    <t>RT @stltoday: Aldermen may hold hearings, call for criminal investigation of McKee deals https://t.co/zv6Qo4ooKf https://t.co/Cjt4K3Fkvh</t>
  </si>
  <si>
    <t>@JW1057 @YouTube @jaybarnes5 @TeamGreitens @jeanielauer @gcmitts @shawnrhoads154 @KevinLAustin1 @Rep_TRichardson @jaybarnes5 and the rest of the coup-ists are all-in....they’ve got 6 figure lobbyist gigs to protect. #Whores @shawnrhoads154 @RGreggKeller @jeanielauer @KevinLAustin1 @BarklageCompany #DonPhillips @Rep_TRichardson . Todd R: where is your ‘ol Polar Bluff boy @scottfaughn ? Mmmm?</t>
  </si>
  <si>
    <t>RT @JW1057: 2/3 STL Clergy Coalition Bash Gov. Greitens https://t.co/BXwD5Oc0C1 via @YouTube 
Sources say that @jaybarnes5 was given the v…</t>
  </si>
  <si>
    <t>RT @TomJEstes: So, you randomly choose election season to celebrate a Democrat up for election. Whatever, dude. #mosen https://t.co/y8Ak56m…</t>
  </si>
  <si>
    <t>@Avenge_mypeople @JW1057 @RonFRichard @VisioDeiFromLA @magathemaga1 @rxpatrick @joelcurrier @MarkReardonKMOX @Sticknstones4 @CStamper_ @MOGOP_Chairman @StLCountyRepub Amen, I say. Amen. Judgment is coming. The peasants are coming.  There’s still time, #moleg @MissouriGOP . Take your ball and go home.....while you still have a ball to take. https://t.co/7fQres0fuu</t>
  </si>
  <si>
    <t>RT @Avenge_mypeople: @JW1057 @RonFRichard @VisioDeiFromLA @magathemaga1 @rxpatrick @joelcurrier @MarkReardonKMOX @Sticknstones4 @CStamper_…</t>
  </si>
  <si>
    <t>RT @JW1057: 3/3 @RonFRichard @VisioDeiFromLA @magathemaga1 @rxpatrick @joelcurrier 
@MarkReardonKMOX @Sticknstones4 @CStamper_ @MOGOP_Chair…</t>
  </si>
  <si>
    <t>RT @VisioDeiFromLA: I see U promoting The Coup.
I'm telling you @Eric_Schmitt you gotta talk sense into these folks
Shamed, Since ur budd…</t>
  </si>
  <si>
    <t>RT @JW1057: 1/3 🚨MO Investigative Committee Conflict of Interest🚨 
@TommiePierson is a member of committee investigating @EricGreitens. Tom…</t>
  </si>
  <si>
    <t>RT @TomJEstes: Superintendent openly endorses @clairecmc See #moleg ? These people aren’t on your side. We need to ignore the educrats and…</t>
  </si>
  <si>
    <t>RT @ResignNowKim: @TomJEstes Tom: it’s a lynch mob driven by money men and their henchmen like @BarklageCompany &amp;amp; @RGreggKeller &amp;amp; @JaneDuek…</t>
  </si>
  <si>
    <t>@TomJEstes Tom: it’s a lynch mob driven by money men and their henchmen like @BarklageCompany &amp;amp; @RGreggKeller &amp;amp; @JaneDueker @scottfaughn @rep_TRichardson @jaybarnes5 #ChipRoberts #DonPhillips @KevinLAustin1 @shawnrhoads154 @jeanielauer #moleg . Not about justice. It’s about Just. Us. #mogov</t>
  </si>
  <si>
    <t>RT @TomJEstes: Looks like accusers aren’t always honest. Maybe getting the whole story is a good idea before deciding someone’s guilt. #mol…</t>
  </si>
  <si>
    <t>RT @Mizzourah_Mom: The Great Greitens Railroading https://t.co/9Vjxp0H3Hs via @AmericanThinker</t>
  </si>
  <si>
    <t>@JW1057 Bingo!  Could it be that there was NO SEXUAL ABUSE?!?!? #MindBlown #moleg @JaneDueker #TryReadingItWorksReally #mogov @EricGreitens #StandWithGreitens #GreitensTrial @stlcao ——-&amp;gt; #ProsecutorialMisconduct</t>
  </si>
  <si>
    <t>RT @JW1057: Do you think a man who has taken a nonconsensual nude photo of you and sexually and physically abused you can be a good Governo…</t>
  </si>
  <si>
    <t>@KMOXKilleen Kevin: love you man.  One of the only reporters in this town who cares about getting it right - even if you don’t like the guy.  Used to call that “journalism” back in the day. @tonymess @stltoday @gilbertbailon @kmoxnews</t>
  </si>
  <si>
    <t>RT @KMOXKilleen: It was windy and I had to find a still corner for a phone report.  Sad to see what's become of my career. https://t.co/ewO…</t>
  </si>
  <si>
    <t>RT @CStamper_: Soros-backed prosecutor Kim Gardner’s high priced hired gun is laughing at the judge and then lying about it like a child. T…</t>
  </si>
  <si>
    <t>RT @JW1057: Katrina "Kitty" Sneed doesn't believe her own accusations against @EricGreitens. Kitty embraces metoo and refers to secret phot…</t>
  </si>
  <si>
    <t>RT @314TruthSeeker: @ResignNowKim @HennessySTL @Sticknstones4 @stlcao @KimGardnerSTL @kimgardner77th Remember when Kimmy said she didn't ha…</t>
  </si>
  <si>
    <t>RT @ResignNowKim: @HennessySTL @Sticknstones4 Too bad @stlcao is driven by blind (and stupid) ambition instead of a desire to secure the pu…</t>
  </si>
  <si>
    <t>RT @VisioDeiFromLA: No photo 
#Moleg #Greitens #greitenatrial https://t.co/ciKIl2YweG</t>
  </si>
  <si>
    <t>RT @JW1057: Were Philip Sneed and Al Watkins trying to blackmail @EricGreitens ? Philip, Eric wasn't in your life he was in Kitty's life. K…</t>
  </si>
  <si>
    <t>RT @Sticknstones4: The Great Greitens Railroading 
There’s No Photo 
#greitens #greitenstrial #soros #missouri #stlouis #stl #kimshady…</t>
  </si>
  <si>
    <t>RT @ResignNowKim: @cawleykl @JaneDueker Where do you get “physical assault?”  There’s no allegation of that. “Predatory assault?” What are…</t>
  </si>
  <si>
    <t>@971FMTalk @EricGreitens @anniefreyshow Yep. Someone needs to alert @RGreggKeller and #moleg .... #CoupImplosion #Fail</t>
  </si>
  <si>
    <t>RT @JW1057: Does anyone know, or believe that they know, the affair between @EricGreitens and Katrina Sneed began earlier that 3/21/15?  Ph…</t>
  </si>
  <si>
    <t>@RGreggKeller Collar’s gettin tight round your neck, Greg-guh. Is it stuffy in here? So instead of addressing facts, keep on ginnin’ up the coup.  @jw1057 compared your gang to Stalinist Russia (apropos) n u call that a death threat? There’s no allegation of sexual abuse. #IllegalCoup #moleg</t>
  </si>
  <si>
    <t>@cawleykl @JaneDueker Where do you get “physical assault?”  There’s no allegation of that. “Predatory assault?” What are we just making up crimes now?  She even said multiple times it was consensual.  Do you read? Or do you just mirror the pack zeitgeist? #HystericalClown</t>
  </si>
  <si>
    <t>RT @magathemaga1: #moleg #mogov #GreitensTrial #Greitens https://t.co/cSW846Z56n</t>
  </si>
  <si>
    <t>RT @HennessySTL: “Two children were among four people wounded in a shooting Friday evening, police said.” And the St. Louis City government…</t>
  </si>
  <si>
    <t>@HennessySTL @Sticknstones4 Too bad @stlcao is driven by blind (and stupid) ambition instead of a desire to secure the public. @kimgardnerstl @kimgardner77th</t>
  </si>
  <si>
    <t>@RGreggKeller Despicable: a word reserved for GOP Iagos (see Othello) like @Hafnermo @BarklageCompany @RGreggKeller @jaybarnes5 .  @EricGreitens cut $1.5 billion in tax credits (10yrs). Think we don’t see what’s up? If not, u and yur boys in JC be delusional. #WeWillRemember #moleg #mogov</t>
  </si>
  <si>
    <t>@RGreggKeller Betrayal?!? Let’s talk betrayal,Greg-guh. Let’s talk about a contrived coup.  Let’s talk about the cmte inquisitors - they got lobbying gigs in their future? @rep_TRichardson ‘s a poplar bluff boy like @Scottfaughn . Ties to #SterlingBank ? The truth will out Gregg. #moleg #mogov https://t.co/jNBvYjclLb</t>
  </si>
  <si>
    <t>@RGreggKeller Well, thank god a DC consultant ally rag supports your coup. That sure as hell would make me sleep well at night were I a Lege. I’d be more worried about #grassroots . #railroadjob @EricGreitens #Greitens #moleg #mogov @HennessySTL https://t.co/Wx7oSbOMzG</t>
  </si>
  <si>
    <t>@RGreggKeller You and your friends have engineered this crisis, and now you have the audacity to blame the crisis on @EricGreitens . #moleg ‘s coordination w the circus in St. Louis has been evident throughout. You think the voters are stupid? U released the transcripts same day as gag order.</t>
  </si>
  <si>
    <t>@RGreggKeller Nope, Greg-guh: just means you and your pals have buddies at the examiner. Unsurprising.  Just like your guild’s coordination with rags in MO. Not hard to entice @tonymess to write a hitpiece on a GOP guv. &amp;amp; of course you always had @scottfaughn and #PlatformHeelsCharton #moleg</t>
  </si>
  <si>
    <t>RT @ResignNowKim: @Melanieswombats @ES03784893 @LaurenTrager @KMOV @HafnerMO @EricGreitens @missioncontinue @HennessySTL @BarklageCompany @…</t>
  </si>
  <si>
    <t>@Melanieswombats @ES03784893 @LaurenTrager @KMOV @HafnerMO @EricGreitens @missioncontinue @HennessySTL @BarklageCompany @JW1057 Pro.</t>
  </si>
  <si>
    <t>@Melanieswombats @ES03784893 @LaurenTrager @KMOV @HafnerMO @EricGreitens @missioncontinue @HennessySTL @BarklageCompany Don’t lie. You know you’d willingly accept a real man in your mouth.  #hypocrite #50shadesOfHypocrite @JW1057</t>
  </si>
  <si>
    <t>RT @DeplorableGoldn: Holy hell!
RT 🚨
Very interesting.
#MoLeg #MoGov #Greitens #GreitensIndictment #stlouis #stl #kcmo https://t.co/sIxiXf…</t>
  </si>
  <si>
    <t>RT @Hope4Hopeless1: @KMOXKilleen @EricGreitens .@POTUS .@EricGreitens #WeThePeople of #MISSOURI STAND AGAINST THE Anti-Constitutional #Esta…</t>
  </si>
  <si>
    <t>@JaneDueker @staceynewman : Do you see why we’re all worried about conflicts of interest in this case? @KMOXPD @markreardonkmox When you cut $1.5 billion in corporate welfar, like @EricGreitens did, u make enemies in both parties #moleg #mogov @mopns @HennessySTL @charliekmox https://t.co/DMnU4FEeW4</t>
  </si>
  <si>
    <t>RT @VisioDeiFromLA: She isnt a victim. Its alleged 
Name them because it is in the public interest as he the gov, and public needs to dete…</t>
  </si>
  <si>
    <t>RT @VisioDeiFromLA: But reporters COULD dig into where Scott Faughn got his money
It wasnt his
He couldnt even pay tax Bill's six months…</t>
  </si>
  <si>
    <t>RT @catdeeann: #MoLeg https://t.co/4YTNeaVKtA</t>
  </si>
  <si>
    <t>@VisioDeiFromLA HAHAHAHAHAHAHAHAHAHAHAHAHA #CHANS</t>
  </si>
  <si>
    <t>RT @VisioDeiFromLA: Bro. U know u gonna lose this game. https://t.co/SwhxzBgjPx</t>
  </si>
  <si>
    <t>RT @magathemaga1: So.... 
Not one of 16,000 photos is of the alleged victim &amp;amp; there is no photo that any photo was even taken on the date…</t>
  </si>
  <si>
    <t>RT @CStamper_: Soros-backed Kim Gardner wasted over $100,000 in taxpayer money to bring in a Harvard professor who today angered the judge…</t>
  </si>
  <si>
    <t>RT @VisioDeiFromLA: @SKOLBLUE1 Or he knows #Greitens is innocent and doesnt want liberal mob to descend on him and riot like they did in st…</t>
  </si>
  <si>
    <t>RT @SKOLBLUE1: @VisioDeiFromLA Judge Rex Burlison will not rule from the bench because Rex Burlison knows he is bias and partial, therefore…</t>
  </si>
  <si>
    <t>@erinheff #BenchTrial</t>
  </si>
  <si>
    <t>RT @erinheff: Defense raised concerns this morning that jurors may see protesters at #GreitensTrial. Judge said he would leave it up to the…</t>
  </si>
  <si>
    <t>@VisioDeiFromLA #BenchTrial</t>
  </si>
  <si>
    <t>RT @VisioDeiFromLA: This is nonsense.
The pool has already been tainted thanks to release of that incomplete report. 
Bench trial now
#G…</t>
  </si>
  <si>
    <t>RT @Sticknstones4: @kmoxnews  @MarkReardonKMOX 
Listening to you Jane is incorrect 
Faughn said the money was for a book not attornies fee…</t>
  </si>
  <si>
    <t>RT @Sticknstones4: Interesting ? 
Video Connects the Dots: Conspiracy Against Governor Coming Into Focus https://t.co/bfXIgABLiX</t>
  </si>
  <si>
    <t>RT @TomJEstes: It’s time to put pressure on the stations that carry Scott’s show. No network should be airing a TV show who’s host is evadi…</t>
  </si>
  <si>
    <t>RT @VisioDeiFromLA: https://t.co/1y8XW4ufxn</t>
  </si>
  <si>
    <t>RT @SheenaGreitens: Honored to join @MOKidsFirst #StandingwithChildren luncheon today to honor work of committed, compassionate child advoc…</t>
  </si>
  <si>
    <t>RT @MarthaEW: This is NOT good gov't. just a sly way to redistrict by Dems!!! @jallman971  @Lautergeist @SpeakerTimJones https://t.co/UsrDC…</t>
  </si>
  <si>
    <t>RT @magathemaga1: "Judge tore into CAO R. Sullivan, who laughed after ruling. Judge said, "I'm not impressed with your continued disrespect…</t>
  </si>
  <si>
    <t>RT @ResignNowKim: @Str8DonLemon @smart_hillbilly @grcfay @971FMTalk @fivenickel @RealTravisCook @Hope4Hopeless1 @RetNavy93 @MSTLGA @SKOLBLU…</t>
  </si>
  <si>
    <t>RT @ResignNowKim: @TheKristen1984 @jeffreyscarson @HawleyMO @AP4Liberty Simple: he’s a pussy.</t>
  </si>
  <si>
    <t>RT @ResignNowKim: @alexiszotos @KMOV #BenchTrial</t>
  </si>
  <si>
    <t>RT @ResignNowKim: @LaurenTrager @KMOV Tainted:  how did that happen, @LaurenTrager ? Couldn’t be due to the circus you created, could it?</t>
  </si>
  <si>
    <t>RT @ResignNowKim: @RGreggKeller @EricGreitens @stlcao @staceynewman @johnrhancock @MissouriGOP @BarklageCompany @scottfaughn @rexsinquefiel…</t>
  </si>
  <si>
    <t>RT @ResignNowKim: @RGreggKeller @stlcao @staceynewman @johnrhancock @MissouriGOP @BarklageCompany @scottfaughn @rexsinquefield @jrosenbaum…</t>
  </si>
  <si>
    <t>RT @ResignNowKim: @RGreggKeller @BarklageCompany @Rep_TRichardson @jaybarnes5 @stlcao @staceynewman @johnrhancock @MissouriGOP @BarklageCom…</t>
  </si>
  <si>
    <t>RT @ResignNowKim: @stlcao @staceynewman @johnrhancock @MissouriGOP @BarklageCompany @scottfaughn @rexsinquefield @jrosenbaum @eyokley @Rive…</t>
  </si>
  <si>
    <t>RT @ResignNowKim: @ColleenMNelson @MelindaKCMO No shit. There has been no allegation of sexual assault, Colleen.  The argument will be that…</t>
  </si>
  <si>
    <t>RT @ResignNowKim: @VisioDeiFromLA @stlcao @staceynewman @johnrhancock @MissouriGOP @BarklageCompany @scottfaughn @rexsinquefield @jrosenbau…</t>
  </si>
  <si>
    <t>RT @ResignNowKim: @TravisZimpfer Oh snap! @HawleyMO</t>
  </si>
  <si>
    <t>RT @ResignNowKim: @jmannies Where’s the allegation of sex assault, Jo?  It’s not there.  Where’s the allegation it wasn’t consensual- not t…</t>
  </si>
  <si>
    <t>RT @ResignNowKim: @jmannies #WeakAssVirtueSignalingCrap .  Reason cannot defeat irrational hysteria.</t>
  </si>
  <si>
    <t>RT @ResignNowKim: @TwitterNews @TwitterLive Wtf?  Is this twitters new Business model? Bizzarre web TV? Who the F are these guys?</t>
  </si>
  <si>
    <t>RT @ResignNowKim: @jmannies THERE IS NO VICTIM. WHO IS THE VICTIM? VICTIM OF WHOM?</t>
  </si>
  <si>
    <t>RT @ResignNowKim: @ES03784893 @EricGreitens Juuust keep tellin yourself that. As the #shitshow photo prosecution implodes live, I think #mo…</t>
  </si>
  <si>
    <t>RT @ResignNowKim: @ES03784893 : Ruh Roh. Wall of lies is collapsin’.  I hear something in the distance. A whistle. Could that be the #PainT…</t>
  </si>
  <si>
    <t>RT @ResignNowKim: @KMOXKilleen @EricGreitens Translation. Evidence: they don’t have it. #moleg #mogov . https://t.co/xaO76oFbfD</t>
  </si>
  <si>
    <t>RT @ResignNowKim: @JaneDueker  https://t.co/PjnD2puU4t</t>
  </si>
  <si>
    <t>RT @Hope4Hopeless1: @Jesus_isPeace .@POTUS #MISSOURI #Moleg THERE IS VERY CLEAR EVIDENCE OF COLLUSION TO UNSEAT OUR DULY ELECTED GOVERNOR .…</t>
  </si>
  <si>
    <t>RT @JW1057: @ChrisHayesTV End the witch hunt against @EricGreitens! There isn't evidence against him. Stop wasting taxpayer money and the c…</t>
  </si>
  <si>
    <t>RT @TomJEstes: The situation with @scottfaughn continues to get more serious. Thanks you to @MariaChappelleN for bringing attention to this…</t>
  </si>
  <si>
    <t>RT @KMOV: #BREAKING: No photos of Governor @EricGreitens' ex-mistress were found on his phone. #GreitensTrial #KMOV https://t.co/A3dWREDaJk</t>
  </si>
  <si>
    <t>RT @VisioDeiFromLA: Flashback 
Moment Hillary gave deranged Alt right speech/targeted Alex Jones &amp;amp; tried say feel good frog/cartoon was ev…</t>
  </si>
  <si>
    <t>RT @ChrisHayesTV: Judge tore into CAO paid consultant Ronald Sullivan, who laughed after a ruling. Judge said, "I'm not impressed with your…</t>
  </si>
  <si>
    <t>RT @JW1057: @KRCG13 Now they are going to try and taint the jury itself during trial. They are going to hold hearing when @EricGreitens can…</t>
  </si>
  <si>
    <t>RT @Sticknstones4: GOT MILK ?🐄🥛
No photo is more like spilt milk
#greitens #findfaughn https://t.co/r0mx0GZsgg</t>
  </si>
  <si>
    <t>RT @CStamper_: Soros-backed Kim Gardner’s witch hunt is so chock-full of abuses, unethical conduct and outright illegality that she had to…</t>
  </si>
  <si>
    <t>RT @HotPokerPrinces: Fake News in the making
💰💵 + 👨🏼‍💻👨🏻‍💻 = Nothing Burger 🍔 
#findfaughn #greitens #moleg https://t.co/91Go8i3wjQ</t>
  </si>
  <si>
    <t>RT @CStamper_: Not one of 16,000 photos is of the alleged victim AND there is no photo that any photo was even taken on the date in questio…</t>
  </si>
  <si>
    <t>RT @JW1057: @ChrisHayesTV What to you expect from an entitled Harvard jackass?</t>
  </si>
  <si>
    <t>RT @ResignNowKim: @JaneDueker Funny: I thought definition of swamp was #moleg contriving false prosecution of @EricGreitens - see imploding…</t>
  </si>
  <si>
    <t>@JaneDueker  https://t.co/PjnD2puU4t</t>
  </si>
  <si>
    <t>@JaneDueker Funny: I thought definition of swamp was #moleg contriving false prosecution of @EricGreitens - see imploding @stlcao #shitshow circus, &amp;amp; leveraging contrivance into justification for impeachment. Said different: Fraud on the public. #TorquemadaJane #JournalistJane #LobbyistJane</t>
  </si>
  <si>
    <t>RT @RightSideUp313: This is gonna make a few folks cry https://t.co/093mxHFKzU</t>
  </si>
  <si>
    <t>RT @magathemaga1: Hi #moleg
1. No Photo
2. Find Scotty!
3. #MoGov COUP!
4. Moleg Collusion with #KimShady
5. Inconsistent testimony (she l…</t>
  </si>
  <si>
    <t>@KMOXKilleen @EricGreitens Translation. Evidence: they don’t have it. #moleg #mogov . https://t.co/xaO76oFbfD</t>
  </si>
  <si>
    <t>RT @KMOXKilleen: After digging into the data of @EricGreitens phone, in 16K images and videos, they found nothing of his former mistress. h…</t>
  </si>
  <si>
    <t>RT @Sticknstones4: Public defenders are asking the court to take action against the St. Louis Circuit Attorney's Office for failing to foll…</t>
  </si>
  <si>
    <t>RT @CStamper_: In order to prove her case, Soros-backed Kim Gardner must prove, among other things, that a photo was taken and subsequently…</t>
  </si>
  <si>
    <t>RT @ResignNowKim: @eyokley @J_Hancock @MariaChappelleN @scottfaughn @ScottSifton @BobOnderMO @ScottCharton ‘s doublewide. https://t.co/BC6E…</t>
  </si>
  <si>
    <t>RT @catdeeann: @SKOLBLUE1 @VisioDeiFromLA @ChrisHayesTV Total sham. And the #MoLeg is doing this, too! I’m so disgusted by this behavior. h…</t>
  </si>
  <si>
    <t>@eyokley @J_Hancock @MariaChappelleN @scottfaughn @ScottSifton @BobOnderMO @ScottCharton ‘s doublewide. https://t.co/BC6Ee2RlFE</t>
  </si>
  <si>
    <t>RT @eyokley: @J_Hancock @MariaChappelleN @scottfaughn @ScottSifton @BobOnderMO does nobody really know where he is periscoping from?</t>
  </si>
  <si>
    <t>RT @ResignNowKim: @JaneDueker @ES03784893 Lol.  The case is self destructing by the second (“forensic experts confirm NO PHOTO EVER EXISTED…</t>
  </si>
  <si>
    <t>RT @ResignNowKim: @jmannies Do you do any stories on @EricGreitens that are not hit pieces? #moleg #mogov #WeakAssPropagandaNSheeit #YouSuc…</t>
  </si>
  <si>
    <t>@jmannies Do you do any stories on @EricGreitens that are not hit pieces? #moleg #mogov #WeakAssPropagandaNSheeit #YouSuckAtJournalism @scottfaughn @kmoxnews @stltoday @tonymess @jrosenbaum @eyokley</t>
  </si>
  <si>
    <t>RT @RiverfrontTimes: Public defenders are asking the court to take action against the St. Louis Circuit Attorney's Office for failing to fo…</t>
  </si>
  <si>
    <t>@JaneDueker @ES03784893 Lol.  The case is self destructing by the second (“forensic experts confirm NO PHOTO EVER EXISTED”) . And you think I’m nervous?  #delusional. #TorquemadaJane #JaneTheJournalist #JaneThePropagandist #JaneTheLobbyist #moleg #mogov @EricGreitens . Not lookin good @scottfaughn ..... https://t.co/HLzQ8m51iv</t>
  </si>
  <si>
    <t>RT @JaneDueker: The bots are talking to each other in a frantic tone today.  Is it b/c jury selection is proceeding, not a single family me…</t>
  </si>
  <si>
    <t>RT @ResignNowKim: @ScottCharton @KCMikeMahoney @EricGreitens #PlatformHeelsCharton that the best you can do? Jeebus. #Weaksauce . You’re li…</t>
  </si>
  <si>
    <t>RT @ResignNowKim: @jrosenbaum Yeah, like the charge of the Light Brigade wasn’t completely “IMPOSSIBLE.”  @stlcao @kimgardner77th still gon…</t>
  </si>
  <si>
    <t>@jrosenbaum Yeah, like the charge of the Light Brigade wasn’t completely “IMPOSSIBLE.”  @stlcao @kimgardner77th still gonna get their shit pushed in. #moleg</t>
  </si>
  <si>
    <t>@ScottCharton @KCMikeMahoney @EricGreitens #PlatformHeelsCharton that the best you can do? Jeebus. #Weaksauce . You’re like a 4th grader. Get over it: you and the new tenant to your doublewide ( @scottfaughn ) lost. You put up a dirty fight, but the truth came out. It’s a gigantic #shitshow farce.  #moleg Peasants r comin https://t.co/ZScPA4Ytzb</t>
  </si>
  <si>
    <t>@ES03784893 : Ruh Roh. Wall of lies is collapsin’.  I hear something in the distance. A whistle. Could that be the #PainTrain a comin’ for the #moleg #IllegalCoup #TaxCreditQueen conspirators? Chugga chuggah choo choo! @EricGreitens @HennessySTL @BarklageCompany @Hafnermo https://t.co/qfzuYKtoMZ</t>
  </si>
  <si>
    <t>RT @ResignNowKim: @ES03784893 @EricGreitens @scottfaughn @staceynewman @MOEthics Haha.  What’s a matta, ES, sounds like you’re tryin’ to co…</t>
  </si>
  <si>
    <t>@ES03784893 @EricGreitens @scottfaughn @staceynewman @MOEthics Haha.  What’s a matta, ES, sounds like you’re tryin’ to convince yourself. Nervous? #PainTrain is comin’ to JC. @EricGreitens is the conductor, w a whole shit load of angry folks like me. Pop a Xanax if you like. I can hear that train whistle blowin’ #moleg #mogov https://t.co/qK96osmx1u</t>
  </si>
  <si>
    <t>RT @ES03784893: @ResignNowKim @EricGreitens @scottfaughn @staceynewman #moleg, #mosen &amp;amp; prosecutor have #Missouri Gov @EricGreitens dead to…</t>
  </si>
  <si>
    <t>@ES03784893 @EricGreitens Juuust keep tellin yourself that. As the #shitshow photo prosecution implodes live, I think #moleg certainly haven’t forgotten...the giant #DumpsterFire they created w @scottfaughn &amp;amp; @staceynewman . Brick by brick, the Wall-O-Lies is dismantled. Revealing an angry GOP electorate.</t>
  </si>
  <si>
    <t>@TwitterNews @TwitterLive Wtf?  Is this twitters new Business model? Bizzarre web TV? Who the F are these guys?</t>
  </si>
  <si>
    <t>@jmannies THERE IS NO VICTIM. WHO IS THE VICTIM? VICTIM OF WHOM?</t>
  </si>
  <si>
    <t>@jmannies #WeakAssVirtueSignalingCrap .  Reason cannot defeat irrational hysteria.</t>
  </si>
  <si>
    <t>RT @ResignNowKim: @Justin_EAndrews @EricGreitens @KMOV No need, Justin.  There won’t be a conviction. For that, @kimgardner77th and the @st…</t>
  </si>
  <si>
    <t>RT @zerohedge: AT&amp;amp;T'S QUINN, WHO HIRED COHEN, IS RETIRING, MEMO SAYS: REUTERS</t>
  </si>
  <si>
    <t>RT @Lautergeist: .#StaceyKnewMan
@staceynewman 
#greitens #GreitensTrial 
#MoLeg was PLAYED
#WitchHunt
#Defamation (again, Stace. Tsk)
#RFA…</t>
  </si>
  <si>
    <t>RT @ResignNowKim: No need, Justin.  There won’t be a conviction. For that, @kimgardner77th and the @stlcao keystone cops who like to suborn…</t>
  </si>
  <si>
    <t>RT @ResignNowKim: @Justin_EAndrews @EricGreitens @KMOV Bigger question: once he’s acquitted, what are the #GOPconspirators w/in #moleg gonn…</t>
  </si>
  <si>
    <t>RT @KenPrier: @ResignNowKim @jmannies Gotta go</t>
  </si>
  <si>
    <t>RT @KenPrier: @ResignNowKim @jmannies Dems want him out, gop wants him out, what does this tell you? 
Page out of deep state</t>
  </si>
  <si>
    <t>@Justin_EAndrews @EricGreitens @KMOV Bigger question: once he’s acquitted, what are the #GOPconspirators w/in #moleg gonna do to try and legitimize the #ShitShow special session they contrived?  Grassroots gettin’ pissed at this #DumpsterFire #RailroadJob . Peasants are comin. #mogov https://t.co/SCjYmP8FTm</t>
  </si>
  <si>
    <t>No need, Justin.  There won’t be a conviction. For that, @kimgardner77th and the @stlcao keystone cops who like to suborn perjury and hide evidence - would actually have to have evidence of a crime. #KangarooCourt #ResignNowKim #moleg #mogov #IllegalCoup https://t.co/huQjyVvNjg</t>
  </si>
  <si>
    <t>@Justin_EAndrews @EricGreitens @KMOV No need, Justin.  There won’t be a conviction. For that, @kimgardner77th and the @stlcao keystone cops who like to suborn perjury and hide evidence - would actually have to have evidence of a crime. #KangarooCourt #ResignNowKim #moleg #mogov #IllegalCoup https://t.co/lc8kUWAhi6</t>
  </si>
  <si>
    <t>RT @ResignNowKim: Ruh Roh! @RGreggKeller #moleg #mogov https://t.co/GZxSFBID8z</t>
  </si>
  <si>
    <t>Ruh Roh! @RGreggKeller #moleg #mogov https://t.co/GZxSFBID8z</t>
  </si>
  <si>
    <t>RT @RealTravisCook: Well would you look at that--#Austraia's gun confiscation didn't work.  7 victims were sitting ducks because they weren…</t>
  </si>
  <si>
    <t>RT @JW1057: iPhone shutter sound is not unique. The sound is also used on iPad and MacBook. The sound itself comes from Canon AE-1 camera.…</t>
  </si>
  <si>
    <t>RT @ResignNowKim: #Logic : not always easy for @jmannies https://t.co/4J2b1Ni56R</t>
  </si>
  <si>
    <t>RT @RealTravisCook: His track record so far certainly seems to be putting him on the short list for such an honor.  #MAGA https://t.co/5Ibx…</t>
  </si>
  <si>
    <t>RT @zerohedge: Canada Employment -1.1K, Exp. +20K</t>
  </si>
  <si>
    <t>RT @Matthew51163905: So the moron who was president before makes a deal with terrorists to not pursue nuclear weapons without being able to…</t>
  </si>
  <si>
    <t>RT @Matthew51163905: Human kindness beautiful https://t.co/WUye8CDtwp</t>
  </si>
  <si>
    <t>#Logic : not always easy for @jmannies https://t.co/4J2b1Ni56R</t>
  </si>
  <si>
    <t>RT @Sticknstones4: WHO PAID FOR GREITENS POLITICAL HITJOB ?
📌 SHAM HOUSE COMMITTEE WONT TELL
📌THE MEDIA WONT TELL 
📌PROSECUTOR KIM GARDN…</t>
  </si>
  <si>
    <t>RT @JW1057: Kim Garder is a criminal!</t>
  </si>
  <si>
    <t>RT @VisioDeiFromLA: Source of Faughn’s Money?
Did Simpson also get money bag dropped to him in the middle of the night? 
Simpson, Sneed,…</t>
  </si>
  <si>
    <t>RT @CStamper_: If by “health care” you mean “murder,” I agree. https://t.co/F2sDQ1lLz5</t>
  </si>
  <si>
    <t>RT @KenPrier: @VisioDeiFromLA Holy chit</t>
  </si>
  <si>
    <t>RT @ResignNowKim: @rxpatrick @jmannies @joelcurrier I know, right? Where is the outrage that @stlcao @kimgardner77th @KimGardnerSTL  HAS CO…</t>
  </si>
  <si>
    <t>@rxpatrick @jmannies @joelcurrier I know, right? Where is the outrage that @stlcao @kimgardner77th @KimGardnerSTL  HAS CONTRIVED THIS CASE WITH @STACEYNEWMAN AND @scottfaughn AND HAS PROCEEDED WITHOUT EVIDENCE FOR SIX MONTHS BEFORE A SYCOPHANTIC, YELLOWDOG MEDIA??! #moleg #YouSuckAtJournalism #mogov @LaurenTrager</t>
  </si>
  <si>
    <t>RT @VisioDeiFromLA: 1. ALLEGED VICTIM 
2. Naming in public interest 
3. Presupposes women weak &amp;amp; not strong
4. If U agree, U think women R…</t>
  </si>
  <si>
    <t>@RiverfrontTimes  https://t.co/wmplot9hZr</t>
  </si>
  <si>
    <t>RT @RiverfrontTimes: They're asking for the court to compel the Circuit Attorney's office to create written policies and a training curricu…</t>
  </si>
  <si>
    <t>RT @JW1057: @jrosenbaum "The woman" has a name Katrina "Kitty" Sneed use it. The Judge said it is okay. The press' failure to use Kitty's n…</t>
  </si>
  <si>
    <t>@jmannies Where’s the allegation of sex assault, Jo?  It’s not there.  Where’s the allegation it wasn’t consensual- not there. Where’s the photo evidence? Not there. Where’s the cloud evidence? Not there - Dierker said no photo no cloud, ergo no case/conviction and no victim. #moleg #Logic</t>
  </si>
  <si>
    <t>RT @ResignNowKim: @jmannies Meh. Despite her best scare quotes, we shall overcome. https://t.co/dG4AkrlbMA</t>
  </si>
  <si>
    <t>RT @VisioDeiFromLA: He wouldn't be wrong 
#moleg #mogov #MOSEN https://t.co/k7pzoi8sC8</t>
  </si>
  <si>
    <t>RT @ResignNowKim: @JaneDueker 1) there is no allegation of sexual assault; 2) Kitty has no evidence of photo; 3) she returned repeatedly- f…</t>
  </si>
  <si>
    <t>RT @ResignNowKim: @JaneDueker 1) @kcstar @KCStarOpinion doesn’t know the universe of evidence extant. If she liked playing around and snatc…</t>
  </si>
  <si>
    <t>@JaneDueker 1) @kcstar @KCStarOpinion doesn’t know the universe of evidence extant. If she liked playing around and snatch chatting w men, sorry, that’s relevant. 2) spare me the virtue signaling #bullshit.  You’re framing this as sex assault when no allegation of such has been made. #moleg https://t.co/vkv5cSjZZu</t>
  </si>
  <si>
    <t>RT @JaneDueker: This https://t.co/kPnQjg61Yj</t>
  </si>
  <si>
    <t>@JaneDueker 1) there is no allegation of sexual assault; 2) Kitty has no evidence of photo; 3) she returned repeatedly- for months- to perform oral sex on him and laughed about it to investigators; 4) @staceynewman dragged her into this, and 5) @stlcao ran with it w no evidence. Spare me. https://t.co/72TqJ3CAdD</t>
  </si>
  <si>
    <t>@jmannies Meh. Despite her best scare quotes, we shall overcome. https://t.co/dG4AkrlbMA</t>
  </si>
  <si>
    <t>RT @Murph54258684: Right there with ya! Well, except for the Southern accent! https://t.co/rdQBckz3R3</t>
  </si>
  <si>
    <t>@TravisZimpfer Oh snap! @HawleyMO</t>
  </si>
  <si>
    <t>RT @TravisZimpfer: I guess that means Hawley is a leftist. He's been in universities for most of his adult life. #moleg #mosen https://t.co…</t>
  </si>
  <si>
    <t>RT @ResignNowKim: @CDTCivilWar @VirginiaYoung @HawleyMO @clairecmc Funny: I blame higher Ed for @HawleyMO . #HeeHawHawley</t>
  </si>
  <si>
    <t>@CDTCivilWar @VirginiaYoung @HawleyMO @clairecmc Funny: I blame higher Ed for @HawleyMO . #HeeHawHawley</t>
  </si>
  <si>
    <t>RT @ResignNowKim: @VirginiaYoung @jacobbarker @PostDispatchbiz Oddly enough, those corporate welfare clowns had the rug pulled out from und…</t>
  </si>
  <si>
    <t>@VirginiaYoung @jacobbarker @PostDispatchbiz Oddly enough, those corporate welfare clowns had the rug pulled out from under them- $1.5 Billion over 10 yrs. then they decided to destroy the man that ended the gravy train, via abuse of process and corruption. #moleg #mogov #WeSeeYou #WeWillRemember @EricGreitens @MissouriGOP</t>
  </si>
  <si>
    <t>RT @Murph54258684: @FoxNews Otto Warmbier's murder in on barry. https://t.co/ImEEb2F2yp</t>
  </si>
  <si>
    <t>RT @stompk: @THE_47th #QAnon
Q team don't like evil.. https://t.co/CKcW6XPzre</t>
  </si>
  <si>
    <t>RT @AmericanVoterUS: I recognized the betrayal but now understand WHY thanks to #QAnon
It's actually MUCH more worse than I knew
Our Pres…</t>
  </si>
  <si>
    <t>RT @Sticknstones4: 5 Fun Facts about ME
I’m Not a Bot 
I’ve Never Driven Drunk
I’ve Never had any Felonies or been arrested 
I’ve never…</t>
  </si>
  <si>
    <t>RT @VisioDeiFromLA: Hint: he is. 
Why do you think McCabe got fired? https://t.co/yGzUXIImBI</t>
  </si>
  <si>
    <t>RT @Jesus_isPeace: The Four Shocking Messages That Reveal The #Democrat #WitchHunt Against #Republican #GovEricGreitens
#MOLeg #MOSen #Mis…</t>
  </si>
  <si>
    <t>@VisioDeiFromLA @stlcao @staceynewman @johnrhancock @MissouriGOP @BarklageCompany @scottfaughn @rexsinquefield @jrosenbaum @eyokley @RiverfrontTimes @tonymess @stltoday @KCStar @KCStarOpinion @HennessySTL #moleg #mogov #GOPneedsAnEnema @missouriscout @johncombest @jaybarnes5 @rep_trichardson https://t.co/dsXiLwi39t</t>
  </si>
  <si>
    <t>RT @VisioDeiFromLA: #MoLeg
U lied/slandered a man. A kinky, consensual affair U all knew about
Denied presumption of innocence. Fairness.…</t>
  </si>
  <si>
    <t>RT @VisioDeiFromLA: Gowdy has always been a pos https://t.co/2OsNxVO9Ct</t>
  </si>
  <si>
    <t>@RGreggKeller @stlcao @staceynewman @johnrhancock @MissouriGOP @BarklageCompany @scottfaughn @rexsinquefield @jrosenbaum @eyokley @RiverfrontTimes @tonymess @stltoday @KCStar @KCStarOpinion @HennessySTL #moleg #mogov #GOPneedsAnEnema @missouriscout @johncombest @jaybarnes5 @rep_trichardson</t>
  </si>
  <si>
    <t>RT @ResignNowKim: @RGreggKeller Don’t delude yourselves #moleg . This man is paid to spew #bullshit.  I’m a common man &amp;amp; don’t like getting…</t>
  </si>
  <si>
    <t>@ColleenMNelson @MelindaKCMO No shit. There has been no allegation of sexual assault, Colleen.  The argument will be that she wanted him, sexually.  Could possibly also be that she slept around. If that’s true, it’s absolutely relevant. Notwithstanding your insane feminist chauvinism.</t>
  </si>
  <si>
    <t>RT @JW1057: @ColleenMNelson @KCStar @MelindaKCMO Yes. Why would we want to give the presumptively innocent a fair trial?</t>
  </si>
  <si>
    <t>@internalmonolo2 @stlcao @staceynewman @johnrhancock @MissouriGOP @BarklageCompany @scottfaughn @rexsinquefield @jrosenbaum @eyokley @RiverfrontTimes @tonymess @stltoday @KCStar @KCStarOpinion @HennessySTL #moleg #mogov #GOPneedsAnEnema @missouriscout @johncombest @jaybarnes5 @rep_trichardson https://t.co/lyaA2B5U4O</t>
  </si>
  <si>
    <t>@stlcao @staceynewman @johnrhancock @MissouriGOP @BarklageCompany @scottfaughn @rexsinquefield @jrosenbaum @eyokley @RiverfrontTimes @tonymess @stltoday @KCStar @KCStarOpinion @HennessySTL #moleg #mogov #GOPneedsAnEnema @missouriscout @johncombest @jaybarnes5 @rep_trichardson</t>
  </si>
  <si>
    <t>RT @ResignNowKim: This tweet from a scum political consultant explains it all. #moleg is wavering. They know what they’re doing to @EricGre…</t>
  </si>
  <si>
    <t>@stlcao @staceynewman @johnrhancock @MissouriGOP @BarklageCompany @scottfaughn @rexsinquefield @jrosenbaum @eyokley @RiverfrontTimes @tonymess @stltoday @KCStar @KCStarOpinion @HennessySTL #moleg #mogov #GOPneedsAnEnema @missouriscout @johncombest @jaybarnes5 @rep_trichardson https://t.co/MqDFgaiNaF</t>
  </si>
  <si>
    <t>@RGreggKeller @BarklageCompany @Rep_TRichardson @jaybarnes5 @stlcao @staceynewman @johnrhancock @MissouriGOP @BarklageCompany @scottfaughn @rexsinquefield @jrosenbaum @eyokley @RiverfrontTimes @tonymess @stltoday @KCStar @KCStarOpinion @HennessySTL #moleg #mogov #GOPneedsAnEnema @missouriscout @johncombest @jaybarnes5 @rep_trichardson</t>
  </si>
  <si>
    <t>@RGreggKeller @EricGreitens @stlcao @staceynewman @johnrhancock @MissouriGOP @BarklageCompany @scottfaughn @rexsinquefield @jrosenbaum @eyokley @RiverfrontTimes @tonymess @stltoday @KCStar @KCStarOpinion @HennessySTL #moleg #mogov #GOPneedsAnEnema @missouriscout @johncombest @jaybarnes5 @rep_trichardson</t>
  </si>
  <si>
    <t>RT @ResignNowKim: @RGreggKeller Can you feel that, @RGreggKeller ? Walls closing in on you? Your comrades’ campaign against @EricGreitens i…</t>
  </si>
  <si>
    <t>RT @ResignNowKim: @RGreggKeller I told you before. Men like me were truly birthed in 2006- the GOP betrayals back then.  We grew up in 2009…</t>
  </si>
  <si>
    <t>RT @ResignNowKim: @RGreggKeller Your people - the conspirators within the political class- have woken us up. Me? I’m mad as hell. I didn’t…</t>
  </si>
  <si>
    <t>RT @ResignNowKim: @RGreggKeller I will live to see your kind defeated and driven out of this state. #moleg . And #johnrhancock , @BarklageC…</t>
  </si>
  <si>
    <t>RT @JW1057: KG concedes the following: No alleged photo. No witness who saw alleged photo. No evidence photo was transmitted to cloud (pres…</t>
  </si>
  <si>
    <t>RT @Sticknstones4: Watching this spectacle of a No Photo Fake Sex Scandal that the #moleg witch hunters thought would force the Governor to…</t>
  </si>
  <si>
    <t>RT @VisioDeiFromLA: Hey did you hear about this? 
Kim Gardner (#KimShady)
Don Tisaby (#TriflingTisaby)
Scott Simpson
Katrina Sneed
All me…</t>
  </si>
  <si>
    <t>RT @JW1057: Prosecution admits: No alleged photo. No witness who saw alleged photo. No evidence that alleged photo was transmitted to cloud…</t>
  </si>
  <si>
    <t>RT @VisioDeiFromLA: Another question:
Kim Gardner (#KimShady)
Don Tisaby (#TriflingTisaby)
Scott Simpson
Katrina Sneed
All met in “a hote…</t>
  </si>
  <si>
    <t>RT @VisioDeiFromLA: It matters 2 determine credibility
Look at house testimony Katrina Sneed gave &amp;amp; compare it with the criminal, it doesn…</t>
  </si>
  <si>
    <t>RT @ResignNowKim: #moleg go ahead &amp;amp; impeach @EricGreitens you’ll make him a martyr. You’ll fuel my rage for years. I’d trade your careers f…</t>
  </si>
  <si>
    <t>#moleg go ahead &amp;amp; impeach @EricGreitens you’ll make him a martyr. You’ll fuel my rage for years. I’d trade your careers for democratic assembly-bc I’d rather have snake in the grass than viper in the bosom. With your unjust actions, do you blame me? Did you think no consequences? https://t.co/K1PLE8wGWq</t>
  </si>
  <si>
    <t>@RGreggKeller I will live to see your kind defeated and driven out of this state. #moleg . And #johnrhancock , @BarklageCompany , @rep_trichardson @jaybarnes5 fuq you too. #WeWillRemember #mogov https://t.co/x7f7peTWAH</t>
  </si>
  <si>
    <t>@RGreggKeller Your people - the conspirators within the political class- have woken us up. Me? I’m mad as hell. I didn’t vote for Greitens. But I’ll be damned if I tolerate this manifest, unprecedented injustice. Every add’l day your people continue, you deepen my resolve, anger (cont). #moleg</t>
  </si>
  <si>
    <t>@RGreggKeller I told you before. Men like me were truly birthed in 2006- the GOP betrayals back then.  We grew up in 2009-10, we were betrayed repeatedly and stomped on by you and yours.  Then we went dormant.  Now, bc of the outrageous and coordinated injustice w @EricGreitens (cont.) #moleg</t>
  </si>
  <si>
    <t>@RGreggKeller Can you feel that, @RGreggKeller ? Walls closing in on you? Your comrades’ campaign against @EricGreitens is imploding, because the truth will out. Stop now, save the party. That’s your only chance to stop men like me from voting your stooges out, in favor of - literally anyone.</t>
  </si>
  <si>
    <t>This tweet from a scum political consultant explains it all. #moleg is wavering. They know what they’re doing to @EricGreitens is wrong. Yet he rallies them. Result? Hand the lege to the Dems. I won’t like that, but I’d rather the cleanse the party of his kind. #GOPneedsAnEnema https://t.co/cb2Jit22no</t>
  </si>
  <si>
    <t>@RGreggKeller Don’t delude yourselves #moleg . This man is paid to spew #bullshit.  I’m a common man &amp;amp; don’t like getting in politics. But I swear, God as my witness, you continue this flagrant abuse of power w Greitens, my kind are coming to Vote. You have awoken me. I won’t stop till u lose.</t>
  </si>
  <si>
    <t>RT @sandysisland: In Elkhart, Indiana for the Trump rally tonight!! A great day to #MAGA with @realDonaldTrump and our fellow Americans! 🇺🇸…</t>
  </si>
  <si>
    <t>RT @VisioDeiFromLA: Hmmm.... https://t.co/jp14mhI3fe</t>
  </si>
  <si>
    <t>@KMOV Why?</t>
  </si>
  <si>
    <t>RT @ResignNowKim: @PubPolHist @MariaChappelleN Who is this dipshit? Hey @PubPolHist I got one for ya: nobody told me bout you years ago. Wh…</t>
  </si>
  <si>
    <t>@PubPolHist @MariaChappelleN Who is this dipshit? Hey @PubPolHist I got one for ya: nobody told me bout you years ago. Why? you were irrelevant then&amp;amp; you’re irrelevant now. Bill draws lots a water round the state....you don’t draw shit asshole.  #ToneDeaf #OutOfTheLoop Even now, you’re a loser NeverTrumper.</t>
  </si>
  <si>
    <t>RT @MSTLGA: #donnybrookSTL
Do you think it was Rex Sinquefield’s Cash ?
Scott Faughn Delivered https://t.co/Ho9yiRR3bN</t>
  </si>
  <si>
    <t>@LaurenTrager @KMOV Tainted:  how did that happen, @LaurenTrager ? Couldn’t be due to the circus you created, could it?</t>
  </si>
  <si>
    <t>RT @magathemaga1: Yeah and thanks to Lauren and her sham report on the tape, the entire pool is tainted #greitenstrial 
#greitens https://…</t>
  </si>
  <si>
    <t>RT @Str8DonLemon: #greitenstrial #GreitensCriminalTrial 
#Greitens #stlouis #Missouri #stl #moleg #mogov #NoNotesTisaby #KimShady https://t…</t>
  </si>
  <si>
    <t>@alexiszotos @KMOV #BenchTrial</t>
  </si>
  <si>
    <t>RT @alexiszotos: Court is done for the day. They picked 17 (out of 40) to move on to Monday.  #GreitensTrial #KMOV</t>
  </si>
  <si>
    <t>RT @RealCandaceO: This just in: murdering 800 black babies every single day is now considered “healthcare”. https://t.co/vQ9PA6xzbz</t>
  </si>
  <si>
    <t>RT @DeplorableGoldn: RT 🚨
This is not advice
It’s #Collusion #moleg #mogov #MAGA #mosen #staceynewman #KimShady #greitens https://t.co/2FCZ…</t>
  </si>
  <si>
    <t>@RiverfrontTimes Jinx</t>
  </si>
  <si>
    <t>RT @ResignNowKim: @ES03784893 @EricGreitens @MOEthics @HereLiesMoon @scottfaughn @staceynewman @stlcao Dude. Err. I mean Dudette: DIERKER W…</t>
  </si>
  <si>
    <t>RT @ResignNowKim: @KMOV Nawwwww.  Let’s just keep railroading the bastard. #moleg #mogov @EricGreitens @rep_trichardson @jaybarnes5 @Barkla…</t>
  </si>
  <si>
    <t>RT @Str8DonLemon: @internalmonolo2 #moleg #mogov #Greitens
#GreitensTrial 
Liberals &amp;amp; establishment GOP still hasn't figured it out yet, e…</t>
  </si>
  <si>
    <t>@ES03784893 @EricGreitens @MOEthics @HereLiesMoon @scottfaughn @staceynewman @stlcao Dude. Err. I mean Dudette: DIERKER WAS QUOTED re BOTH ISSUES: a) NO PHOTO; b) NO CLOUD #TryReadingItWorksReally #YouLose #DankYuCohmAgan https://t.co/k2XMN5mbsE</t>
  </si>
  <si>
    <t>RT @ResignNowKim: @ES03784893 @EricGreitens @MOEthics @HereLiesMoon @scottfaughn @staceynewman @stlcao Hell, Dierker admitted that they did…</t>
  </si>
  <si>
    <t>@KMOV Nawwwww.  Let’s just keep railroading the bastard. #moleg #mogov @EricGreitens @rep_trichardson @jaybarnes5 @BarklageCompany @HennessySTL</t>
  </si>
  <si>
    <t>RT @KMOV: The Latest: Greitens' lawyers want open impeachment process https://t.co/GNMBQFCYpJ</t>
  </si>
  <si>
    <t>RT @AP4Liberty: Josh Hawley will do anything to climb the political ladder, including throwing Governor @EricGreitens under the bus. 
@Hawl…</t>
  </si>
  <si>
    <t>RT @TheKristen1984: Why is @HawleyMO afraid to debate @AP4Liberty ?  #MOSEN #AP4SENATE #FireClaire #ladderboy https://t.co/2AlYcSuFAN</t>
  </si>
  <si>
    <t>@TheKristen1984 @jeffreyscarson @HawleyMO @AP4Liberty Simple: he’s a pussy.</t>
  </si>
  <si>
    <t>@ES03784893 @EricGreitens @MOEthics @HereLiesMoon @scottfaughn @staceynewman @stlcao Hell, Dierker admitted that they didn’t have the photo. https://t.co/u3jcYrjLbR</t>
  </si>
  <si>
    <t>@ES03784893 @EricGreitens @MOEthics @HereLiesMoon @scottfaughn @staceynewman @stlcao #Fail dierker already admitted that there was nothing in the cloud. #TryReadingItWorksReally #moleg #mogov #YouLose https://t.co/3EVkcZz8yb</t>
  </si>
  <si>
    <t>RT @ResignNowKim: @JW1057 @KMOV Amen, I say. Amen.  These colors don’t run.</t>
  </si>
  <si>
    <t>@JW1057 @KMOV Amen, I say. Amen.  These colors don’t run.</t>
  </si>
  <si>
    <t>@Str8DonLemon @smart_hillbilly @grcfay @971FMTalk @fivenickel @RealTravisCook @Hope4Hopeless1 @RetNavy93 @MSTLGA @SKOLBLUE1 @Norasmith1000  https://t.co/OmhOPs741y</t>
  </si>
  <si>
    <t>RT @Str8DonLemon: #greitenstrial #GreitensCriminalTrial 
#Greitens #stlouis #Missouri #stl #moleg #mogov https://t.co/UI13zkCfxk</t>
  </si>
  <si>
    <t>RT @ResignNowKim: @KMOV Bench trial.</t>
  </si>
  <si>
    <t>@KMOV Bench trial.</t>
  </si>
  <si>
    <t>RT @ResignNowKim: @Str8DonLemon @RetNavy93 @STLCountyGOP @JohnLamping @grcfay @smart_hillbilly @SKOLBLUE1 @RealTravisCook @blackwidow07 @sc…</t>
  </si>
  <si>
    <t>@KMOV Meh.</t>
  </si>
  <si>
    <t>RT @SKOLBLUE1: @VisioDeiFromLA What Robert Patrick who originally posted this failed to accurately report is that they have also removed ju…</t>
  </si>
  <si>
    <t>RT @VisioDeiFromLA: Yes, let’s follow the money. 
Let’s start asking where Scott Faughn got his money. 
You down?
I’m totally down.
Fol…</t>
  </si>
  <si>
    <t>RT @Str8DonLemon: #greitenstrial #GreitensCriminalTrial 
#Greitens #stlouis #Missouri #stl #moleg #mogov #GreitensIndictment
@MissouriGOP…</t>
  </si>
  <si>
    <t>RT @ResignNowKim: @aliemalie @MOEthics So you’ve conceded defeat in the bogus photo case, I see.  Moving right along.  Don’t worry, @EricGr…</t>
  </si>
  <si>
    <t>@aliemalie @MOEthics So you’ve conceded defeat in the bogus photo case, I see.  Moving right along.  Don’t worry, @EricGreitens gonna crush that #bullshit too. #moleg #mogov . Now, how you gonna splain the past 4 months of getting the photo case wrong? #WeakAssPropagandaNSheeit #YouSuckAtJournalism https://t.co/qUWEbyYHEU</t>
  </si>
  <si>
    <t>RT @ResignNowKim: @Str8DonLemon @Neilin1Neil @HotPokerPrinces @ohsynesthesia @RightSideUp313 @Sticknstones4 @Norasmith1000 @SKOLBLUE1 @tony…</t>
  </si>
  <si>
    <t>@Str8DonLemon @Neilin1Neil @HotPokerPrinces @ohsynesthesia @RightSideUp313 @Sticknstones4 @Norasmith1000 @SKOLBLUE1 @tonycolombo971 @Lautergeist @stlcao @KimGardnerSTL https://t.co/cmW0osVZuD</t>
  </si>
  <si>
    <t>@Str8DonLemon @Neilin1Neil @HotPokerPrinces @ohsynesthesia @RightSideUp313 @Sticknstones4 @Norasmith1000 @SKOLBLUE1 @tonycolombo971 @Lautergeist Or have evidence of a crime. https://t.co/U1ffIHyJGA</t>
  </si>
  <si>
    <t>RT @Str8DonLemon: #greitenstrial #GreitensCriminalTrial 
#Greitens #stlouis #Missouri #stl #moleg #mogov https://t.co/Tcq3XVqljp</t>
  </si>
  <si>
    <t>RT @Str8DonLemon: #greitenstrial #GreitensCriminalTrial 
#Greitens #stlouis #Missouri #stl #moleg #mogov https://t.co/5aZzcc79v3</t>
  </si>
  <si>
    <t>RT @Str8DonLemon: #greitenstrial #GreitensCriminalTrial 
#Greitens #stlouis #Missouri #stl #moleg #mogov https://t.co/xG4jFCQx4q</t>
  </si>
  <si>
    <t>@Str8DonLemon @RetNavy93 @STLCountyGOP @JohnLamping @grcfay @smart_hillbilly @SKOLBLUE1 @RealTravisCook @blackwidow07 @scomo77 @RobVescovo Red pill, baby.</t>
  </si>
  <si>
    <t>RT @ResignNowKim: @kelsey_ryan @EricGreitens @IRE_NICAR @KCStar @J_Hancock He @rickhellman - how do you feel about @HillaryClinton bleachbi…</t>
  </si>
  <si>
    <t>RT @ResignNowKim: @kelsey_ryan @EricGreitens @IRE_NICAR @KCStar @J_Hancock Are you effing kidding me? Have you heard of a woman named Hilla…</t>
  </si>
  <si>
    <t>@kelsey_ryan @EricGreitens @IRE_NICAR @KCStar @J_Hancock He @rickhellman - how do you feel about @HillaryClinton bleachbitting the shit out of her server? Oh yeah, also read @HawleyMO ‘s AG opinion RE Schaaf- it creates a loophole for all govt employees to destroy texts.</t>
  </si>
  <si>
    <t>@kelsey_ryan @EricGreitens @IRE_NICAR @KCStar @J_Hancock Are you effing kidding me? Have you heard of a woman named Hillary Clinton? Hey Kelsey: can you track all of the @ClintonGlobal money , including payoffs for USAs uranium supply? No! You can’t:bc she ran the money thru a Canadian entity. Do you attack her? No! Cuz she’s yo tribe.</t>
  </si>
  <si>
    <t>RT @VisioDeiFromLA: Interesting. 
And KG?
Kim Gardner (#KimShady)
Don Tisaby (#TriflingTisaby)
Scott Simpson
Katrina Sneed
All met in “a…</t>
  </si>
  <si>
    <t>RT @ResignNowKim: @ES03784893 @EricGreitens @MOEthics Ah! Good to see you’ve conceded defeat on the #bullshit @hereliesmoon / @scottfaughn…</t>
  </si>
  <si>
    <t>@ES03784893 @EricGreitens @MOEthics Ah! Good to see you’ve conceded defeat on the #bullshit @hereliesmoon / @scottfaughn / @staceynewman / @stlcao contrived photo Case.   #WHATCHAGONNADO https://t.co/pIbUSdktbD</t>
  </si>
  <si>
    <t>RT @VisioDeiFromLA: Bench TRIAL NOW, Judge!
#moleg #mogov #greitens #greitenstrial https://t.co/w4ZlPNI12J</t>
  </si>
  <si>
    <t>RT @VisioDeiFromLA: Where is Scott Faughn Jamilah
You know?
#moleg #mogov #FindFaughn #GreitensTrial #greitens https://t.co/NdrVulUABk</t>
  </si>
  <si>
    <t>RT @VisioDeiFromLA: She didnt want 2 come forward cuz consensual affair?
Why wait 3 years, &amp;amp; then husband goes 2 media, not police?
Money…</t>
  </si>
  <si>
    <t>RT @ResignNowKim: Here’s a video prediction of how this #bullshit coup against Greitens ends. FYI: @EricGreitens is the dude w the white ha…</t>
  </si>
  <si>
    <t>@SpeakerTimJones @staceynewman No</t>
  </si>
  <si>
    <t>RT @magathemaga1: Waiting 4 @ScottCharton to get off phone with @scottfaughn as they figure how 2 spin latest news showing this 2 be scam a…</t>
  </si>
  <si>
    <t>RT @ResignNowKim: @scottfaughn @ScottCharton @johnrhancock @BarklageCompany @HennessySTL @markreardonkmox @KMOXKilleen @RiverfrontTimes @he…</t>
  </si>
  <si>
    <t>@scottfaughn @ScottCharton @johnrhancock @BarklageCompany @HennessySTL @markreardonkmox @KMOXKilleen @RiverfrontTimes @hereliesmoon @RGreggKeller @JaneDueker @staceynewman @LacyClayMO1 @jaybarnes5 @gcmitts @jeanielauer #DonPhillips @KevinLAustin1 @shawnrhoads154 @TommiePierson https://t.co/fEE20WSFhu</t>
  </si>
  <si>
    <t>Here’s a video prediction of how this #bullshit coup against Greitens ends. FYI: @EricGreitens is the dude w the white hat. Anyone w/o the white hat is the anti-Greitens cabal: @stlcao @KimGardnerSTL @naral #moleg #mogov @Rep_TRichardson https://t.co/mAdjZ3pFBm</t>
  </si>
  <si>
    <t>@NARALMissouri @BKelly4H Hey hey hey! It’s the Beta Brigade! Is that @hereliesmoon I see?????</t>
  </si>
  <si>
    <t>RT @magathemaga1: #GreitensTrial
Wonder if any of the potential jurors know #Moleg was coordinating with the circuit attorneys office???…</t>
  </si>
  <si>
    <t>RT @magathemaga1: @Sticknstones4 @shesova @EricGreitens @TuckerCarlson @FoxNews @molegislature Follow the money!
#MoLeg #mogov #Greitens #…</t>
  </si>
  <si>
    <t>RT @ResignNowKim: @internalmonolo2 @ScottCharton UH OH!  #TorquemadaJane #JournalistJane #LobbyistJane</t>
  </si>
  <si>
    <t>@internalmonolo2 @ScottCharton UH OH!  #TorquemadaJane #JournalistJane #LobbyistJane</t>
  </si>
  <si>
    <t>RT @ResignNowKim: @magathemaga1 @VisioDeiFromLA @HotPokerPrinces @Sticknstones4 @blackwidow07 @Avenge_mypeople @Shawtypepelina @RealTravisC…</t>
  </si>
  <si>
    <t>RT @HotPokerPrinces: Oh  #Moleg  
Slimey Scott Faughn delivers 70k  cash  &amp;amp; than hides 
To evade a supoena
Bad Times for The Missouri Ti…</t>
  </si>
  <si>
    <t>RT @magathemaga1: Good Morning #MoLeg
We need to talk
We still dont know where Scott Faughn is
We still dont know where the money came f…</t>
  </si>
  <si>
    <t>@magathemaga1 @VisioDeiFromLA @HotPokerPrinces @Sticknstones4 @blackwidow07 @Avenge_mypeople @Shawtypepelina @RealTravisCook @RightSideUp313 @SKOLBLUE1 @MSTLGA @Lautergeist Dunno about “Skyler.”  BUT I DO KNOW ABOUT “SKYLAR!” @ScottCharton #PlatformHeelsCharton #moleg #mogov #WhereIsScottFaughn https://t.co/f7dbKf3kDa</t>
  </si>
  <si>
    <t>RT @ResignNowKim: @ES03784893 @EricGreitens #moleg and @JaneDueker and @Scottfaughn have been sensationalizing @stlcao ‘s legal fraud again…</t>
  </si>
  <si>
    <t>RT @Sticknstones4: @shesova @EricGreitens @TuckerCarlson @FoxNews @molegislature Late Motions reveal Faughns hands delivered a total of 70k…</t>
  </si>
  <si>
    <t>@ES03784893 @EricGreitens #moleg and @JaneDueker and @Scottfaughn have been sensationalizing @stlcao ‘s legal fraud against @EricGreitens from start. #moleg has railroaded him &amp;amp; leveraged the media &amp;amp; the law to engineer a coup. GOP #moleg r pissin’ themselves. Grassroots know #bullshit when hey see it. https://t.co/EESIa6ZqDK</t>
  </si>
  <si>
    <t>RT @ResignNowKim: @ES03784893 @EricGreitens Hey @JaneDueker ‘s alter ego: Is that all you got? Here’s a question to ponder: what happens wh…</t>
  </si>
  <si>
    <t>RT @ResignNowKim: @NARALMissouri @CRCStLouis Hey: you folks have work orders back at the office- lots of babies to cut up. Get back to work…</t>
  </si>
  <si>
    <t>RT @ResignNowKim: @NARALMissouri @CRCStLouis Btw: wtf are you protesting? Seriously? What the hell does NARAL have to do with any of the is…</t>
  </si>
  <si>
    <t>RT @KMOV: Molina thanks fans for prayers and well wishes in cheerful Instagram post. https://t.co/o5AFqz5Jn6 #KMOVSports #NEWS4 https://t.c…</t>
  </si>
  <si>
    <t>@NARALMissouri @CRCStLouis Btw: wtf are you protesting? Seriously? What the hell does NARAL have to do with any of the issues presented in this case?  THEY DIDN’T EVEN HAVE INTERCOURSE YOU IDIOTS.  YOU CANT GET PREGNANT FROM GIVING HEAD. #TrySomeThinking No pregnancy, no baby to hack to pieces. Go home.</t>
  </si>
  <si>
    <t>RT @Sticknstones4: @NARALMissouri @CRCStLouis Rabbi Talve has been inonthe collusion
With the fake sex scandal from the beginning 
Fake se…</t>
  </si>
  <si>
    <t>@NARALMissouri @CRCStLouis Hey: you folks have work orders back at the office- lots of babies to cut up. Get back to work.  #CelebrateBabyMurder</t>
  </si>
  <si>
    <t>RT @RealTravisCook: @Buschbeer2015 @Hope4Hopeless1 @ResignNowKim @Nanci2GH @VisioDeiFromLA @JW1057 @joelcurrier @HereLiesMoon @SheenaGreite…</t>
  </si>
  <si>
    <t>@ES03784893 @EricGreitens Hey @JaneDueker ‘s alter ego: Is that all you got? Here’s a question to ponder: what happens when @EricGreitens is acquitted? #WHATCHAGONNADO .  Can you feel the walls closing in? #moleg #mogov  You keepin’ up w the news? @stlcao ain’t got jack shit of a case. #WHEREISTHEEVIDENCE https://t.co/qjaey7tkK4</t>
  </si>
  <si>
    <t>RT @VisioDeiFromLA: You want to talk about how you admitted on here this whole thing was made up and revenge for @EricGreitens cutting the…</t>
  </si>
  <si>
    <t>RT @Hope4Hopeless1: @Buschbeer2015 @RealTravisCook @ResignNowKim @Nanci2GH @VisioDeiFromLA @JW1057 @joelcurrier @HereLiesMoon @SheenaGreite…</t>
  </si>
  <si>
    <t>@Buschbeer2015 @RealTravisCook @Nanci2GH @VisioDeiFromLA @JW1057 @joelcurrier @HereLiesMoon @SheenaGreitens @EricGreitens @Avenge_mypeople @EdBigCon @SKOLBLUE1 @blackwidow07 @HennessySTL @SpeakerTimJones @Hope4Hopeless1 @Shawtypepelina @AWESOMECQ Busch: are you ok? You seem a little under the weather.</t>
  </si>
  <si>
    <t>@HennessySTL #GOPocalypse https://t.co/j7KCabvvQj</t>
  </si>
  <si>
    <t>RT @HennessySTL: House Republicans and their corporate masters are turning #moleg Democrat for a generation (or longer!). Terrible humans w…</t>
  </si>
  <si>
    <t>RT @ResignNowKim: #GOPocalypse https://t.co/UmA1fYEzZT</t>
  </si>
  <si>
    <t>#GOPocalypse https://t.co/UmA1fYEzZT</t>
  </si>
  <si>
    <t>RT @KMOV: Jury to be picked for Greitens' trial stemming from affair https://t.co/dYdyq1FkTb</t>
  </si>
  <si>
    <t>RT @ResignNowKim: #moleg @Rep_TRichardson @MOGOP_Chairman @Johnrhancock @BarklageCompany : get ready for the #GOPocalypse .  You’re all don…</t>
  </si>
  <si>
    <t>@SharkFu @ScottCharton @EricGreitens ........ #YouSuckAtLife</t>
  </si>
  <si>
    <t>#moleg @Rep_TRichardson @MOGOP_Chairman @Johnrhancock @BarklageCompany : get ready for the #GOPocalypse .  You’re all done- by your own hand.  You wanted this fight. Now you’ve got it.  #mogov @EricGreitens @HawleyMO @HennessySTL https://t.co/m4EDQo09xk</t>
  </si>
  <si>
    <t>@VisioDeiFromLA Obama was 10x worse.  Most controlling admin re press access in history.  Only got away w it bc they all did and still do, suck his }#%€€€£%#]</t>
  </si>
  <si>
    <t>RT @VisioDeiFromLA: Non citizens SHOULD NOT BE COUNTED, PERIOD. Only citizens.
Also clean Missouri is a giant scam perpetrated on the peop…</t>
  </si>
  <si>
    <t>RT @ResignNowKim: @RealTravisCook @Norasmith1000 True- but it’s also about the opportunism of the leadership of both political parties and…</t>
  </si>
  <si>
    <t>@RealTravisCook @Norasmith1000 True- but it’s also about the opportunism of the leadership of both political parties and their willingness to contrive and abuse process to railroad a man.  It’s heinous, it’s sign of a a deadly rot in our government.  It is a harbinger of things to come. #BananaRepublic</t>
  </si>
  <si>
    <t>RT @RealTravisCook: Hey now--the kitty (Sneed, that is) screwed the Governor just as much as he screwed her.  She's just as much to blame f…</t>
  </si>
  <si>
    <t>RT @ResignNowKim: @KMOXKilleen @EricGreitens Kevin: typographical error in your tweet. Not “trial.” I believe the word you intended was “In…</t>
  </si>
  <si>
    <t>RT @ResignNowKim: @Buschbeer2015 @Nanci2GH @VisioDeiFromLA @JW1057 @joelcurrier @HereLiesMoon @SheenaGreitens @EricGreitens @RealTravisCook…</t>
  </si>
  <si>
    <t>RT @VisioDeiFromLA: Claire out of step with MO. If election about ideas, GOP wins. If about oppressors vs oppressed (imagined), she wins
#…</t>
  </si>
  <si>
    <t>RT @VisioDeiFromLA: FAN THE FLAMES!
BON FIRES EVERYWHERE!
Alinski advocated INSTIGATION. In some ways, turned out 2 be good
Civil rights m…</t>
  </si>
  <si>
    <t>@KMOXKilleen @EricGreitens Kevin: typographical error in your tweet. Not “trial.” I believe the word you intended was “Inquisition.”</t>
  </si>
  <si>
    <t>@Buschbeer2015 @Nanci2GH @VisioDeiFromLA @JW1057 @joelcurrier @HereLiesMoon @SheenaGreitens @EricGreitens @RealTravisCook @Avenge_mypeople @EdBigCon @SKOLBLUE1 @blackwidow07 @HennessySTL @SpeakerTimJones @Hope4Hopeless1 @Shawtypepelina @AWESOMECQ Update: sorry, Greek Fire. Not story of the year.</t>
  </si>
  <si>
    <t>@Buschbeer2015 @Nanci2GH @VisioDeiFromLA @JW1057 @joelcurrier @HereLiesMoon @SheenaGreitens @EricGreitens @RealTravisCook @Avenge_mypeople @EdBigCon @SKOLBLUE1 @blackwidow07 @HennessySTL @SpeakerTimJones @Hope4Hopeless1 @Shawtypepelina @AWESOMECQ Fn.: Top of the World- song made famous by band story of the year. #Wit</t>
  </si>
  <si>
    <t>@TomJEstes [mic drop]</t>
  </si>
  <si>
    <t>RT @ResignNowKim: @HennessySTL #PlatformHeelsCharton https://t.co/dIuuuSO32t</t>
  </si>
  <si>
    <t>RT @VisioDeiFromLA: @CoreyDJackson @MissouriTimes @EricGreitens If you look at both depositions, she is clearly lying. I feel like she may…</t>
  </si>
  <si>
    <t>@HennessySTL #PlatformHeelsCharton https://t.co/dIuuuSO32t</t>
  </si>
  <si>
    <t>RT @Sticknstones4: @HennessySTL  https://t.co/bvNjdovpcJ</t>
  </si>
  <si>
    <t>@TheLastRefuge2 @julylady2010 Little panda of death</t>
  </si>
  <si>
    <t>@RiverfrontTimes Nope</t>
  </si>
  <si>
    <t>RT @Avenge_mypeople: Pretty sad that @971FMTalk has withdrawn from participation in the upcoming debate simply because @jallman971 from #ra…</t>
  </si>
  <si>
    <t>@kmoxnews Nope. We don’t get enough sun to make it worthwhile out here.</t>
  </si>
  <si>
    <t>RT @VisioDeiFromLA: Scotty Still Running?
Outsider advice
U screwed a man. Lied about him. Released incomplete report, timed 4 maximum po…</t>
  </si>
  <si>
    <t>RT @VisioDeiFromLA: Jane, that’s a very good question.
Are we in the 50s where McCathyism ran rampant and people engaged in baseless with…</t>
  </si>
  <si>
    <t>RT @VisioDeiFromLA: Outsider advice
U screwed a man. Lied about him. Released incomplete report, timed 4 maximum political damage
U all a…</t>
  </si>
  <si>
    <t>RT @ResignNowKim: @VisioDeiFromLA @EricGreitens @Rep_TRichardson @HennessySTL  https://t.co/QdvXy1gSKc</t>
  </si>
  <si>
    <t>@VisioDeiFromLA @EricGreitens @Rep_TRichardson @HennessySTL  https://t.co/QdvXy1gSKc</t>
  </si>
  <si>
    <t>@JW1057 @KMOV @LaurenTrager @Rep_TRichardson @jaybarnes5 @BarklageCompany @johnrhancock @stlcoa #WHATCHAGONNADO https://t.co/8H9C2H268n</t>
  </si>
  <si>
    <t>@JW1057 @KMOV @LaurenTrager @Rep_TRichardson @jaybarnes5 @BarklageCompany @johnrhancock @stlcoa #WHATCHAGONNADO https://t.co/NaZYB6CBC1</t>
  </si>
  <si>
    <t>@JW1057 @KMOV @LaurenTrager @Rep_TRichardson @jaybarnes5 @BarklageCompany @johnrhancock @stlcoa #WHATCHAGONNADO https://t.co/imiepsH8Yj</t>
  </si>
  <si>
    <t>@JW1057 @KMOV No photo. No conviction. No kidding. @LaurenTrager #moleg — @Rep_TRichardson @jaybarnes5 @BarklageCompany @johnrhancock . No conviction, no impeachment, assholes. #WhatchaGonnaDo #GOPocalypse #TwilightOfTheOligarchs Trager: what if #mogov sues @stlcoa Kim? Do you have a conflict?</t>
  </si>
  <si>
    <t>RT @JW1057: @KMOV That is the very definition of reasonable doubt. 
#moleg #mogov #greitens #KimShady #IStandWithGreitens</t>
  </si>
  <si>
    <t>@uptousnews @visitthecapitol Marco from Tropoja says: https://t.co/uHRkUxRgGR</t>
  </si>
  <si>
    <t>RT @ResignNowKim: @JW1057 @joelcurrier So if she’s into alpha males, then by logic, her ex-husband must be a beta male, right? Am I doing t…</t>
  </si>
  <si>
    <t>@Nanci2GH @VisioDeiFromLA @Buschbeer2015 @JW1057 @joelcurrier @HereLiesMoon @SheenaGreitens @EricGreitens @RealTravisCook @Avenge_mypeople @EdBigCon @SKOLBLUE1 @blackwidow07 @HennessySTL @SpeakerTimJones @Hope4Hopeless1 @Shawtypepelina @AWESOMECQ Jokes aside.  Very sad.  From the top of the world to the bottom of the gutter.</t>
  </si>
  <si>
    <t>RT @Nanci2GH: @ResignNowKim @VisioDeiFromLA @Buschbeer2015 @JW1057 @joelcurrier @HereLiesMoon @SheenaGreitens @EricGreitens @RealTravisCook…</t>
  </si>
  <si>
    <t>RT @ResignNowKim: @JW1057 @joelcurrier Omg! Are you saying Phil is an omega? WOW! What a loser!</t>
  </si>
  <si>
    <t>RT @JW1057: @ResignNowKim @joelcurrier Phil is below Beta!</t>
  </si>
  <si>
    <t>@JW1057 @joelcurrier Omg! Are you saying Phil is an omega? WOW! What a loser!</t>
  </si>
  <si>
    <t>@JW1057 @joelcurrier So if she’s into alpha males, then by logic, her ex-husband must be a beta male, right? Am I doing that logic thing correctly?</t>
  </si>
  <si>
    <t>RT @JW1057: @ResignNowKim @joelcurrier This is Katrina Sneed also known as Kitty. She is into alpha males, 50 Shades of Grey, and bondage.…</t>
  </si>
  <si>
    <t>RT @ResignNowKim: @JW1057 @joelcurrier @jw1057 : who are Phil Sneed and Katrina Sneed? #moleg #mogov</t>
  </si>
  <si>
    <t>RT @ResignNowKim: @VisioDeiFromLA @Buschbeer2015 @Nanci2GH @JW1057 @joelcurrier @HereLiesMoon @SheenaGreitens @EricGreitens Phillip Sneed y…</t>
  </si>
  <si>
    <t>RT @VisioDeiFromLA: @ResignNowKim @Buschbeer2015 @Nanci2GH @JW1057 @joelcurrier @HereLiesMoon @SheenaGreitens @EricGreitens Here is the sto…</t>
  </si>
  <si>
    <t>@VisioDeiFromLA @Buschbeer2015 @Nanci2GH @JW1057 @joelcurrier @HereLiesMoon @SheenaGreitens @EricGreitens Phillip Sneed you say? That’s the name of the ex husband?  Is that the same Sneed known as Moon? Doesn’t he front a band? Unreal.</t>
  </si>
  <si>
    <t>@VisioDeiFromLA @Buschbeer2015 @Nanci2GH @JW1057 @joelcurrier @HereLiesMoon @SheenaGreitens @EricGreitens @RealTravisCook @Avenge_mypeople @EdBigCon @SKOLBLUE1 @blackwidow07 @HennessySTL @SpeakerTimJones @Hope4Hopeless1 @Shawtypepelina @AWESOMECQ Good question!</t>
  </si>
  <si>
    <t>RT @VisioDeiFromLA: @ResignNowKim @Buschbeer2015 @Nanci2GH @JW1057 @joelcurrier @HereLiesMoon @SheenaGreitens @EricGreitens Very interestin…</t>
  </si>
  <si>
    <t>RT @ResignNowKim: @Buschbeer2015 @Nanci2GH @JW1057 @joelcurrier @HereLiesMoon And hey Busch....I don’t get the gun sandwhich photo, but her…</t>
  </si>
  <si>
    <t>RT @JW1057: @BigJShoota Impossible! I have been told repeatedly that women do not lie about rape/sexual assault.</t>
  </si>
  <si>
    <t>RT @ResignNowKim: @Buschbeer2015 @Nanci2GH @JW1057 @joelcurrier @HereLiesMoon Potty mouth! I’d say it’s dishonorable.  I’d say the ex husba…</t>
  </si>
  <si>
    <t>@Buschbeer2015 @Nanci2GH @JW1057 @joelcurrier @HereLiesMoon And hey Busch....I don’t get the gun sandwhich photo, but here’s more on slimey ex husband stalking @SheenaGreitens . #moleg @EricGreitens what was the ex’s name again @JW1057 ? https://t.co/CFx1h0rIzz</t>
  </si>
  <si>
    <t>@Buschbeer2015 @Nanci2GH @JW1057 @joelcurrier @HereLiesMoon Potty mouth! I’d say it’s dishonorable.  I’d say the ex husband’s stalking @SheenaGreitens and her family for 2 years is slimey. Check it out, hoss. #moleg https://t.co/UYyTaCRtML</t>
  </si>
  <si>
    <t>RT @Nanci2GH: @ResignNowKim @JW1057 @joelcurrier The accuser and her slimy extra husband. Look him up @HereLiesMoon</t>
  </si>
  <si>
    <t>RT @ResignNowKim: @blackwidow07 @Avenge_mypeople @SKOLBLUE1 @staceynewman @LydaKrewson Hmmmmmmmmmmmmmm.  Who?</t>
  </si>
  <si>
    <t>RT @ChrisHayesTV: Tension in the final MO Gov privacy invasion hearing before jury selection. The defense frustrated by lack of ability to…</t>
  </si>
  <si>
    <t>RT @ATeamMom1: Let @staceynewman know we the people have had it with her destructive, hateful, Marxist, Alinsky tactics. #RFA #RadioFreeAll…</t>
  </si>
  <si>
    <t>@JW1057 @joelcurrier @jw1057 : who are Phil Sneed and Katrina Sneed? #moleg #mogov</t>
  </si>
  <si>
    <t>RT @JW1057: @joelcurrier In fairness, it is time to start saying Philip Sneed and Katrina Sneed. The Judge said it is okay, if you are worr…</t>
  </si>
  <si>
    <t>RT @blackwidow07: @SKOLBLUE1 @Avenge_mypeople @staceynewman @LydaKrewson Do you know the alleged name like I do???</t>
  </si>
  <si>
    <t>RT @MariaChappelleN: This Scott Faughn saga hits - at least - four birds with one stone. And, they are both Democratic and Republican birdi…</t>
  </si>
  <si>
    <t>RT @Avenge_mypeople: Do tell... https://t.co/5HGqAaA6Ow</t>
  </si>
  <si>
    <t>@blackwidow07 @Avenge_mypeople @SKOLBLUE1 @staceynewman @LydaKrewson Hmmmmmmmmmmmmmm.  Who?</t>
  </si>
  <si>
    <t>RT @blackwidow07: @Avenge_mypeople @SKOLBLUE1 @staceynewman Did someone that worked on @LydaKrewson campaign try to influence Gardner to ac…</t>
  </si>
  <si>
    <t>RT @VisioDeiFromLA: @grcfay They all knew about the affair
Because it was just an affair. 
Its not morally right but we dont imprison peo…</t>
  </si>
  <si>
    <t>RT @Sticknstones4: 8)  NO COERCION  👇👇👇
Katrina testified to giving Consent 
The behind closed door 🚪 house committee lead a series of que…</t>
  </si>
  <si>
    <t>RT @ResignNowKim: @MariaChappelleN @scottfaughn And why is he paying Watkins? #mogov #moleg . @hereliesmoon .  What say you, Moon Man? Care…</t>
  </si>
  <si>
    <t>RT @Avenge_mypeople: In case you haven't seen the latest article describing how @staceynewman used Kitty Sneed to attempt to bring down Gov…</t>
  </si>
  <si>
    <t>RT @ResignNowKim: @scottfaughn @ScottCharton @markreardonkmox : do U believe this guy? @kmoxpd @charliekmox @KMOXKilleen @kmoxnews @DebbieM…</t>
  </si>
  <si>
    <t>RT @ResignNowKim: @scottfaughn Haha, you clown! No one cares! You’re a fraud! You’re finished! You lied and literally tried to bamboozle th…</t>
  </si>
  <si>
    <t>RT @magathemaga1: Money Bag Man Still On The RUN!
Scott Faughn still MIA &amp;amp; with #Missouri not knowing where source 4 money 2 #MoneyBagsAl…</t>
  </si>
  <si>
    <t>@scottfaughn @ScottCharton @markreardonkmox : do U believe this guy? @kmoxpd @charliekmox @KMOXKilleen @kmoxnews @DebbieMonterrey @Rep_TRichardson #moleg #mogov @johnrhancock @BarklageCompany @staceynewman @stlcao @KimGardnerSTL @hereliesmoon @RizzShow #scammingscott #ScottOnTheLam @HennessySTL https://t.co/dXqkT1I1qr</t>
  </si>
  <si>
    <t>@scottfaughn Haha, you clown! No one cares! You’re a fraud! You’re finished! You lied and literally tried to bamboozle the public - and you did it brazenly &amp;amp; without shame!  You’re hiding from service of process in @ScottCharton ‘s trailer home. Stay there! Permanently! #moleg #mogov</t>
  </si>
  <si>
    <t>RT @PrisonPlanet: H.L. Mencken’s definition of puritanism: “The haunting fear that someone, somewhere, may be happy.”
You could also apply…</t>
  </si>
  <si>
    <t>RT @citizenga: https://t.co/LYkKFMkPfu</t>
  </si>
  <si>
    <t>RT @VisioDeiFromLA: As opposed to when Obama did the same. This is what the winning Party does.
CNN IS FAKE NEWS
AND THE MEDIA IS THE ENE…</t>
  </si>
  <si>
    <t>RT @Sticknstones4: Kim Gardner doesn’t want jurors to know about the cash payments 120k   😂🤣😂🤣
LOL YEAH NO !    
This Case has No Picture…</t>
  </si>
  <si>
    <t>RT @ResignNowKim: @JW1057 @FOX2now @stlcao Game. Set. Match.  Hey @KimGardnerSTL @stlcao #GameOverKim  #YouSuckAtProsecuting #YouSuckAtLife…</t>
  </si>
  <si>
    <t>RT @Sticknstones4: If we’re talking taxpayer dime let’s #findfaughn
His Shenanigans are costing Missouri Taxpayers Money
He’s disrespected…</t>
  </si>
  <si>
    <t>RT @CStamper_: Soros-backed prosecutor asks judge to keep jury from learning her witnesses’ lawyer received $100,000 cash payment &amp;amp; that he…</t>
  </si>
  <si>
    <t>RT @VisioDeiFromLA: Non citizens should not get benefits that citizens get.
Incentivizes further illegal immigration. The fact they can us…</t>
  </si>
  <si>
    <t>RT @KMOV: PD: Accused stalker sent 65,000 texts to man, said she wanted to bathe in his blood https://t.co/7H7yySrckI https://t.co/aZzODjbl…</t>
  </si>
  <si>
    <t>RT @CStamper_: Looks like this abortion-loving group has joined Soros-backed Kim Gardner’s witch hunt against our Republican Governor. I ho…</t>
  </si>
  <si>
    <t>@RiverfrontTimes Why?</t>
  </si>
  <si>
    <t>@Sticknstones4 @ScottCharton And the “token” “dame”, eh Scotty? #PlatformHeelsCharton #moleg #mogov @scottfaughn</t>
  </si>
  <si>
    <t>RT @ResignNowKim: @ScottCharton @EricGreitens @scottfaughn Hey Scotty: a reminder of better days......... #SaladDaysWithMyPalScottFaughn #P…</t>
  </si>
  <si>
    <t>@ScottCharton @EricGreitens @scottfaughn Hey Scotty: a reminder of better days......... #SaladDaysWithMyPalScottFaughn #PlatformHeelsCharton https://t.co/jC9UmuJi2d</t>
  </si>
  <si>
    <t>@JW1057 @FOX2now @stlcao Game. Set. Match.  Hey @KimGardnerSTL @stlcao #GameOverKim  #YouSuckAtProsecuting #YouSuckAtLife https://t.co/W1lhO2QQ0I</t>
  </si>
  <si>
    <t>RT @JW1057: @FOX2now Of course, ONE of @stlcao problem is instantaneous is not subsequent as required by the statute.</t>
  </si>
  <si>
    <t>RT @ResignNowKim: @ScottCharton My god you’re grasping at straws! “Ooh, here’s an @EricGreitens news blurb! I’m sure I can attack it, no ma…</t>
  </si>
  <si>
    <t>RT @ResignNowKim: @ScottCharton @EricGreitens @scottfaughn #moleg #mogov @AP @stltoday @KCStar #PlatformHeelsCharton @ScottCharton @johnrha…</t>
  </si>
  <si>
    <t>@ScottCharton @EricGreitens @scottfaughn #moleg #mogov @AP @stltoday @KCStar #PlatformHeelsCharton @ScottCharton @johnrhancock @mskstl @markreardonkmox @kmoxnews @HennessySTL</t>
  </si>
  <si>
    <t>@ScottCharton My god you’re grasping at straws! “Ooh, here’s an @EricGreitens news blurb! I’m sure I can attack it, no matter how weak! Hooray! Relevance for Scotty! ‘Cept, you’re not relevant. No one likes you- not even @scottfaughn but he needs your Cheetos &amp;amp; to hole up in your doublewide. https://t.co/tZKHwhYujZ</t>
  </si>
  <si>
    <t>RT @JW1057: @rxpatrick Kim Gardner continues to waste taxpayer money on her farce of a case.</t>
  </si>
  <si>
    <t>RT @Jesus_isPeace: Why #StLouis #CircuitAttorney #KimGardner Must Be Investigated—and Stopped!
#MOGovernor #EricGreitens #CCOT #PJNet #MoL…</t>
  </si>
  <si>
    <t>RT @ResignNowKim: @JaneDueker Also: what if she lied in her multiple depos, tete a tete w @KimGardnerSTL , testimony before #moleg , and he…</t>
  </si>
  <si>
    <t>RT @ResignNowKim: @JaneDueker Was it consensual sex or not, Jane? #moleg #mogov  if it wasn’t, then where the hell is the sex assault charg…</t>
  </si>
  <si>
    <t>@JW1057 @amysuds @EricGreitens Salus Populi Suprema Lex Esto</t>
  </si>
  <si>
    <t>RT @JW1057: @amysuds @EricGreitens Agreed. Don't let them take your eye off the ball. We have seen Kim Gardner's corruption and will not st…</t>
  </si>
  <si>
    <t>RT @ResignNowKim: @ScottCharton @JaneDueker No. @TomJEstes is free man. He can speak his mind. Best you can do, #PlatformHeelsCharton ? Hey…</t>
  </si>
  <si>
    <t>RT @ResignNowKim: @magathemaga1 @Neilin1Neil @blackwidow07 @SKOLBLUE1 @Shawtypepelina @Hope4Hopeless1 @RealTravisCook @Avenge_mypeople @Sti…</t>
  </si>
  <si>
    <t>Politicos: when you spend your life pushing narratives on the public - whether you believe them or not- makes it impossible to believe honest people can rally spontaneously against abject manipulation, sophistry, lies, false frames and abuse of process. #moleg #mogov #grassroots https://t.co/MDrujnymGu</t>
  </si>
  <si>
    <t>RT @magathemaga1: ATTENTION #moleg 
Has anybody seen Scott Faughn?
Is anybody asking:
✔Where his money came from?
✔What was it for?
✔Why…</t>
  </si>
  <si>
    <t>@magathemaga1 @Neilin1Neil @blackwidow07 @SKOLBLUE1 @Shawtypepelina @Hope4Hopeless1 @RealTravisCook @Avenge_mypeople @Sticknstones4 @MissouriGOP @BigJShoota I FOUND SKYLAR!!!!!!!!! @ScottCharton #moleg @scottfaughn @stltoday @KCStar @AP #PlatformHeelsCharton @HennessySTL https://t.co/8RA6sbgJ8I</t>
  </si>
  <si>
    <t>RT @ResignNowKim: @internalmonolo2 @Str8DonLemon Recall also that @LaurenTrager got the exclusive with Phil Sneed, the husband of the “vict…</t>
  </si>
  <si>
    <t>RT @ResignNowKim: @internalmonolo2 @Str8DonLemon It’s almost like @KimGardnerSTL is feeding @LaurenTrager these stories. @hereliesmoon @Hen…</t>
  </si>
  <si>
    <t>@ScottCharton @JaneDueker No. @TomJEstes is free man. He can speak his mind. Best you can do, #PlatformHeelsCharton ? Hey, where’s you bruh @scottfaughn ? Still eating Cheetos in your double wide? #moleg You’re like the disgusting fiend character in the movies- the guy everyone despises. @HennessySTL https://t.co/8RYjn45e5f</t>
  </si>
  <si>
    <t>RT @ResignNowKim: @LaurenTrager @KMOV @HafnerMO @EricGreitens @missioncontinue Lauren, in that vein 6) Will there be a criminal referral fo…</t>
  </si>
  <si>
    <t>RT @VisioDeiFromLA: Should we ban women using FaceTime for sexy talk? Did U read depos?
KS testified in deposition that in June 2015 she u…</t>
  </si>
  <si>
    <t>@Sticknstones4 @charliekmox @kmoxnews Whoa!!!!! Holy cow! Stalking is a serious allegation.  #moleg #MoneyBagsAl @scottfaughn @kmoxnews @hereliesmoon @RizzShow @stltoday</t>
  </si>
  <si>
    <t>@Sticknstones4 @charliekmox @kmoxnews Whoa! PS stalked her? I didn’t know that! You got a link?</t>
  </si>
  <si>
    <t>@JaneDueker Also: what if she lied in her multiple depos, tete a tete w @KimGardnerSTL , testimony before #moleg , and her past history proves that? Perfectly legit because she would have opened the door.  But u r rank speculating. #JaneThePropagandist #JaneTheJournalist #JaneTheLobbyist</t>
  </si>
  <si>
    <t>@JaneDueker Was it consensual sex or not, Jane? #moleg #mogov  if it wasn’t, then where the hell is the sex assault charge? You keep framing this as a rape case: it ain’t.  #TorquemadaJane #JaneTheJournalist #JaneTheLobbyist  #JaneThePropagandist</t>
  </si>
  <si>
    <t>@NotJoeTochtrop @RiverfrontTimes ......uh.......no?</t>
  </si>
  <si>
    <t>RT @VisioDeiFromLA: LOL!!!
Newman has been one of people screaming for @EricGreitens head from get go!
I have well documented this on twt…</t>
  </si>
  <si>
    <t>RT @VisioDeiFromLA: (1) Thread.
The worst thing establishment hates the most about the internet?
The realization that politics is somethi…</t>
  </si>
  <si>
    <t>RT @ResignNowKim: @LaurenTrager : so it looks like you’ve been pole position for hit pieces on @EricGreitens - Phil Sneed (x husband of the…</t>
  </si>
  <si>
    <t>RT @ResignNowKim: @charliekmox @ChrisHayesTV #moleg #mogov @KMOXKilleen @kmoxnews @KMOXPD @markreardonkmox @kmox @johnrhancock @mskstl @D_T…</t>
  </si>
  <si>
    <t>@charliekmox @ChrisHayesTV #moleg #mogov @KMOXKilleen @kmoxnews @KMOXPD @markreardonkmox @kmox @johnrhancock @mskstl @D_Towski @tonymess #MediaEthics #YouSuckAtJournalism #ConflictOfInterest #MediaCollusion #moleg #mogov @EricGreitens @TeamGreitens @HennessySTL</t>
  </si>
  <si>
    <t>@LaurenTrager : so it looks like you’ve been pole position for hit pieces on @EricGreitens - Phil Sneed (x husband of the “victim”), @hafnermo , et al. Why haven’t U reported on Courts sanctioning @KimGardnerSTL for hiding evidence, &amp;amp; allegations of perjury? #ConflictOfInterest ?</t>
  </si>
  <si>
    <t>@internalmonolo2 @Str8DonLemon It’s almost like @KimGardnerSTL is feeding @LaurenTrager these stories. @hereliesmoon @HennessySTL @KMOXKilleen @ChrisHayesTV .Explains why @LaurenTrager hasn’t reported on allegations Gardner suborned perjury, hid evidence and committed perjury. #ConflictOfInterest @charliekmox</t>
  </si>
  <si>
    <t>@internalmonolo2 @Str8DonLemon Recall also that @LaurenTrager got the exclusive with Phil Sneed, the husband of the “victim” on the same day as #MoneyBagsAl got $50k from @scottfaughn . Funny, @LaurenTrager used to work at STL CAO? Coincidences abound: she keeps landing stories. #ProsecutorialMisconduct #moleg</t>
  </si>
  <si>
    <t>RT @ResignNowKim: @ScottCharton @EricGreitens Hey #PlatformHeelsCharton , how many friends of yours are, in fact, #TaxCreditQueens mmmh?  A…</t>
  </si>
  <si>
    <t>@ws_missouri @staceynewman You effing kidding me? And we’re supposed to just eat that up? She coerced her into meeting w @kimgardner .  She didn’t want to be a part of this circus.  For all this hollow concern about “the victim”- turns out @staceynewman didn’t give a damn. She’s cool using Kitty as a pawn. https://t.co/bokfkEFZlA</t>
  </si>
  <si>
    <t>@WhoWolfe @VisioDeiFromLA Seems to me I recall them raking @DineshDSouza over the coals and pain of the rack for this straw donor stuff.  He did a little time I think. And was on parole w mandatory job teaching ESL classes to immigrants.  Rosie in bracelets?</t>
  </si>
  <si>
    <t>@internalmonolo2 @VisioDeiFromLA .....and also $70,000.</t>
  </si>
  <si>
    <t>RT @HennessySTL: Doh! https://t.co/xcQeQ15jiO</t>
  </si>
  <si>
    <t>@KMOV Ouch! Hope he’s a top.</t>
  </si>
  <si>
    <t>RT @ResignNowKim: @ES03784893 @EricGreitens There comes a time when the public gets tired of being manipulated by media frauds, their enabl…</t>
  </si>
  <si>
    <t>RT @ES03784893: There comes a time when supporters must realize that a politician's own bad actions &amp;amp; poor judgement are to blame for his/h…</t>
  </si>
  <si>
    <t>@ES03784893 @EricGreitens There comes a time when the public gets tired of being manipulated by media frauds, their enablers, oligarchs, pols, political hacks who try to sell them bullshit. Don’t piss down my back and tell me it’s rainin’ sweety.  #bullshit #TorquemadaJane @JaneDueker #moleg @KMOXKilleen</t>
  </si>
  <si>
    <t>RT @RiverfrontTimes: here are fears that if they don't find a solution soon that the cats will be euthanized. "You can tell this old lady n…</t>
  </si>
  <si>
    <t>@RiverfrontTimes Who gives a shit?  You call yourself a reporter, you son of a bitch? #YouSuckAtJournalism #YouSuckAtLife https://t.co/Q4OhahZeBw</t>
  </si>
  <si>
    <t>@MariaChappelleN Yes</t>
  </si>
  <si>
    <t>@LaurenTrager @KMOV @HafnerMO @EricGreitens @missioncontinue Lauren, in that vein 6) Will there be a criminal referral for @HafnerMO ? 7) is there a malpractice claim against @HafnerMO the consultant, for negligence?  8) Did @HafnerMO deliberately sabotage @EricGreitens campaign? #moleg #mogov @HennessySTL @BarklageCompany #HafnerMole</t>
  </si>
  <si>
    <t>@ES03784893 @LaurenTrager @KMOV @HafnerMO @EricGreitens @missioncontinue @HennessySTL @BarklageCompany Good points! Lauren, in that vein A) Will there be a criminal referral for @HafnerMO ?B) is there a malpractice claim against @HafnerMO the consultant, for negligence.  C) did @HafnerMO deliberately sabotage @EricGreitens ? #moleg #mogov @HennessySTL @BarklageCompany #HafnerMole</t>
  </si>
  <si>
    <t>@LaurenTrager @KMOV @HafnerMO @EricGreitens @missioncontinue Lauren: 5) did you ask @HafnerMO if he ever used nonprofit donor lists in connection with political campaigns at any point prior, or since? 6) what does @HawleyMO Think about @HafnerMO actions? 7) will there be a criminal referral for Hafner? @HennessySTL @BarklageCompany #moleg</t>
  </si>
  <si>
    <t>@LaurenTrager @KMOV @HafnerMO @EricGreitens @missioncontinue Hey Lauren: I’m sure you remembered to ask: 4) Did @HafnerMO leak to the @nytimes ? 5) was @HafnerMO the one who filed the MEC Complaint? @BarklageCompany #moleg #mogov @HennessySTL</t>
  </si>
  <si>
    <t>@LaurenTrager @KMOV @HafnerMO @EricGreitens @missioncontinue Lauren: you didn’t ask him among the more interesting questions:  if he worked as a mole within @EricGreitens campaign? See @HennessySTL tweets.  And if so, a mole for whom? @BarklageCompany ? Someone else? 2) when did he advise EG to setup a campaign? 3) why did he delay? #moleg</t>
  </si>
  <si>
    <t>RT @LaurenTrager: Only on @KMOV at 6, we sat down with @HafnerMO, a former Gov. @EricGreitens campaign staffer. He says he was instructed b…</t>
  </si>
  <si>
    <t>RT @HennessySTL: .@hafnermo needs our sympathy, not our ire. Will he say the wrong thing? https://t.co/3lI9qc8Z6k</t>
  </si>
  <si>
    <t>RT @ResignNowKim: @HennessySTL @HafnerMO Depends how you mean?  Pressure on his career or anus?  #ShitPushedIn</t>
  </si>
  <si>
    <t>RT @HennessySTL: Meet the Mole: @HafnerMO. Will he feel the pressure leaning on him all at once or gradually over time? https://t.co/IRbSZl…</t>
  </si>
  <si>
    <t>@HennessySTL @HafnerMO Depends how you mean?  Pressure on his career or anus?  #ShitPushedIn</t>
  </si>
  <si>
    <t>@VisioDeiFromLA #PlatformHeelsCharton @HennessySTL #MoLeg #mogov https://t.co/YCVinhyLuD</t>
  </si>
  <si>
    <t>RT @VisioDeiFromLA: Hey Scotty. 
Did Faughn just text you?
Trying to change the narrative again?
#moleg #mogov #greitens #ScammingScott…</t>
  </si>
  <si>
    <t>RT @HennessySTL: This is why God invented volcanoes. https://t.co/vL6Ds8mQff</t>
  </si>
  <si>
    <t>RT @VisioDeiFromLA: What happened to @JoeNBC
What happened 2 man who defended 10 commandments?
Lori Klaustius?
I cant say, but mystery o…</t>
  </si>
  <si>
    <t>@VisioDeiFromLA @JoeNBC What was the dead woman’s name again?</t>
  </si>
  <si>
    <t>@ScottCharton @EricGreitens Hey #PlatformHeelsCharton , how many friends of yours are, in fact, #TaxCreditQueens mmmh?  Also: what happens if he wins his case re Kitty? You don’t care about truth, u care about lynching @EricGreitens . Properly tried, convicted, and hung. #WeakAssPropagandaNSheeit #moleg https://t.co/QLxfAYnutY</t>
  </si>
  <si>
    <t>@aaron_hedlund Aaron, @ScottCharton is a publisher, in my opinion, of garbage propaganda.  How can you trust a known associate of @Scottfaughn a man who deceived @markreardonkmox @KMOXPD @DebbieMonterrey and the MO public? #moleg #mogov He’s a purveyor of horseshit. #PlatformHeelsCharton https://t.co/Lyce9aXPlZ</t>
  </si>
  <si>
    <t>RT @aaron_hedlund: Consider for one moment the possibility that Greitens may actually be innocent. Why would he ever resign? If you can't e…</t>
  </si>
  <si>
    <t>@HotPokerPrinces @MarthaEW Unlikely- #moleg and their donors contributed to @Scottfaughn ‘s payoff to #MoneyBagsAl #moleg #mogov @EricGreitens</t>
  </si>
  <si>
    <t>@stltoday Why did you show the graduation picture? What does that add to the story?  Racism is racism- high school graduate or not, right?  Would you have advertised the story differently if the young man pictured were not a graduate? #Propaganda #Exploitation #YouSuckAtJournalism</t>
  </si>
  <si>
    <t>@Cernovich @314TruthSeeker But, he already told her once. Right?</t>
  </si>
  <si>
    <t>@internalmonolo2 You forgot the quotes around “real”. 😃</t>
  </si>
  <si>
    <t>@KMOXKilleen @EricGreitens We’re on the eve of trial,and #kimshady @KimGardnerSTL still doesn’t have any evidence?  #ProsecutorialMisconduct It’s unconscionable that she still has butkis, yet continues this kafkaesque farce, this political inquisition show trial.  #ImpeachKimGardner #moleg @HawleyMO #mogov https://t.co/AQTWHlYmHD</t>
  </si>
  <si>
    <t>RT @ResignNowKim: @bariweiss This isn’t an academic argument, Bari. The purpose of @jack and @finkd is cultural and intellectual genocide.…</t>
  </si>
  <si>
    <t>RT @ResignNowKim: @bariweiss “They are rapidly building their own mass media channels...” Yeah, until YouTube, @jack and @finkd (Mark Zucke…</t>
  </si>
  <si>
    <t>@ggreenwald Hey Glenn: what happens when YouTube, @jack and @finkd alter the algorithm to throw your site down the #memoryhole ?  That shit is happening now. And if you’re unaware, you’re simply out of touch w anything outside your bubble.  They’re out for cultural genocide.</t>
  </si>
  <si>
    <t>RT @VisioDeiFromLA: Glen, you are an idot.
Conservatives are regularly shadow banned or deplatformed.
Look what they tried to do to kanye…</t>
  </si>
  <si>
    <t>RT @ResignNowKim: Essential reading.  You’re not crazy. The feeling is nationwide. The consensus is in, it has gotten dangerously bad, very…</t>
  </si>
  <si>
    <t>@bariweiss This isn’t an academic argument, Bari. The purpose of @jack and @finkd is cultural and intellectual genocide. Not new. In a previous era, they’d burn your book. Today, they algorithm your site off the internet, shout or shut down yur campus speaker.  #DownTheMemoryHole</t>
  </si>
  <si>
    <t>@bariweiss “They are rapidly building their own mass media channels...” Yeah, until YouTube, @jack and @finkd (Mark Zuckerberg) (“Tech Brownshirts”)“alter their algorithm” (read “censorship”) and cut their speech completely. https://t.co/NyjFl7fuKt</t>
  </si>
  <si>
    <t>“They are rapidly building their own mass media channels...” Yeah, until YouTube, @jack and @finkd (Mark Zuckerberg) (“Tech Brownshirts”) “alter their algorithm” (code for censorship) and cut their speech completely. Something is rotten in the State of Denmark 🇺🇸 , Bari.</t>
  </si>
  <si>
    <t>Essential reading.  You’re not crazy. The feeling is nationwide. The consensus is in, it has gotten dangerously bad, very quickly. Something is indeed rotten in the State of Missouri, but also these United States. https://t.co/NyjFl7fuKt Left’s brown shirts are bad, nationwide.</t>
  </si>
  <si>
    <t>RT @ResignNowKim: @RealTravisCook @VisioDeiFromLA @joelpollak @gatewaypundit @HennessySTL @EdBigCon @Hope4Hopeless1 @Sticknstones4 @HotPoke…</t>
  </si>
  <si>
    <t>@HennessySTL It is time. Twilight of the old GOP gods and credit queens. https://t.co/aAekMsN3Qb</t>
  </si>
  <si>
    <t>RT @HennessySTL: Tea Party Part II: The Missouri Swamp https://t.co/g5p1ZtsxU0</t>
  </si>
  <si>
    <t>RT @joelcurrier: .@stlcao's failures in disclosing evidence keep poor defendants locked up, petition claims https://t.co/tAT2OjQm2n</t>
  </si>
  <si>
    <t>@HennessySTL #moleg #mogov https://t.co/TNRiH1sF1M</t>
  </si>
  <si>
    <t>@HennessySTL So, this @michaelfhafner worked for @BarklageCompany and prior to that for the Regional Business Council, &amp;amp; before, for @jeffroe .  Query: is @michaelfhafner connected to tax credit queens? Was he the one who leaked to the NYT? Have elitist trash GOP plotted this from beginning?</t>
  </si>
  <si>
    <t>RT @HennessySTL: The way I heard it was Grietens fired Hafner when the campaign found out David Barklage inserted Hafner as a mole. Barklag…</t>
  </si>
  <si>
    <t>@VisioDeiFromLA @HennessySTL She dyes her hair blonde and starts abusing legal process and witch hunts. https://t.co/xO0jAfBUP5</t>
  </si>
  <si>
    <t>RT @VisioDeiFromLA: "What happens when an “activist” runs of out enemies to fight? What happens when society rewards false accusers &amp;amp; victi…</t>
  </si>
  <si>
    <t>RT @VisioDeiFromLA: My thread on
✔Stacey Newman
✔Witch Hunts 
✔Activism
And:
#Greitens 
And more! From months ago!
#moleg #Mogov #mosen…</t>
  </si>
  <si>
    <t>@RealTravisCook @VisioDeiFromLA @joelpollak @gatewaypundit @HennessySTL @EdBigCon @Hope4Hopeless1 @Sticknstones4 @HotPokerPrinces @strmsptr @SKOLBLUE1 @Avenge_mypeople @blackwidow07 @AWESOMECQ @hanniballecter Note the mystery guest tagged in the photo......</t>
  </si>
  <si>
    <t>RT @RealTravisCook: @ResignNowKim @VisioDeiFromLA @joelpollak @gatewaypundit @HennessySTL @EdBigCon @Hope4Hopeless1 @Sticknstones4 @HotPoke…</t>
  </si>
  <si>
    <t>RT @ResignNowKim: @RiverfrontTimes I hear @staceynewman is set to sing a duet with @JaneDueker .With special appearance by @ScottCharton ,…</t>
  </si>
  <si>
    <t>RT @magathemaga1: Good afternoon #MoLeg #MoGov except @Rep_TRichardson 
Based on recent filings, looks like “KS”  coordinated with the MO…</t>
  </si>
  <si>
    <t>@RiverfrontTimes I hear @staceynewman is set to sing a duet with @JaneDueker .With special appearance by @ScottCharton , aka #PlatformHeelsCharton and 2017 FairSaintLouis hotdog eatin champ @scottfaughn .Def gonna hit those shows up. Open invite to ride share  @johnrhancock &amp;amp; @markreardonkmox</t>
  </si>
  <si>
    <t>@VisioDeiFromLA @joelpollak @gatewaypundit @HennessySTL @EdBigCon @Hope4Hopeless1 @Sticknstones4 @HotPokerPrinces @strmsptr @SKOLBLUE1 @Avenge_mypeople @blackwidow07 @RealTravisCook @AWESOMECQ  https://t.co/lJpgdNFLcj</t>
  </si>
  <si>
    <t>RT @VisioDeiFromLA: She knew.
#moleg #mogov #greitens #mosen #missouri #stl #kcmo #kansascity #StLouis #greitensindictment #witchhunt @joe…</t>
  </si>
  <si>
    <t>@HawleyMO @DurhamUtility Weaksauce, captain Hee Haw.  You’re toast in this upcoming primary because the voters have seen you’re willing to abuse your position and the courts for political inquisitions and your own political gain.  #YouSuckAtPolitics . Prepare for the #GOPocalypse . #moleg #mogov</t>
  </si>
  <si>
    <t>@VisioDeiFromLA @MariaChappelleN @scottfaughn @HereLiesMoon @RizzShow Serenade her: “Maria. I just met a girl named Maria, I went and sent a tweet, she said I was dead meat and blocked me. But Maria, you’re saying pithy things, perhaps if I but sing you’ll unblock me!”  There: I serenaded her for you. 😜</t>
  </si>
  <si>
    <t>@VisioDeiFromLA @RGreggKeller Yeah, I’m kind of surprised myself.</t>
  </si>
  <si>
    <t>@MariaChappelleN @scottfaughn And why is he paying Watkins? #mogov #moleg . @hereliesmoon .  What say you, Moon Man? Care to comment? @RizzShow</t>
  </si>
  <si>
    <t>@jrosenbaum @JW1057 @EricGreitens Yes, among other predictions and failures, yes. #YouSuckAtPrognosticating #YouSuckAtJournalism #YouSuckAtLife #moleg #mogov</t>
  </si>
  <si>
    <t>@Mike_Colombo @FOX2now @KPLR11  https://t.co/6SKwJ9sow7</t>
  </si>
  <si>
    <t>@Lautergeist @staceynewman @jallman971  https://t.co/wEqUQiR8fa</t>
  </si>
  <si>
    <t>RT @Lautergeist: Holy COW ~ @staceynewman is all over this #GreitensIndictment farce, just like she was all over @jallman971 #JamieAllman (…</t>
  </si>
  <si>
    <t>RT @VisioDeiFromLA: @Joe_Cool_1 @BrookeAnnEms @GloriaBudde @s_kupp @DirtbandfanMike @sigi_hill @DaynaGould @GovGreitens6 
@SuperDriver318 @…</t>
  </si>
  <si>
    <t>RT @VisioDeiFromLA: (42) Part 4 coming tomorrow. #GreitensIndictment #greitens @EricGreitens</t>
  </si>
  <si>
    <t>RT @VisioDeiFromLA: (41) I mentioned Alinsky, and thats important to this, but since the issue is JUSTICE, I think Nietzsche more fitting:…</t>
  </si>
  <si>
    <t>RT @VisioDeiFromLA: (40) I'll come back to the #screamers and anybody who is peddling a narrative before all the facts are out, but this co…</t>
  </si>
  <si>
    <t>RT @VisioDeiFromLA: (39) DEMS want REVENGE for election they've been told they were supposed 2 win since 2008. It was, as @RationalMale sup…</t>
  </si>
  <si>
    <t>RT @VisioDeiFromLA: (38) I'm seeing too many people in the media and on the democrat side NOT QUESTIONING the EXTREME SHADINESS of how this…</t>
  </si>
  <si>
    <t>RT @VisioDeiFromLA: (37) As i've maintained, @EricGreitens COULD BE GUILTY, but in order to have JUSTICE, his INNOCENCE MUST BE PRESUMED. J…</t>
  </si>
  <si>
    <t>RT @VisioDeiFromLA: (36) And when you have hallucinated an enemy so bad in your mind, you stop considering the question of Ends Justiying t…</t>
  </si>
  <si>
    <t>RT @VisioDeiFromLA: (35) Alinsky was all about teaching activism for change, as we know. His book is the first to study when your on your w…</t>
  </si>
  <si>
    <t>RT @VisioDeiFromLA: (34) Funny thing about LUCIFER. He has a relation to #saulalinsky 
#alinsky dedicated #RulesForRadicals to him.  He sa…</t>
  </si>
  <si>
    <t>RT @VisioDeiFromLA: (33) IMAGINE. #greitens #GreitensIndictment #lucifer @GOPMissouri https://t.co/KUCiJgLpXq</t>
  </si>
  <si>
    <t>RT @VisioDeiFromLA: (32) Well ... if your fighting imaginary things in your head that you imagine are insanely evil ... would the ends just…</t>
  </si>
  <si>
    <t>RT @VisioDeiFromLA: (31) THOUGHT EXPERIMENT: If you were part of the french resistance during world war 2, would you really be having inter…</t>
  </si>
  <si>
    <t>RT @VisioDeiFromLA: (30) You are this person is this HALLUCINATION. You are fighting the opposed side HALLUCINATING THAT THEY ARE BROWNSHIR…</t>
  </si>
  <si>
    <t>RT @VisioDeiFromLA: (29) This has trickled down to local races. And yes even #soros is dumping money to try to influence races #greitens</t>
  </si>
  <si>
    <t>RT @VisioDeiFromLA: (28) But what we have seen since Trump won is democrats are refusing to accept the results of the election. This is fac…</t>
  </si>
  <si>
    <t>RT @VisioDeiFromLA: (27) So ... if that's the case, you must RESIST. But more importantly, since they aren't legitimate, one has to wonder,…</t>
  </si>
  <si>
    <t>RT @VisioDeiFromLA: (26) So ... in your mind. Trump isn't legitimate, and that presupposes that you ALSO believe that @EricGreitens isn't l…</t>
  </si>
  <si>
    <t>RT @VisioDeiFromLA: (25) IMAGINE the RUSSIANS are coming as the 2 time loser from Chappaqua just recently said on twitter (Fear Mongering t…</t>
  </si>
  <si>
    <t>RT @VisioDeiFromLA: (24) IMAGINE for a moment that you are one of these democrats who think #Russians did more to influence the election th…</t>
  </si>
  <si>
    <t>RT @VisioDeiFromLA: (23) So its BS, but any conservative who is reading this probably knows, many actually do believe it and are brainwashe…</t>
  </si>
  <si>
    <t>RT @VisioDeiFromLA: (22) EVEN THOUGH THE ENTIRE FREAK OUT OVER THE LAST YEAR about russia has been roundly proven false, the initial report…</t>
  </si>
  <si>
    <t>RT @VisioDeiFromLA: (21) And of course the entire russia propaganda being peddled by the media has created the desired effect. Even though…</t>
  </si>
  <si>
    <t>RT @VisioDeiFromLA: (20) On and on, the media, the american left, hollywood, leftist legal lawfare organizations -- hell even #soros yes le…</t>
  </si>
  <si>
    <t>RT @VisioDeiFromLA: (19) And who can forget the media trying GET TRUMP with every little thing. Paying women to make up stuff. Obstruction.…</t>
  </si>
  <si>
    <t>RT @VisioDeiFromLA: (18) Most certainly it hasn't. Fake russia investigations, bogus fisa warrants, past adminstrations spying and basicall…</t>
  </si>
  <si>
    <t>RT @VisioDeiFromLA: (17) I want to end this thread on a thought I've been thinking. Has the entire 2016 election, been a peaceful transfer…</t>
  </si>
  <si>
    <t>RT @VisioDeiFromLA: (16) Remember, silence also speaks things. Just sayin. Whether those things are important or not, or relevant or not ..…</t>
  </si>
  <si>
    <t>RT @VisioDeiFromLA: (15) If you've come this far, I INVITE YOU to begin to notice who is talking: on tv, on twitter, on facebook, on radio.…</t>
  </si>
  <si>
    <t>RT @VisioDeiFromLA: (14) There a few other people connected to #mogov in some way on twitter that have been very loud/speaking as if they h…</t>
  </si>
  <si>
    <t>RT @VisioDeiFromLA: (13) Of course, my rule  -- Who is the loudest? But also who isn't talking. This is just my own rule for speculation. B…</t>
  </si>
  <si>
    <t>RT @VisioDeiFromLA: (12) CUI BONO -- WHO BENEFITS?</t>
  </si>
  <si>
    <t>RT @VisioDeiFromLA: (11) Not gonna hate on her for her leftist views. Shes entitled to them. We don't do that. That said, shes been one of…</t>
  </si>
  <si>
    <t>RT @VisioDeiFromLA: (10) Let me just say she is a RADICAL. She has crap like this posted all over her twitter feed. Its fine, she owns it,…</t>
  </si>
  <si>
    <t>RT @VisioDeiFromLA: (9) But ... when I first started this thread yesterday, she was pretty vocal about @EricGreitens being impeached, and t…</t>
  </si>
  <si>
    <t>RT @VisioDeiFromLA: (8) I went back and looked at @staceynewmans timeline (from gf account), and yes, she is definitely a partisan democrat…</t>
  </si>
  <si>
    <t>@rxpatrick @joelcurrier  https://t.co/QXCdzCnzsA</t>
  </si>
  <si>
    <t>@ScottCharton @SKOLBLUE1 @patrickalynn @EricGreitens Interesting. Why should anyone trust you #PlatformHeelsCharton ?  You and your cronies are like snails, you leave a slime behind you, slitherin’ ‘round. #moleg #mogov . Good to see you’re doubling down on your disgrace.  Too late, though. You have no credibility. #IfTheShoeFits https://t.co/E3JEPb1PF3</t>
  </si>
  <si>
    <t>@JW1057 @ChrisHayesTV Bam! https://t.co/a2kJC4712h</t>
  </si>
  <si>
    <t>RT @JW1057: @ChrisHayesTV Someone should tell Kim Gardner trial starts in less than a week. Is she trying to delay trial on the grounds she…</t>
  </si>
  <si>
    <t>@VisioDeiFromLA @EWErickson @HennessySTL Viz: @EWErickson has made a career out of sucking up to oligarchs and selling good candidates up the river.  He’s not just a cuck, he’s a malignant prick. He makes his living sucking. #YouSuckAtLife @moleg #mogov @EricGreitens . Of course he’s carrying water for asshole #moleg</t>
  </si>
  <si>
    <t>@CStamper_  https://t.co/qM3wJ2OmYO</t>
  </si>
  <si>
    <t>RT @Sticknstones4: 4) The Proscutor Kim Gardner has repeatedly lied 
Judge Rex Burlison says the case reeks of sanctions 
👇👇👇 https://t.co/…</t>
  </si>
  <si>
    <t>RT @HotPokerPrinces: #kimshady #greitens #moleg https://t.co/B20MFdNkJ9</t>
  </si>
  <si>
    <t>RT @ResignNowKim: @Sticknstones4 @Mizzourah_Mom SSSSSSSIIIIIIIZZZZZZZZZZZLLLLLEEEEEERRRRRRRRR!!!!!!!!!!</t>
  </si>
  <si>
    <t>@BigJShoota @STLMetro @KimGardnerSTL has got to go. Doesn’t know shit about the job. @stltoday @kmoxnews https://t.co/vZQUAEE2tO</t>
  </si>
  <si>
    <t>@Sticknstones4 @Mizzourah_Mom SSSSSSSIIIIIIIZZZZZZZZZZZLLLLLEEEEEERRRRRRRRR!!!!!!!!!!</t>
  </si>
  <si>
    <t>RT @ResignNowKim: @kmoxnews @KimGardnerSTL @KMOXKilleen #moleg #mogov @staceynewman @johnrhancock @mskstl @jaybarnes5 @tonymess @EricGreite…</t>
  </si>
  <si>
    <t>@kmoxnews @KimGardnerSTL @KMOXKilleen #moleg #mogov @staceynewman @johnrhancock @mskstl @jaybarnes5 @tonymess @EricGreitens @markreardonkmox https://t.co/8Ab3uFjuoi</t>
  </si>
  <si>
    <t>@internalmonolo2 @Sticknstones4 @tonymess https://t.co/MY5kZJ0Dqu</t>
  </si>
  <si>
    <t>RT @ResignNowKim: Journalism 101, by: @jrosenbaum @tonymess @kcstar @KCStarOpinion @stltoday @LaurenTrager &amp;amp; @KMOV : if it ain’t in a press…</t>
  </si>
  <si>
    <t>@tonymess https://t.co/kCyytK9spU</t>
  </si>
  <si>
    <t>Journalism 101, by: @jrosenbaum @tonymess @kcstar @KCStarOpinion @stltoday @LaurenTrager &amp;amp; @KMOV : if it ain’t in a press release, I don’t read it; if it ain’t in accord w narrative I want, I don’t report it.  #YouSuckAtJournalism #moleg @ChrisHayesTV #mogov @EricGreitens</t>
  </si>
  <si>
    <t>RT @ResignNowKim: @magathemaga1 @sigi_hill @SKOLBLUE1 @Sticknstones4 @RealTravisCook @Shawtypepelina @jrosenbaum @HotPokerPrinces @Hennessy…</t>
  </si>
  <si>
    <t>RT @ResignNowKim: @jrosenbaum @EricGreitens Jason: I’m not silent. I’m with @EricGreitens to the bitter end.  Impeachment or no, we’re goin…</t>
  </si>
  <si>
    <t>RT @Sticknstones4: Greitens Felony Invasion of Privacy Case  
Thread Time 
Follow Along  
See What the Media Isn’t Telling You👇👇👇 https:…</t>
  </si>
  <si>
    <t>RT @magathemaga1: The #GreitensIndictment FACTS
#moleg #mogov #MOSen #missouri #stlouis #STL #kcmo #greitenscriminalcase #KansasCity #Witc…</t>
  </si>
  <si>
    <t>@jrosenbaum @scottfaughn Yeah, Jason bout that. So as a reporter, you found out who gave @scottfaughn $70K for this smear?  What about @staceynewman ‘s texts? Any coordination bt #moleg &amp;amp; @KimGardnerSTL? Let me know when you start working on that. #YouSuckAtJournalism @EricGreitens #mogov #YouSuckAtLife</t>
  </si>
  <si>
    <t>@jrosenbaum @EricGreitens Also: all you clowns who voted for. @jaybarnes5 / #ChipRoberts kangaroo court and spec session Inquisition: we’re coming to unseat you next election.  The grassroots condemn you. #WeWillNotForget your lies &amp;amp; banana republic gangster tactics. @BarklageCompany  #moleg #mogov</t>
  </si>
  <si>
    <t>@jrosenbaum @EricGreitens Jason: I’m not silent. I’m with @EricGreitens to the bitter end.  Impeachment or no, we’re going to bring the illegal coup to justice.  #YouSuckAtJournalism why aren’t you investigating @staceynewman @MoDemParty @KimGardnerSTL and source of Faughn money? @BarklageCompany #moleg</t>
  </si>
  <si>
    <t>RT @Str8DonLemon: Good morning #moleg 
Where is Scott Faughn?
Where did his money come from?
FOLLOW THE MONEY
Notice certain people who…</t>
  </si>
  <si>
    <t>@magathemaga1 @sigi_hill @SKOLBLUE1 @Sticknstones4 @RealTravisCook @Shawtypepelina @jrosenbaum @HotPokerPrinces @HennessySTL @EdBigCon @MSTLGA @RightSideUp313 Hey! I think I see OJ in the back seat! And @ScottCharton #PlatformHeelsCharton !!!!!!  #moleg #mogov @EricGreitens @BarklageCompany @johnrhancock @markreardonkmox @DebbieMonterrey @KMOXPD</t>
  </si>
  <si>
    <t>RT @ResignNowKim: @Sticknstones4 @SpeakerTimJones @staceynewman Are all the folks leading the Illegal Coup against @EricGreitens term limit…</t>
  </si>
  <si>
    <t>@CStamper_  https://t.co/aCH7cl17If</t>
  </si>
  <si>
    <t>RT @CStamper_: “A prosecutor knows not to meet a witness alone. It’s simply not done.” Yet Soros-backer prosecutor Kim Gardner and her “lea…</t>
  </si>
  <si>
    <t>RT @IllimitableMan: Being nice is overrated.
Most the people I see wielding "niceness" nowadays are using it as a defence shield to be unt…</t>
  </si>
  <si>
    <t>RT @SheenaGreitens: Good discussion @CSISKoreaChair panel today on whether/ how human rights could feature in upcoming US dealings with NK…</t>
  </si>
  <si>
    <t>RT @Gingrich_of_PA: Keep an eye out for Flynn news this week. The tide is turning and Mueller is bleeding credibility. Much incentive for G…</t>
  </si>
  <si>
    <t>@Tom_Wright12 What’s the connection? Schneiderman reportedly sexually assaulted 4 women.  Greitens hasn’t been accused of assaulting anyone.  #YouSuckAtAnalogies #YouSuckAtPropaganda #YouSuckAtLife but you’re not alone: #moleg sucks harder. #mogov</t>
  </si>
  <si>
    <t>RT @magathemaga1: Why would Eric resign over a fake story?
You still believe that ?
✔Contradictory testimony (she lied)
✔Money dropped of…</t>
  </si>
  <si>
    <t>RT @Sticknstones4: #KimShady is really Shady and this one Has nothing to do with Eric Greitens
We saw the carnage of Stockley, We’re livin…</t>
  </si>
  <si>
    <t>@Sticknstones4  https://t.co/XLEyq0jip7</t>
  </si>
  <si>
    <t>RT @IllimitableMan: Men cheat because they want sexual novelty. Men are literally biologically wired to fuck as many women as possible.
Wo…</t>
  </si>
  <si>
    <t>@IllimitableMan @314TruthSeeker It also explains why kitty wanted @EricGreitens rather than @hereliesmoon .</t>
  </si>
  <si>
    <t>@ScottCharton @Wallacewriter @NewYorker @EricGreitens @scottfaughn @RGreggKeller @BarklageCompany @RLLohmann Note new #: #PlatformHeelsCharton the heels look good on him.  Heels for a heel. @HennessySTL</t>
  </si>
  <si>
    <t>RT @ResignNowKim: @ScottCharton @Wallacewriter @NewYorker @EricGreitens Hey @ScottCharton are you working w @scottfaughn wheelin ana dealin…</t>
  </si>
  <si>
    <t>@ScottCharton @Wallacewriter @NewYorker @EricGreitens Hey @ScottCharton are you working w @scottfaughn wheelin ana dealin in illegal coups? Is your exotic dancer stage name “Skylar”.  #PlatformHeelsCharton .Which dumpster faughn hiding in? Your doublewide maybe? #moleg #mogov @EricGreitens @RGreggKeller @BarklageCompany @rllohmann https://t.co/YLchAcUXDb</t>
  </si>
  <si>
    <t>RT @VisioDeiFromLA: So predictable scott.
Sorry but your lame narrative wont work.
Everybody knows the KS blackmail story is fake includi…</t>
  </si>
  <si>
    <t>RT @kmoxnews: Thoughts and prayers are with former #STLCards OF Stephen Piscotty and his family, after news that his mom, Gretchen Piscotty…</t>
  </si>
  <si>
    <t>RT @magathemaga1: Maybe Schneiderman is guilty and @EricGreitens is innocent?
Certainly the contradictory testimony from KS (She Lied) wou…</t>
  </si>
  <si>
    <t>RT @AvrilMai91: @RedState 'Don't need to speak w/ him to know he's the right man for the job'? Based on @HawleyMO's practice of avoiding Li…</t>
  </si>
  <si>
    <t>@kmoxnews Drugs? In Alton? I’m shocked, Shocked!</t>
  </si>
  <si>
    <t>@RiverfrontTimes No shit.  Red light cameras were dual agenda driven.  They’re all equipped as cctv to enable the panopticon.  The feed from all City of STL cameras is centralized. True story. Get it? #1984 #YesVirginiaThereIsADevil</t>
  </si>
  <si>
    <t>@DeplorableGoldn @YearOfZero @EricGreitens @scottfaughn PSA: TWEET @scottfaughn WHEREABOUTS TO #WhereIsScott</t>
  </si>
  <si>
    <t>@Brpkelly @kmoxnews @EricGreitens Impossible.  #moleg has done a great job w massive character assassination campaign leading up to trial w kangaroo court.  Jury’s supposed to be untainted - but that’s not possible here. So it’s impossible to have a fair jury trial. #kafkaesque #bullshit @jaybarnes5 #GreasyJay</t>
  </si>
  <si>
    <t>RT @RealTravisCook: #KimShady needs to go. 10 murders in her city in 10 days--but she's focused on railroading Governor #Greitens instead o…</t>
  </si>
  <si>
    <t>RT @magathemaga1: Apparently 70 grand dropped off 2 #MoneyBagsAl not 50k
✔Meanwhile, who is Skyler?
✔What was money for?
✔Where did #Scamm…</t>
  </si>
  <si>
    <t>@Sticknstones4 @SpeakerTimJones @staceynewman Are all the folks leading the Illegal Coup against @EricGreitens term limited out? 5 GOP house Inquisition cmtee+ @staceynewman ,who worked with Kitty the gal pal and @Kim Gardner .  WHAT A COINCIDENCE! @jaybarnes5 #BULLSHIT #MOLEG #MOGOV #GreasyJay @scottfaughn @BarklageCompany</t>
  </si>
  <si>
    <t>@Blackboxhalo @tonymess @scottfaughn @staceynewman @KimGardnerSTL H/t @VisioDeiFromLA</t>
  </si>
  <si>
    <t>So, @tonymess got tired of me complaining he wasn’t doing his job, wasn’t asking obvious questions-like where did the damned @scottfaughn money come from? Or, what about @staceynewman texts to Kitty Re @KimGardnerSTL ? Tony’s content to be fatboy’s lil chubby bitch. #moleg #mogov https://t.co/bltDQIuNzc</t>
  </si>
  <si>
    <t>@magathemaga1 @VisioDeiFromLA @scottfaughn @tonymess @Eric_Schmitt @Sticknstones4 @SKOLBLUE1 @RealTravisCook @Shawtypepelina @jrosenbaum @MOHouseGOP @Avenge_mypeople @HotPokerPrinces @EdBigCon Of course @tonymess does.  What a worthless clown.  I always save @tonymess articles for emergencies - like when I run out of TP.</t>
  </si>
  <si>
    <t>RT @ResignNowKim: @HennessySTL @scottfaughn @scottfaughn loves him some greasy Kentucky fried.  Greasy bastards grease together.  My money’…</t>
  </si>
  <si>
    <t>@HennessySTL @scottfaughn @scottfaughn loves him some greasy Kentucky fried.  Greasy bastards grease together.  My money’s on greasy @jaybarnes5 . #GREASYJAY</t>
  </si>
  <si>
    <t>RT @HennessySTL: Bagman @scottfaughn is on the lamb, and the $$$$ he’s paid for “background” on a book is up to $70k. Who’s hiding him? Bar…</t>
  </si>
  <si>
    <t>RT @ResignNowKim: @DaRon_McGee @PeterforMO @crystal_quade @Dougbeck562 @Martha4MO @EricGreitens ‘Course irrespective of @EricGreitens winni…</t>
  </si>
  <si>
    <t>@DaRon_McGee @PeterforMO @crystal_quade @Dougbeck562 @Martha4MO @EricGreitens ‘Course irrespective of @EricGreitens winning or losing, you’ll still be irrelevant. And playing bitch boy to the elite. #KnowYourRoleJabroni #YouIsForgettable #moleg #mogov #YouSuckAtLife #YourSnarkSucksMoreThanYourMom</t>
  </si>
  <si>
    <t>@TomJEstes He’s running low on dough.  He’s slummin.  Canes chicken evicted him bc he ate their whole supply.  So he Downgraded to Casey’s quick marts for pizza and snacks.  Poor, fat bastard. @scottfaughn @ScottCharton @rllohmann @RGreggKeller @cody4mo #moleg #mogov @EricGreitens @kmoxnews</t>
  </si>
  <si>
    <t>RT @TomJEstes: Things continue to go down hill for poor Scott. #findscott #MOLeg https://t.co/nNIYRsTxdp</t>
  </si>
  <si>
    <t>RT @Sticknstones4: We’ve been wondering what the Heck that 
“Sexy Workout”  KS went to Greitens House to Do https://t.co/wQAIyG1P2B</t>
  </si>
  <si>
    <t>@J_Hancock @EricGreitens @scottfaughn Fatboy @scottfaughn is used to running from the law by now.</t>
  </si>
  <si>
    <t>@internalmonolo2 @VisioDeiFromLA @MarkReardonKMOX Mark! Please post these commitments from guests publicly. Be a leader in transparency in media.</t>
  </si>
  <si>
    <t>RT @HotPokerPrinces: THE NAKED TRUTH THE MEDIA REFUSES TO TELL YOU
KS testified in her deposition n June 2015 she used FaceTime with greit…</t>
  </si>
  <si>
    <t>@CStamper_ @KimGardnerSTL https://t.co/3aFQ4rO2TJ</t>
  </si>
  <si>
    <t>RT @Avenge_mypeople: @VisioDeiFromLA Juicy. Wonder how many other texts they shared?</t>
  </si>
  <si>
    <t>RT @CStamper_: Soros-backed “Kim Gardner has clearly, repeatedly and consistently violated the ethics of her profession and brought disgrac…</t>
  </si>
  <si>
    <t>RT @magathemaga1: #Missouri Media
Scott Faughn DICTATING journalism in state, as none of U, with few exceptions, will report on where mone…</t>
  </si>
  <si>
    <t>RT @magathemaga1: @NoMoSocialism75 @Shawtypepelina @Sticknstones4 @EdBigCon @Eric_Schmitt @SKOLBLUE1 @Avenge_mypeople @jrosenbaum @Hennessy…</t>
  </si>
  <si>
    <t>@mopns @staceynewman https://t.co/lgztVxxCUt</t>
  </si>
  <si>
    <t>RT @mopns: Rep. Stacy Newman &amp;amp; Key Prosecution Witness Collude But Judge Allows Her Testimony Anyway https://t.co/r0uL66A0IW</t>
  </si>
  <si>
    <t>@ScottCharton Oooh Oooh I know what’s on it! BAM!!!!!!! HAHAHAHAHAHA! #moron #moleg #mogov https://t.co/He8Q1UoVv4</t>
  </si>
  <si>
    <t>@TomJEstes @VisioDeiFromLA @ScottCharton @scottfaughn https://t.co/pOcp7gfTLd</t>
  </si>
  <si>
    <t>@staceynewman was working w @KimGardnerSTL RE @EricGreitens prosecution. https://t.co/eWrCqVTMzh</t>
  </si>
  <si>
    <t>@VisioDeiFromLA @staceynewman was working w @KimGardnerSTL RE @EricGreitens prosecution. https://t.co/z16h2VFxhb</t>
  </si>
  <si>
    <t>@VisioDeiFromLA @staceynewman was working w @KimGardnerSTL RE @EricGreitens prosecution. https://t.co/mZU6cFXM0u</t>
  </si>
  <si>
    <t>@VisioDeiFromLA @staceynewman was working w @KimGardnerSTL RE @EricGreitens prosecution. https://t.co/cHcQK5tFh2</t>
  </si>
  <si>
    <t>RT @VisioDeiFromLA: Stacey Newman &amp;amp; KS TEXTS 
Coordinating with KG?
“Ms. Newman sent a text to K.S., providing K.S. the name and phone nu…</t>
  </si>
  <si>
    <t>@sigi_hill @GovGreitensMO @staceynewman was working w @KimGardnerSTL RE @EricGreitens prosecution. https://t.co/QrfNENUyK8</t>
  </si>
  <si>
    <t>@sigi_hill @GovGreitensMO @staceynewman was working w @KimGardnerSTL RE @EricGreitens prosecution. https://t.co/lTuYB0Bw6d</t>
  </si>
  <si>
    <t>@HelloERGstaff Fuqs that supposed to mean, bub?  #CommunityStandardsViolation</t>
  </si>
  <si>
    <t>RT @HelloERGstaff: @ResignNowKim more importantly, have they hired a resume coach for all you guys yet?</t>
  </si>
  <si>
    <t>RT @ResignNowKim: @Markreardonkmox @KMOXPD you got played..... @scottfaughn #moleg #mogov #mosen @EricGreitens https://t.co/EIR2G2z5pb</t>
  </si>
  <si>
    <t>@staceynewman was working w @KimGardnerSTL RE @EricGreitens prosecution. https://t.co/Ky9Amykz8H</t>
  </si>
  <si>
    <t>@sigi_hill @ChrisHayesTV @GailBeatty @walshgina @Staceynewman you’ve got some ‘splainin to do. https://t.co/EtMGSeFjjY</t>
  </si>
  <si>
    <t>RT @ResignNowKim: @ScottCharton @RoyBlunt @ScottCharton ,you asshole.  You’re part of the Illegal Coup w fat bastard @scottfaughn .  You do…</t>
  </si>
  <si>
    <t>RT @juliematthews50: Stacey IS hate.. https://t.co/FjTUDzFThz</t>
  </si>
  <si>
    <t>@Markreardonkmox @KMOXPD you got played..... @scottfaughn #moleg #mogov #mosen @EricGreitens https://t.co/EIR2G2z5pb</t>
  </si>
  <si>
    <t>@TwitterSupport please remove me shadow ban. I’m sorry for the F bombs</t>
  </si>
  <si>
    <t>RT @JW1057: @ResignNowKim @HennessySTL @Sticknstones4 Don't forget absolute prosecutorial immunity doesn't apply to a prosecutor when condu…</t>
  </si>
  <si>
    <t>RT @ResignNowKim: @HennessySTL Judgment Day coming for #mogop .Celebrate the  #MOGOPocalypse  .Don’t look back, or turn to salt. May @Barkl…</t>
  </si>
  <si>
    <t>RT @ResignNowKim: @Rep_TRichardson Your speakership is over.  You’re a bastard and you’ve abused your power.  Grassroots are pissed. We kno…</t>
  </si>
  <si>
    <t>@ScottCharton @RoyBlunt @ScottCharton ,you asshole.  You’re part of the Illegal Coup w fat bastard @scottfaughn .  You don’t get to play dumb or walk this back.  You’ve made your shit bed-now lay in it. You’re going down w buddies @BarklageCompany @Rep_TRichardson @jaybarnes5 . @HennessySTL @stltoday https://t.co/y97VT7PO7c</t>
  </si>
  <si>
    <t>@Rep_TRichardson Your speakership is over.  You’re a bastard and you’ve abused your power.  Grassroots are pissed. We know what U R, you rat bastard. We’re coming to expose what you’ve done. @HennessySTL WE’RE GODDAMN COMING, YOU FUCK! @BarklageCompany can’t save you. @EdBigCon</t>
  </si>
  <si>
    <t>@HennessySTL @Rep_TRichardson @rexsinquefield @BarklageCompany Hahaha shred away. Candy ass Rats better run.  Exterminators R coming.  #IshallLiveToPissOnYourGraveDavidBarklage @BarklageCompany @RGreggKeller @markreardonkmox @scottfaughn @cody4mo @johnrhancock @kmoxnews @KMOX @KMOXKilleen .Kevin- reardon &amp;amp; Hancock blocked me. Why? Think pls.</t>
  </si>
  <si>
    <t>RT @HennessySTL: @ResignNowKim @Rep_TRichardson @rexsinquefield @BarklageCompany I hear they’re holding a shredding party tonight.</t>
  </si>
  <si>
    <t>RT @ResignNowKim: @HennessySTL Let’s do it. Start with @rep_trichardson &amp;amp;@jaybarnes5 getting gone. They’re one eyed jacks.  We’ve seen thei…</t>
  </si>
  <si>
    <t>@ZGare @Avenge_mypeople @Sticknstones4 @jdavidsonlawyer @RGreggKeller @blackwidow07 @ChrisHayesTV @SKOLBLUE1 @JW1057 @scottfaughn @cody4mo @kmoxnews @tonymess @KCStar @stltoday @EricGreitens @FDIC_OIG @MarkReardonKMOX @KMOXPD @DebbieMonterrey Pulitzer?!? When was the last time @stltoday or @KCStar got a Pulitzer?  With stellar reporting from @tonymess I don’t think @stltoday will be in the running for quite some time. Hey tony! Get off your ass and report, you worthless piece of shit.</t>
  </si>
  <si>
    <t>@HennessySTL Only one way to deal with moles. https://t.co/JQfvokYuv6</t>
  </si>
  <si>
    <t>RT @HennessySTL: Moles live in tunnels and you never know where they’ll show up. Moles are blind, but they have exquisite hearing. And they…</t>
  </si>
  <si>
    <t>@HennessySTL Bless you Bill.  Burn it down! Burn!!!!</t>
  </si>
  <si>
    <t>RT @HennessySTL: Meet the Mole. Soon. Very soon. #moleg you will never forget. https://t.co/D2Wpg4I3e6</t>
  </si>
  <si>
    <t>RT @HennessySTL: Greasy Jay Barnes  https://t.co/jDeyeTq9Rd</t>
  </si>
  <si>
    <t>@HennessySTL Judgment Day coming for #mogop .Celebrate the  #MOGOPocalypse  .Don’t look back, or turn to salt. May @BarklageCompany rot in hell w Judas @HawleyMO . #WeWillRemember #IwillDrinkToYourDestructionBarklageYouRatBastard .Justice is comin &amp;amp; that right soon. @RGreggKeller https://t.co/tbjWTgPFKl</t>
  </si>
  <si>
    <t>@HennessySTL Who are his donors? Any tax credit queens? Is he whoring himself out to them? @jaybarnes5 @rep_trichardson @staceynewman @RGreggKeller @cody4mo @scottfaughn @johnrhancock @mskstl @BarklageCompany @hereliesmoon #moleg Maybe we need an @jaybarnes5 impeachment.... #mogov #mosen</t>
  </si>
  <si>
    <t>RT @HennessySTL: Jay Barnes, the guy who hates #teaparty people, might be the most corrupt member of Missouri’s legislature. Keep an eye on…</t>
  </si>
  <si>
    <t>@HennessySTL Let’s do it. Start with @rep_trichardson &amp;amp;@jaybarnes5 getting gone. They’re one eyed jacks.  We’ve seen their other side. Then let’s move to a public renouncing of all big money men in MO- starting with #SamFox @rexsinquefield and moving to consultant scum like @BarklageCompany</t>
  </si>
  <si>
    <t>RT @HennessySTL: Greasy Jay Barnes. Greasier than cheap diner on fried chicken night.</t>
  </si>
  <si>
    <t>@HennessySTL Holy shit. You’s laying down some trufe. Someone should tell @ScottCharton @rllohmann @RGreggKeller @JaneDueker @markreardonkmox @KMOXKilleen @kmoxnews @cody4mo @rep_trichardson @charliekmox @hereliesmoon @RizzShow @staceynewman #moleg #mogov #mosen @EricGreitens &amp;amp;fat fuck faughn</t>
  </si>
  <si>
    <t>RT @HennessySTL: The other snake to watch is David Barklage, the consultant. He’s crafty. Installed a mole in the Greitens campaign. Leaked…</t>
  </si>
  <si>
    <t>RT @HennessySTL: Greitens is an outsider. Missouri’s Republican cabal is a private club and closed. Barklage, Barnes, Hafner, Faughn are on…</t>
  </si>
  <si>
    <t>@AMAZlNGNATURE @PhengPross Nice marmot.</t>
  </si>
  <si>
    <t>@ZGare @Avenge_mypeople @Sticknstones4 @jdavidsonlawyer @RGreggKeller @blackwidow07 @ChrisHayesTV @SKOLBLUE1 @JW1057 @scottfaughn @cody4mo @kmoxnews @tonymess @KCStar @stltoday @EricGreitens @FDIC_OIG @MarkReardonKMOX @KMOXPD @DebbieMonterrey There ya go. That’s the spirit. Glad to hear u don’t support the killing fields of Jane Fonda.  But brother, lay off the CNN a couple days. The Russia narrative is just absurd.  If they haven’t found it in 2 yrs, then either  DJT is the baddest mofo spy, or it’s bunk.</t>
  </si>
  <si>
    <t>RT @magathemaga1: 🚨 POLL TIME 🚨 
Good evening #MoLeg #MoGov
In the event that @EricGreitens resigns or is impeached over this witch hunt…</t>
  </si>
  <si>
    <t>RT @ResignNowKim: @internalmonolo2 @VisioDeiFromLA @staceynewman https://t.co/FcexdtFtDi</t>
  </si>
  <si>
    <t>RT @Sticknstones4: @ResignNowKim @K___Garner @BarklageCompany @RobertKnodell @johnrhancock @RGreggKeller @cody4mo @EricGreitens Think there…</t>
  </si>
  <si>
    <t>@Sticknstones4 A few people I’ve been jammin w on twitter claim to have it but they’re wanting to break the story first.  I say just release the damned thing. List is real- I’ve seen screenshots. Would like full copy pls. @RGreggKeller @johnrhancock @JaneDueker @kmoxnews @KMOXKilleen #moleg</t>
  </si>
  <si>
    <t>RT @Sticknstones4: Ill take that list of tax credit queens
DMs are open
Send it to me 
#moleg https://t.co/QVDjCdodhw</t>
  </si>
  <si>
    <t>RT @SKOLBLUE1: @ZGare @ResignNowKim @Avenge_mypeople @Sticknstones4 @jdavidsonlawyer @RGreggKeller @blackwidow07 @ChrisHayesTV @JW1057 @sco…</t>
  </si>
  <si>
    <t>@ZGare @Avenge_mypeople @Sticknstones4 @jdavidsonlawyer @RGreggKeller @blackwidow07 @ChrisHayesTV @SKOLBLUE1 @JW1057 @scottfaughn @cody4mo @kmoxnews @tonymess @KCStar @stltoday @EricGreitens @FDIC_OIG @MarkReardonKMOX @KMOXPD @DebbieMonterrey Go sell crazy somewhere else.  We’re all stocked up here.  Btw: ‘Nam is over and the Earth ain’t flat</t>
  </si>
  <si>
    <t>@HennessySTL @Sticknstones4 Prosecutorial immunity- Kim is safe.  But we can bring them to the court of public opinion and expose their corruption.  Someone told me there was this list of tax credit queens that were connected to the leaders of the illegal coup........I need to get my hands on that list..... https://t.co/f8Vrgao9VX</t>
  </si>
  <si>
    <t>RT @HennessySTL: The villains, in this case, are the ones conducting the witch hunt. Crooked Jay Barnes, weirdo Scott Faughn, slow Kim Gard…</t>
  </si>
  <si>
    <t>RT @LauraLoomer: Well, looks like Twitter is screwing with my account again. 
They stripped me of another 300 followers in 1 day.</t>
  </si>
  <si>
    <t>RT @jmannies: Greitens team says filing misunderstood, and that it's not decided if he will testify, or not... https://t.co/EXb2sz9N5m</t>
  </si>
  <si>
    <t>RT @TheRealHublife: Tick tock, bitch.
#SundayFunday
#TheGreatAwakening https://t.co/1P20DzrN5Y</t>
  </si>
  <si>
    <t>@Avenge_mypeople @Sticknstones4 @jdavidsonlawyer @RGreggKeller @ZGare @blackwidow07 @ChrisHayesTV @SKOLBLUE1 @JW1057 @scottfaughn @cody4mo @kmoxnews @tonymess @KCStar @stltoday @EricGreitens @FDIC_OIG @MarkReardonKMOX @KMOXPD @DebbieMonterrey 10 years ago, they saw Karl Rove in their Cheerios.  Today, it’s the alt right and mysterious “Russian hackers.” Alt right has zero dollars.</t>
  </si>
  <si>
    <t>RT @Avenge_mypeople: @Sticknstones4 @jdavidsonlawyer @RGreggKeller @ZGare @blackwidow07 @ResignNowKim @ChrisHayesTV @SKOLBLUE1 @JW1057 @sco…</t>
  </si>
  <si>
    <t>@K___Garner Hey Kyle: sounds like you’re auditioning for some LIHTC credit queen dollars for your next run. I also hear @BarklageCompany @michaelfhafner @RobertKnodell are looking for a few “good men.” @johnrhancock @RGreggKeller @cody4mo #moleg #mogov @EricGreitens</t>
  </si>
  <si>
    <t>RT @VisioDeiFromLA: Why would Scott Charton not tweet or do commentary on his buddy Scott Faughn’s involvement in all this?
Not saying you…</t>
  </si>
  <si>
    <t>RT @ResignNowKim: @VisioDeiFromLA Did you say @ScottCharton was a good friend w @scottfaughn ?  True.  Both are also friends w @RLLohmann…</t>
  </si>
  <si>
    <t>RT @ResignNowKim: @RealJamesWoods @MarthaEW @RealJamesWoods @jack is trying to commit cultural genocide. We need to move to a new social me…</t>
  </si>
  <si>
    <t>@RealJamesWoods @MarthaEW @RealJamesWoods @jack is trying to commit cultural genocide. We need to move to a new social media platform - one that doesn’t have its own Internal Stasi.</t>
  </si>
  <si>
    <t>@ChrisHayesTV @Avenge_mypeople @scottfaughn I think I spotted him at Cane’s chicken.  Creepy dude in the back corner chowin down on 9 tubs of wings.</t>
  </si>
  <si>
    <t>@Sticknstones4 Don’t forget, @scottfaughn does some of his best work at the dinner table.  Scott loves him some BBQ!</t>
  </si>
  <si>
    <t>@VisioDeiFromLA Russian troll? Wtf?  @jdavidsonlawyer slow down the crazy train.  @MoDemParty , like the @DNC , sees Russian hackers and trolls E V E R Y W H E R E.  #OMGparanoia</t>
  </si>
  <si>
    <t>@RiverfrontTimes Just look at those DSLs.  He’ll be reeeeaaaaaallll popular on the inside.</t>
  </si>
  <si>
    <t>LOLOLOLOLOL.  #FunnyCuzItsTrue https://t.co/bVsNQS1THn</t>
  </si>
  <si>
    <t>@VisioDeiFromLA Did you say @ScottCharton was a good friend w @scottfaughn ?  True.  Both are also friends w @RLLohmann  #moleg #mogov @Koenig4MO @Dogan4Rep @cody4mo @rep_trichardson @RGreggKeller @johnrhancock @mskstl @tkinder @markreardonkmox @kmox https://t.co/fECDALm8i4</t>
  </si>
  <si>
    <t>@internalmonolo2 @VisioDeiFromLA @staceynewman https://t.co/FcexdtFtDi</t>
  </si>
  <si>
    <t>@internalmonolo2 @VisioDeiFromLA @staceynewman https://t.co/AFiLYHS5Mq</t>
  </si>
  <si>
    <t>RT @ResignNowKim: @internalmonolo2 @VisioDeiFromLA @staceynewman https://t.co/1zPagAq8xE</t>
  </si>
  <si>
    <t>@internalmonolo2 @VisioDeiFromLA @staceynewman https://t.co/1zPagAq8xE</t>
  </si>
  <si>
    <t>RT @ResignNowKim: @internalmonolo2 @VisioDeiFromLA @staceynewman @KimGardnerSTL @KMOXKilleen @kmoxnews @KMOX @D_Towski  https://t.co/8cbrMH…</t>
  </si>
  <si>
    <t>RT @ResignNowKim: @internalmonolo2 @VisioDeiFromLA Ah! You mean @staceynewman ? Same @staceynewman who coordinated w Kitty &amp;amp; @KimGardnerSTL…</t>
  </si>
  <si>
    <t>@internalmonolo2 @VisioDeiFromLA @staceynewman @KimGardnerSTL @KMOXKilleen @kmoxnews @KMOX @D_Towski  https://t.co/8cbrMHMFsI</t>
  </si>
  <si>
    <t>@internalmonolo2 @VisioDeiFromLA Ah! You mean @staceynewman ? Same @staceynewman who coordinated w Kitty &amp;amp; @KimGardnerSTL ? #moleg #mogov @KMOXKilleen @kmoxnews @kmox @D_Towski https://t.co/Ny8TdHinGG</t>
  </si>
  <si>
    <t>@VisioDeiFromLA : this ES clown is either naive or stupid.  Political prosecutions R common. ES’s logic is like saying: people who speak openly and honestly with the cops, rather than remaining silent, have nothing to fear.  What could go wrong? #STFU #DUMBASS https://t.co/sEgm9oTzcy</t>
  </si>
  <si>
    <t>Nothing to see here, Citizen.  Move along. @stltoday @staceynewman @EricGreitens @scottfaughn @markreardonkmox @KMOXKilleen @kmoxnews @KMOX @charliekmox @D_Towski @KCStar @KCStarOpinion  @KMOV @LaurenTrager @ChrisHayesTV .Be nice if journalists would do some investigating. #moleg https://t.co/PmGaL3a7eT</t>
  </si>
  <si>
    <t>RT @VisioDeiFromLA: Why #STL CA Kim Gardner Must Be Investigated—and Stopped
"#StLouis CA Kim Gardner has clearly, repeatedly &amp;amp; consistent…</t>
  </si>
  <si>
    <t>RT @JW1057: @JeffSmithMO @ScottCharton If the story is true, then it boils down to a citizen exercising his constitutional right. It's the…</t>
  </si>
  <si>
    <t>RT @ResignNowKim: @HelloERGstaff Good Lord- do you have. Any. Other. Material?  “Good one, Biff.”[Says one of Biff, the jock’s, obsequious…</t>
  </si>
  <si>
    <t>@HelloERGstaff Good Lord- do you have. Any. Other. Material?  “Good one, Biff.”[Says one of Biff, the jock’s, obsequious pals, as they stand outside the soda shop. Rest of the gaggle of idiots chortle like morons].  161 tweets and 1,200+ followers..... #ThisGuyIsClearlyNotPaidToTweet . Clearly.</t>
  </si>
  <si>
    <t>@HelloERGstaff @Sticknstones4 @jdavidsonlawyer @blackwidow07 @RGreggKeller @ChrisHayesTV @SKOLBLUE1 @JW1057 @scottfaughn @cody4mo @kmoxnews @tonymess @KCStar @stltoday @EricGreitens @FDIC_OIG @MarkReardonKMOX @KMOXPD @DebbieMonterrey Another knee-slapper.  Henny Youngman ain’t got nuthin’ on you................160 tweets and 1,200+ followers. #Sigh</t>
  </si>
  <si>
    <t>............[crickets]............. Uh, good one?  159 tweets and 1,200+ followers.  #Fail https://t.co/wDuZqLqQKT</t>
  </si>
  <si>
    <t>@Sticknstones4 No no no. All you can eat buffet.</t>
  </si>
  <si>
    <t>@HelloERGstaff @jdavidsonlawyer @blackwidow07 @RGreggKeller @Sticknstones4 @ChrisHayesTV @SKOLBLUE1 @JW1057 @scottfaughn @cody4mo @kmoxnews @tonymess @KCStar @stltoday @EricGreitens @FDIC_OIG @MarkReardonKMOX @KMOXPD @DebbieMonterrey You’re really bad at zingers.  And you call yourself a salesman you son of a bitch?  It doesn’t work because @scottfaughn isn’t a candidate and isn’t the subject of an illegal coup.  #YouSuckAtLife</t>
  </si>
  <si>
    <t>@HelloERGstaff @jdavidsonlawyer @blackwidow07 @RGreggKeller @Sticknstones4 @ChrisHayesTV @SKOLBLUE1 @JW1057 @scottfaughn @cody4mo @kmoxnews @tonymess @KCStar @stltoday @EricGreitens @FDIC_OIG @MarkReardonKMOX @KMOXPD @DebbieMonterrey You’re certainly A “bot.” 158 tweets and 1200+ followers already?  Haha.  You is a paid #mogop troll, clown. Game over. #exposed</t>
  </si>
  <si>
    <t>RT @Sticknstones4: @Shawtypepelina @stlcao @StLouisCityCA @stltoday Hundreds of thousands tax payer dollars being spent on #greitens no pic…</t>
  </si>
  <si>
    <t>@staceynewman blocked me because I asked questions that made her nervous, such as this.  Stacey, you’re shady, like @KimGardnerSTL #kimshady and @scottfaughn @KMOXKilleen @kmoxnews @KMOX  @D_Towski https://t.co/kD93fbUyf3</t>
  </si>
  <si>
    <t>@jdavidsonlawyer @RGreggKeller @Sticknstones4 @ZGare @blackwidow07 @ChrisHayesTV @SKOLBLUE1 @JW1057 @scottfaughn @cody4mo @kmoxnews @tonymess @KCStar @stltoday @EricGreitens @FDIC_OIG @MarkReardonKMOX @KMOXPD @DebbieMonterrey John: it’s Greg-Guh. Two G’s.</t>
  </si>
  <si>
    <t>@RGreggKeller @BarklageCompany @johnrhancock Grassroots ain’t happy.  Judgment day’s a comin’.  Are your candidates prepared? #GOPocalypseNow . #AnalBumCover @cody4mo #moleg #mogov @markreardonkmox @EricGreitens https://t.co/KuKw4Zq5Z8</t>
  </si>
  <si>
    <t>RT @ResignNowKim: @MarkReardonKMOX @scottfaughn Mark! Come on, man.  Do you have Stockholm Syndrome?Seriously. Let’s go thru this: @scottfa…</t>
  </si>
  <si>
    <t>RT @Sticknstones4: @ZGare @jdavidsonlawyer @blackwidow07 @ResignNowKim @RGreggKeller @ChrisHayesTV @SKOLBLUE1 @JW1057 @scottfaughn @cody4mo…</t>
  </si>
  <si>
    <t>@ZGare @jdavidsonlawyer @blackwidow07 @RGreggKeller @Sticknstones4 @ChrisHayesTV @SKOLBLUE1 @JW1057 @scottfaughn @cody4mo @kmoxnews @tonymess @KCStar @stltoday @EricGreitens @FDIC_OIG @MarkReardonKMOX @KMOXPD @DebbieMonterrey Naw.  Soros groups fund @KimGardnerSTL</t>
  </si>
  <si>
    <t>Pathetic virtue-signaling #bullshit . What does this crap even mean? https://t.co/G8DFR0FWl7</t>
  </si>
  <si>
    <t>RT @dsm012: Glory Days for Missouri Republicans https://t.co/GQp2PTEcaD</t>
  </si>
  <si>
    <t>@Norasmith1000 @sigi_hill @ChrisHayesTV Conflict of interest, isn’t it.  Sorta like @scottfaughn ‘s conflict while mouthing off repeatedly on @KMOX @markreardonkmox @DebbieMonterrey for 4 months.  Would be nice if the free press would ask @staceynewman hard questions. #moleg #mogov @charliekmox @KMOXKilleen @D_Towski</t>
  </si>
  <si>
    <t>@Sticknstones4 @CDTCivilWar @MikeWolffSTL @jaybarnes5 @BarklageCompany “Law professor”</t>
  </si>
  <si>
    <t>RT @ResignNowKim: @CDTCivilWar @MikeWolffSTL @jaybarnes5 Same @MikeWolffSTL that was the chief of staff to Mel Carnahan? Same Wolff that su…</t>
  </si>
  <si>
    <t>RT @ResignNowKim: You’re so sure @kmoxnews  . How are you an authority?  Why are you pushing this story? How is this news and not opinion?…</t>
  </si>
  <si>
    <t>RT @VisioDeiFromLA: 12. "I don’t think it will take an investigating authority to find clear evidence of wrongdoing. Unlike the #Greitens i…</t>
  </si>
  <si>
    <t>RT @Norasmith1000: @ChrisHayesTV So am I understanding this correctly.  MO rep Stacy Newman (who is very vocal about her hatred for Greiten…</t>
  </si>
  <si>
    <t>You’re so sure @kmoxnews  . How are you an authority?  Why are you pushing this story? How is this news and not opinion? How is the selection of this story not deliberate and pushing an agenda? https://t.co/hw2buH0Vqx</t>
  </si>
  <si>
    <t>@kmoxnews Why is everyone trying to convince the public of the abilities of general assembly if it’s so open and shut?  #propaganda #ISeeYou</t>
  </si>
  <si>
    <t>@kmoxnews Pathetic.  Sounds like you’re trying to justify their corrupt prosecution.  NO AMOUNT OF PROPAGANDA IS GOING TO LEGITIMIZE THIS MISCARRIAGE OF JUSTICE.  Tell @kmoxpd too.  Something smells @kmox @markreardonkmox If it’s so certain why is everyone trying to convince the public ?</t>
  </si>
  <si>
    <t>@SykesforSenate @Norasmith1000 Anyone but backstabbing @HawleyMO .</t>
  </si>
  <si>
    <t>@Str8DonLemon @puckroger *redistricted.  Autocorrect bullshit.</t>
  </si>
  <si>
    <t>@Str8DonLemon @puckroger So, all I see are rich privileged white women in those photos.  Hell, and not even self sufficient ones. Looks like most of them haven’t had a real job- this is who’s telling me my state needs to be redistributed? What, so they can get richer? Fuuuck youuuu delusional SJWs.</t>
  </si>
  <si>
    <t>@RGreggKeller Just keep telling yourself I’m an outlier n that I don’t speak for a very angry segment of the grassroots- which the #MOGOP has now permanently lost . Don’t care for Claire, but better a snake in the grass than a viper in the bosom. What Morton B says, right?</t>
  </si>
  <si>
    <t>@RGreggKeller Not wine-Bourbon. &amp;amp; you wouldn’t revaluate your support for coup for idealistic tweets. Ur paying clients wouldn’t countenance that. Bear in mind, the angriest of us didn’t even vote for the poor bastard. Just don’t like liars n oligarchs. @cody4mo #MoGOPisDone #IllegalCoupMO</t>
  </si>
  <si>
    <t>RT @Avenge_mypeople: Just to put this whole #Greitens  affair in perspective: Scott Faughn, owner of Missouri Times gave at least $50,000 t…</t>
  </si>
  <si>
    <t>@CDTCivilWar @MikeWolffSTL @jaybarnes5 Same @MikeWolffSTL that was the chief of staff to Mel Carnahan? Same Wolff that supported red light cameras? Get the fuck out of here Rudi. #Ridiculous #AlsoChipRobertsCanFuckHimself #moleg #mogov #IllegalCoup #Bullshit #Contrivance #ImpeachJayBarnes @jaybarnes5 @BarklageCompany</t>
  </si>
  <si>
    <t>@jbro_1776 @VisioDeiFromLA Dress looks damn good on her.  Just sayin’</t>
  </si>
  <si>
    <t>@Sugarlandmusic @ATT No.</t>
  </si>
  <si>
    <t>@jdavidsonlawyer @blackwidow07 @RGreggKeller @Sticknstones4 @ChrisHayesTV @SKOLBLUE1 @JW1057 @scottfaughn @cody4mo @kmoxnews @tonymess @KCStar @stltoday @EricGreitens @FDIC_OIG @HereLiesMoon @KMOV @KMOX My god, man! What is this, a murder mystery radio play?  Just say it then. I’m not jawboning here for my health.</t>
  </si>
  <si>
    <t>@jdavidsonlawyer @blackwidow07 @RGreggKeller @Sticknstones4 @ChrisHayesTV @SKOLBLUE1 @JW1057 @scottfaughn @cody4mo @kmoxnews @tonymess @KCStar @stltoday @EricGreitens @FDIC_OIG @MarkReardonKMOX @KMOXPD @DebbieMonterrey I guess it’s possible.  He’s painfully afraid of the media.  Were I Trump I wouldn’t fear him.  I believe in simple motives.  The man destroyed $150M in free money for fat cats - $1.5B over a decade. That’s a concrete motive to take him out.</t>
  </si>
  <si>
    <t>@jdavidsonlawyer @blackwidow07 @RGreggKeller @Sticknstones4 @ChrisHayesTV @SKOLBLUE1 @JW1057 @scottfaughn @cody4mo @kmoxnews @tonymess @KCStar @stltoday @EricGreitens @FDIC_OIG @MarkReardonKMOX @KMOXPD @DebbieMonterrey Fair enough. I’m open to examining my own assumptions.</t>
  </si>
  <si>
    <t>@jdavidsonlawyer @blackwidow07 @RGreggKeller @Sticknstones4 @ChrisHayesTV @SKOLBLUE1 @JW1057 @scottfaughn @cody4mo @kmoxnews @tonymess @KCStar @stltoday @EricGreitens @FDIC_OIG @MarkReardonKMOX @KMOXPD @DebbieMonterrey John- Faughn’s a scumbag, If you have goods on him-either way-, spill. And I didn’t vote for @EricGreitens .  Don’t like being lied to, despise fraud on the public by oligarchs. You’re fixated on EG the man. Who cares? The illegal coup/Inquisition is a contrivance &amp;amp; abomination.</t>
  </si>
  <si>
    <t>@blackwidow07 @Sticknstones4 @jdavidsonlawyer @RGreggKeller @ChrisHayesTV @SKOLBLUE1 @JW1057 @scottfaughn @cody4mo @kmoxnews @tonymess @KCStar @stltoday @EricGreitens @FDIC_OIG @MarkReardonKMOX @KMOXPD @DebbieMonterrey You mean you think it’s more than just incompetence and overzealousness RE oversight of STLMPD? More as in........ corruption?</t>
  </si>
  <si>
    <t>@jdavidsonlawyer @blackwidow07 @RGreggKeller @Sticknstones4 @ChrisHayesTV @SKOLBLUE1 @JW1057 @scottfaughn @cody4mo @kmoxnews @tonymess @KCStar @stltoday @EricGreitens @FDIC_OIG @HereLiesMoon @KMOV @KMOX Ok, well that would be interesting then- if my chronology is wrong, Watkins perjured himself.</t>
  </si>
  <si>
    <t>@blackwidow07 @jdavidsonlawyer @RGreggKeller @Sticknstones4 @ChrisHayesTV @SKOLBLUE1 @JW1057 @scottfaughn @cody4mo @kmoxnews @tonymess @KCStar @stltoday @EricGreitens @FDIC_OIG @MarkReardonKMOX @KMOXPD @DebbieMonterrey As in, I want to know about the bank, also.</t>
  </si>
  <si>
    <t>@jdavidsonlawyer @blackwidow07 @RGreggKeller @Sticknstones4 @ChrisHayesTV @SKOLBLUE1 @JW1057 @scottfaughn @cody4mo @kmoxnews @tonymess @KCStar @stltoday @EricGreitens @FDIC_OIG OK I’ll bite.  #MoneyBagsAl had Phil  @hereliesmoon Sneed do @KMOV interview on 1/10. @scottfaughn paid Al same day. Next day Skylar pays another $50k. For next 4 months, Faughn hates on @EricGreitens NONSTOP on @KMOX . C why I’ve trouble buyin what you’re selling? @JW1057</t>
  </si>
  <si>
    <t>@blackwidow07 @jdavidsonlawyer @RGreggKeller @Sticknstones4 @ChrisHayesTV @SKOLBLUE1 @JW1057 @scottfaughn @cody4mo @kmoxnews @tonymess @KCStar @stltoday @EricGreitens @FDIC_OIG @MarkReardonKMOX @KMOXPD @DebbieMonterrey #MeToo</t>
  </si>
  <si>
    <t>@HawleyMO - your comrade @KimGardnerSTL might get suspended or disbarred for misconduct if this article is true.  And you https://t.co/MiiTdUSltA cad. @BarklageCompany  @johnrhancock @jaybarnes5 @rep_trichardson @RGreggKeller  #moleg #mogov @EricGreitens https://t.co/uNxeyiPALP</t>
  </si>
  <si>
    <t>So @KimGardnerSTL ...you’re not only completely incompetent at your job, you’re quite possibly guilty of prosecutorial misconduct- not only abuses in @EricGreitens case, but you’ve fuqed up the STL CAO. STL Police Vote No Confidence. Disbarment??? https://t.co/uNxeyiPALP</t>
  </si>
  <si>
    <t>@jdavidsonlawyer @blackwidow07 @RGreggKeller @Sticknstones4 @ChrisHayesTV @SKOLBLUE1 @JW1057 @scottfaughn @cody4mo @kmoxnews @tonymess @KCStar @stltoday @EricGreitens @FDIC_OIG And where did you get that intel?</t>
  </si>
  <si>
    <t>@jdavidsonlawyer @blackwidow07 @RGreggKeller @Sticknstones4 @ChrisHayesTV @SKOLBLUE1 @JW1057 @scottfaughn @cody4mo @kmoxnews @tonymess @KCStar @stltoday @EricGreitens @FDIC_OIG Why would anyone believe anything from that shitheel @scottfaughn ?  Parades around for months, making fools of @markreardonkmox @KMOXPD @DebbieMonterrey ,and misleading the public. He’s also avoiding subpoena service and weaseled his way out of testimony before MO house cmtee.</t>
  </si>
  <si>
    <t>@clairecmc Do you have nuclear grade dirt on @HawleyMO ? Have you or @MoDemParty used dirt to twist his arm RE @EricGreitens ? @stltoday @D_Towski  @BarklageCompany @johnrhancock @mskstl #moleg #mogov @tonymess  Maybe someone else has the dirt. Political consultant?</t>
  </si>
  <si>
    <t>@D_Towski - @JaneDueker claims no client pays for her 24 hr anti- @EricGreitens twitter and @KMOX content. Won’t say if pays people to manage her twitter. In light of @Markreardonkmox ‘s embarrassment @scottfsughn I Don’t believe her. She may have forgot https://t.co/A7XuhWPYiS https://t.co/bkz1Xbh7Eg</t>
  </si>
  <si>
    <t>@JW1057 @MoRepEvans @RGreggKeller @TheOnion I believe Beria’s whole family got killed by Stalin.</t>
  </si>
  <si>
    <t>@sports_stl @RGreggKeller @JW1057 Dunno, are the thug Antifa Maoists going to overthrow the US? Oh, that’s right, they’re “mouldy” [sic].  So guess not.</t>
  </si>
  <si>
    <t>@stltoday What is w this stupid meme of keeping shit “weird”?  Dumb is contagious. “Keep Austin Weird” everyone wants to be unique.  No one is- except @gilbertbailon that dude uniquely sucks ass. Oh, and @tonymess- a uniquely bad reporter, but GREAT propagandist. 👍</t>
  </si>
  <si>
    <t>@jaybarnes5 @rep_trichardson - You been coordinating your attacks on @EricGreitens w @HawleyMO and/or @KimGardnerSTL ?Big coincidence hit piece committee report released same day as GAG ORDER entered?  Or is it? #moleg #mogov @KMOXKilleen @charliekmox @kmoxnews #IllegalCoupMO</t>
  </si>
  <si>
    <t>@HawleyMO what’s your connection to @KimGardnerSTL ?  Is it @staceynewman ?  Have you been coordinating your attacks on @EricGreitens ? #moleg #mogov @BarklageCompany @kmoxnews @KMOXKilleen</t>
  </si>
  <si>
    <t>@HawleyMO - does someone have dirt on you? Rumors are all over the place that @MoDemParty prefers your candidacy because @clairecmc or an ally has dirt on you.  That true?  That why you’ve been disgracing yourself with @EricGreitens witch hunt? Someone else? #moleg #mogov</t>
  </si>
  <si>
    <t>@magathemaga1 @EdBigCon @realDonaldTrump Uh oh- HEE HAW HAWLEY @HawleyMO IS TANKING! Could it be because he’s a backstabbing piece of shit participant in a coup?  Does he have connections to the tax credit queens? Or does @clairecmc h dirt on him? Maybe someone else does? #moleg #mogov @BarklageCompany @DavidBarklage</t>
  </si>
  <si>
    <t>RT @KimDotcom: I’m looking for a reputable US law firm to bring a class action case against @twitter for deliberately misleading users abou…</t>
  </si>
  <si>
    <t>RT @ResignNowKim: @EdBigCon Ed, everybody wants to feel like they are actually good people- @JaneDueker @RGreggKeller @johnrhancock @mskstl…</t>
  </si>
  <si>
    <t>@jaybarnes5 @Rep_TRichardson -  you’re a disgrace to your office. We’ll ultimately prove your true motivations. You will be brought to justice.  None of us will forget you. #WeWillRemember you.  #MOGOP is OVER. #HistoryWilllNotForgiveYou #moleg #mogov @EricGreitens @TeamGreitens</t>
  </si>
  <si>
    <t>RT @ResignNowKim: @stltoday ‘s new “opinion piece” is another in unbroken series of anti- @EricGreitens hit pieces. Drips w schadenfreude f…</t>
  </si>
  <si>
    <t>RT @VisioDeiFromLA: #CincoDeMayo everybody!
I am Hispanic AMERICAN who supports @realDonaldTrump
LEGAL IMMIGRANT
Drink up &amp;amp; #MAGA 
Yeah…</t>
  </si>
  <si>
    <t>@stltoday ‘s new “opinion piece” is another in unbroken series of anti- @EricGreitens hit pieces. Drips w schadenfreude for Eric, and contempt veterans. Post-Disgrace opinion &amp;amp; news sections carry water for #moleg slime.  #PropagandaAintJournalism  https://t.co/UV86XksFlY #mogov</t>
  </si>
  <si>
    <t>@stltoday isn’t news. It’s a collection of narratives designed to push #SJW agendas.  Readers need to understand the choice of news articles, and manner of presentation of issues is designed to shift public opinion.  NONE of its contents are objective. #propaganda #dumpsterFire</t>
  </si>
  <si>
    <t>@HotPokerPrinces @thesearcher998 @EricGreitens @TeamGreitens defense team needs to have Judge Burlison issue a BENCH WARRANT for @scottfaughn , who has been avoiding service for subpoena/ deposition.  #moleg #mogov</t>
  </si>
  <si>
    <t>RT @wikileaks: New FOIA docs show that FBI lost chain of custody for five weeks of Hillary Clinton's server. Say they lost the chain entire…</t>
  </si>
  <si>
    <t>RT @VisioDeiFromLA: There are many reasons. Men like women need to do male only things for proper social and mental development.
Look at t…</t>
  </si>
  <si>
    <t>RT @HuntingOregon: @CNN Let’s just hurry this up and rename them The SOY BOY SCOUTS!  
This is how the left destroys American traditions &amp;amp;…</t>
  </si>
  <si>
    <t>RT @VisioDeiFromLA: No they shouldn’t. You clearly were never a Boy Scout or understand male development https://t.co/mNmcyW1LeQ</t>
  </si>
  <si>
    <t>RT @VisioDeiFromLA: It’s called Girl Scouts. You can join it https://t.co/HqHDzQaI1R</t>
  </si>
  <si>
    <t>RT @JW1057: @ads302s @A_Tall_Turner @stltoday @EricGreitens I take no position on EG politics. I am concerned about the criminal charges an…</t>
  </si>
  <si>
    <t>RT @JW1057: @ads302s @A_Tall_Turner @stltoday @EricGreitens KG’s misconduct is nothing to be shrugged at. We are talking about multiple vio…</t>
  </si>
  <si>
    <t>RT @Str8DonLemon: Feliz Cinco De Mayo #MoLeg #Mogov !
Margaritas at @flystl Chili's! 
#Greitens news:
1. KS text messages EXPOSED
2. 100…</t>
  </si>
  <si>
    <t>RT @EdBigCon: @GovGreitensMO Speaking at the Missouri Law Enforcement Memorial.
What a solemn event honoring those that gave all. #moleg ht…</t>
  </si>
  <si>
    <t>RT @ResignNowKim: @NARALMissouri  https://t.co/mFMsqufrw0</t>
  </si>
  <si>
    <t>RT @ResignNowKim: @NARALMissouri https://t.co/6ZtNuvt7DV</t>
  </si>
  <si>
    <t>RT @ResignNowKim: @NARALMissouri What behavior? Getting blown and liking it? Guess I’m also guilty. #metoo #bullshit #dumbasses . Least he…</t>
  </si>
  <si>
    <t>@NARALMissouri  https://t.co/mFMsqufrw0</t>
  </si>
  <si>
    <t>@NARALMissouri https://t.co/6ZtNuvt7DV</t>
  </si>
  <si>
    <t>@NARALMissouri What behavior? Getting blown and liking it? Guess I’m also guilty. #metoo #bullshit #dumbasses . Least he didn’t saline melt a baby. https://t.co/EJaGHX51bi</t>
  </si>
  <si>
    <t>@blackwidow07 @Sticknstones4 @ChrisHayesTV @SKOLBLUE1 @JW1057 @tonymess @stltoday @KCStar @KCStarOpinion @MarkReardonKMOX @kmoxnews @LaurenTrager @Koster4Missouri @FBIStLouis @FBI @FDIC_OIG Who is “big money grip” ?</t>
  </si>
  <si>
    <t>@EdBigCon @JaneDueker What???</t>
  </si>
  <si>
    <t>RT @phampel: With @U2 in St. Louis tonight, I remember the night at Uptown Theater in KC in 1981 when Bono launched into Neil Young’s “Sout…</t>
  </si>
  <si>
    <t>RT @BigJShoota: #GreitensImpeachment to be considered in special session, #MoLeg say.
They believe the Governor's #Guilty but not sure of w…</t>
  </si>
  <si>
    <t>RT @BigJShoota: #GreitensImpeachment most likely won't succeed if he's  #NotGuilty https://t.co/gHVsIK3Xln</t>
  </si>
  <si>
    <t>RT @magathemaga1: 4. Newman Lynch Mob
The full video in its entirety can be found at this link:
https://t.co/xzK9Q7eGUC
#RadioFreeAllman…</t>
  </si>
  <si>
    <t>RT @magathemaga1: 3. Newman Lynch Mob
Part 3 of Allmans explanation 
#RadioFreeAllman #MoLeg #Mogov
#Greitens #missouri #STL #stlouis #ce…</t>
  </si>
  <si>
    <t>RT @magathemaga1: 2. Newman Lynch Mob
Part 2 of Allmans explanation 
#RadioFreeAllman #MoLeg #Mogov
#Greitens #missouri #STL #stlouis #ce…</t>
  </si>
  <si>
    <t>RT @magathemaga1: 1. Newman Lynch Mob 
Stacey Newman seems 2 be Involved In #greitens witch hunt in some way. She also helped organize wit…</t>
  </si>
  <si>
    <t>RT @ResignNowKim: @sdieckhaus @EricGreitens @JayAshcroftMO We won’t forget you, or your co-conspirators. #WeWillRemember .The betrayals Of…</t>
  </si>
  <si>
    <t>RT @ResignNowKim: @sdieckhaus @EricGreitens @JayAshcroftMO Hey Scotty: I guess a @EricGreitens getting a parking ticket means he hates road…</t>
  </si>
  <si>
    <t>@sports_stl @RGreggKeller @JW1057 “Moldy” L.A. Red Guard ANTIFA Maoist Communist Revolutionaries.  But their “moldy.” So it all good. https://t.co/fv5Qj17su7</t>
  </si>
  <si>
    <t>@sports_stl @RGreggKeller @JW1057 Moldy history? And you support Antifa.  Read:  https://t.co/i4q5V4MTIn .</t>
  </si>
  <si>
    <t>@MIZCRB @DavidALieb @EricGreitens @JayAshcroftMO @AP @tonymess Weak. Try again.</t>
  </si>
  <si>
    <t>@chadd787 @Trumpalump @EdBigCon @JaneDueker @RGreggKeller @johnrhancock @mskstl @scottfaughn @DavidBarklage @BarklageCompany @jaybarnes5 @staceynewman Ok. Fair ‘nuff.</t>
  </si>
  <si>
    <t>RT @magathemaga1: #MoGov JUSTICE AWARD goes to ...
MARIA CHAPELLE NADAL
I have criticisms, but you recognized that everybody deserves due…</t>
  </si>
  <si>
    <t>@KMOV I hear he also did 5 miles over the limit on hwy 70.   But hey, I’d rather have Claire bear then a rat fink like Hee Haw Hawley.  I blame myopic Sam Fox. Sam.....you’re a moron.</t>
  </si>
  <si>
    <t>RT @Sticknstones4: #greitens motion says politics were in play starting 1-11 when MO Rep texted alleged victim “my House Dem leadership ins…</t>
  </si>
  <si>
    <t>@Trumpalump I’m a poet....’n I know it.</t>
  </si>
  <si>
    <t>@Trumpalump I’m sorry. I meant your cats.</t>
  </si>
  <si>
    <t>@Trumpalump Hey babe- least he has kids. That’s what fucking is for.  Go play w your dog. https://t.co/riiTYs5Y3P</t>
  </si>
  <si>
    <t>@Trumpalump @EdBigCon @JaneDueker @RGreggKeller @johnrhancock @mskstl @scottfaughn @DavidBarklage @BarklageCompany @jaybarnes5 @staceynewman Rape? Really, she blew him, then kept coming back to screw him and blow him over and over again. And even now she’s never claimed rape or sex assault. Go home.</t>
  </si>
  <si>
    <t>@Trumpalump @EdBigCon @JaneDueker @RGreggKeller @johnrhancock @mskstl @scottfaughn @DavidBarklage @BarklageCompany @jaybarnes5 @staceynewman ....Errr....Good one.......[crickets]........</t>
  </si>
  <si>
    <t>@strmsptr @Sticknstones4 Fuck Engler.  Dude is a blowhard asshole. His career was stymied because he’s a complete dick.</t>
  </si>
  <si>
    <t>RT @strmsptr: #moleg Gary Romine and Kevin Engler you are put on notice. Mr Romine, you have lost my support for any reelection bid. Mr Eng…</t>
  </si>
  <si>
    <t>RT @crackenbob: @stl7thward @EricGreitens He won’t go away ! He’s a great governor . Get over it and move on</t>
  </si>
  <si>
    <t>RT @JW1057: Now know that Stacey Newman and Dems were involved from the beginning. Newman arranged meeting between Kitty and @stlcao. Gardn…</t>
  </si>
  <si>
    <t>@kmoxnews Because the damned governments apparatus of the entire state has turned his life into a circus.  Fair jury trial possible? How?</t>
  </si>
  <si>
    <t>@celestebott @GilbertBailon How can you trust anyone named Gilbert.  Seriously.  Does anyone know anyone named Gilbert that isn’t an egotistical, stuck up prick? Let me know.  I’ve met your Gil. He’s a pseudo-intellectual. And the Post is a dumpster fire. #”journalism” isn’t that right @tonymess it’s a mess</t>
  </si>
  <si>
    <t>@JackSuntrup @EricGreitens No no no, Jack. @TeamGreitens @EricGreitens isn’t the only one saying this.  It’s obvious when every. Single. News. Report. Is. A. Fuqing. Hit. Piece. With. Animosity. Dripping. Off. The. Page. #”journalism”</t>
  </si>
  <si>
    <t>@VisioDeiFromLA You know, I used to think that propaganda reporting was due to ideology.  What we’ve learned from @scottfaughn is that some journalists get paid to push news a certain way.  So maybe this clown is being paid. If he is, maybe he should say so.  @scottfaughn is why don’t trust news</t>
  </si>
  <si>
    <t>RT @VisioDeiFromLA: Your coverage has been one sided.
✔️Use same bad picture over and over
✔️Not reporting names of accusers 
✔️Minimizing…</t>
  </si>
  <si>
    <t>RT @VisioDeiFromLA: You are straight up lying about the fact that @EricGreitens probably can’t refute specific allegations because HES GOIN…</t>
  </si>
  <si>
    <t>@RGreggKeller Maybe I’ll keep coming back.  Can i get an amen brotha @JW1057 ?</t>
  </si>
  <si>
    <t>@RGreggKeller Hackneyed? Like the weak bot label?  U and @JaneDueker need to develop new material. You’re a clever fellow. Nope, I’m as real as the buck u got mounted on your wall in Missourah. Maybe not. Maybe I’m just a wraith that’ll hang round till justice is done. https://t.co/xYRzirSMkW</t>
  </si>
  <si>
    <t>@EdBigCon Ed, everybody wants to feel like they are actually good people- @JaneDueker @RGreggKeller @johnrhancock @mskstl @scottfaughn @DavidBarklage @BarklageCompany @jaybarnes5 #MoneyBagsAl @staceynewman  ......even when they’re actually not.</t>
  </si>
  <si>
    <t>@sdieckhaus @EricGreitens @JayAshcroftMO We won’t forget you, or your co-conspirators. #WeWillRemember .The betrayals Of 2006 birthed the rage of 2009.  There are many who haven’t been this mad since Obama was elected. And we’re gettin the band back together. #moleg #mogov @EricGreitens @DavidBarklage @BarklageCompany</t>
  </si>
  <si>
    <t>@sdieckhaus @EricGreitens @JayAshcroftMO Hey Scotty: I guess a @EricGreitens getting a parking ticket means he hates roads.  The voters of this state won’t forget your treachery.  This absurd chapter in #moleg history will be a blight on the MOGOP for generations.  I’m an avg man but I’ll never support the party again.</t>
  </si>
  <si>
    <t>RT @blackwidow07: @RGreggKeller @ResignNowKim @Sticknstones4 @ChrisHayesTV @SKOLBLUE1 @JW1057 @scottfaughn @cody4mo @kmoxnews @tonymess @KC…</t>
  </si>
  <si>
    <t>@Dogan4Rep Also: there is clearly no “T” in Shamed.</t>
  </si>
  <si>
    <t>@sports_stl @RGreggKeller @JW1057 MOULDY [sic]?- this coming from an avowed ANTIFA nutter? Wtf does the F in antifa stand for friend? Guess nazi history is old and moldy, then. Lol.  @RGreggKeller you might want to sound the alarm antifa has arrived on your twitter.  #nutjob</t>
  </si>
  <si>
    <t>RT @JW1057: @ResignNowKim @MoRepEvans @RGreggKeller @TheOnion Here is a little history about Beria and his downfall. History is a good thin…</t>
  </si>
  <si>
    <t>@tgilbert_13 @DavidALieb @ws_missouri @EricGreitens @JayAshcroftMO @AP @EdBigCon @VP You’re right-I don’t like tweeting. Literally just started.Believe it or not- I’m just an average dude who started tweeting because I was pissed at the injustice.Legit. You seem like an alright guy.  Study what’s happening. It’s more complicated than you think.Check my handle/pic</t>
  </si>
  <si>
    <t>RT @ResignNowKim: @RGreggKeller LOLOLOL!!!! Greg, wtf, man. That the best spin you’ve got? A) you don’t know your history-Stalin killed Ber…</t>
  </si>
  <si>
    <t>RT @RGreggKeller: Greitens’ trolls tweeting thinly-veiled execution threats at #MOLeg members. https://t.co/MFnoSKVnPn</t>
  </si>
  <si>
    <t>RT @ResignNowKim: @RGreggKeller @blackwidow07 @Sticknstones4 @ChrisHayesTV @SKOLBLUE1 @JW1057 @JaneDueker @scottfaughn @cody4mo @kmoxnews @…</t>
  </si>
  <si>
    <t>@MoRepEvans @RGreggKeller Jean- your tweet is just nuts. #LifeImitatesTheOnion . @JW1057 @TheOnion  see my reply to @RGreggKeller - in which I explain the failure of his analogy.</t>
  </si>
  <si>
    <t>@RGreggKeller LOLOLOL!!!! Greg, wtf, man. That the best spin you’ve got? A) you don’t know your history-Stalin killed Beria, not some zealot, so the analogy you’re going for doesn’t hold up. B) he was commenting on the sheer absurdity of #moleg .Go read some. #solzhenitsyn #kafkaesque @JW1057</t>
  </si>
  <si>
    <t>@tgilbert_13 @DavidALieb @ws_missouri @EricGreitens @JayAshcroftMO @AP @EdBigCon @VP Why does everyone who supports the coup reflexively call opponents bots?  It would be more appropriate to call me a troll, unless you actually think I’m artifical intelligence, which is nuts. Whatevs.</t>
  </si>
  <si>
    <t>@RGreggKeller @blackwidow07 @Sticknstones4 @ChrisHayesTV @SKOLBLUE1 @JW1057 @JaneDueker @scottfaughn @cody4mo @kmoxnews @tonymess @KCStar @stltoday @EricGreitens Ah! Greg-guh! So nice for you to retire early from Old Ebbitt to come slummin’ down here with the angry peasants!  Honored, we are.</t>
  </si>
  <si>
    <t>@blackwidow07 @Sticknstones4 @ChrisHayesTV @SKOLBLUE1 @JW1057 @JaneDueker @scottfaughn @RGreggKeller @cody4mo @kmoxnews @tonymess @KCStar @stltoday Ouch!</t>
  </si>
  <si>
    <t>@Dogan4Rep @JW1057 Dark money- like the dark money fueling @scottfaughn ‘s payment to #MoneyBagsAl ?  Where did @scottfaughn run off to, btw.  If he just purchased the tape, then why the need to hide?  Nothing suspicious about that is there Shah-med (phonetic respelling).</t>
  </si>
  <si>
    <t>@blackwidow07 @Sticknstones4 @ChrisHayesTV @SKOLBLUE1 @JW1057 @JaneDueker @scottfaughn @RGreggKeller @cody4mo @kmoxnews @tonymess @KCStar @stltoday Just so you know. When I float? I float like a butterfly.  When I sting? I sting like a bee.  Just sayin’.</t>
  </si>
  <si>
    <t>RT @blackwidow07: @ResignNowKim @Sticknstones4 @ChrisHayesTV @SKOLBLUE1 @JW1057 @tonymess @stltoday @KCStar @KCStarOpinion @MarkReardonKMOX…</t>
  </si>
  <si>
    <t>I mean, c’mon.  Let the punishment fit the crime. https://t.co/ywdQkMpM6Q</t>
  </si>
  <si>
    <t>@tgilbert_13 @DavidALieb @ws_missouri @EricGreitens @JayAshcroftMO @AP Right-O T-Rav.  So next time you get a speeding ticket we’re gonna gas your ass.  @EdBigCon</t>
  </si>
  <si>
    <t>RT @ResignNowKim: @DavidALieb @EricGreitens @JayAshcroftMO @AP How low on the AP totem poll do you have to be, to be relegated to shit stor…</t>
  </si>
  <si>
    <t>RT @Sticknstones4: @ResignNowKim @blackwidow07 @ChrisHayesTV @SKOLBLUE1 @JW1057 @tonymess @stltoday @KCStar @KCStarOpinion @MarkReardonKMOX…</t>
  </si>
  <si>
    <t>@blackwidow07 @Sticknstones4 @ChrisHayesTV @SKOLBLUE1 @JW1057 @blackwidow07 how do we get kitty’s client list?  I don’t think she’ll want to give it up.  I know many folks don’t like disclosing their clients.  @JaneDueker #moleg #mogov @scottfaughn   @RGreggKeller @cody4mo @kmoxnews @tonymess @KCStar @stltoday</t>
  </si>
  <si>
    <t>@blackwidow07 @Sticknstones4 @ChrisHayesTV @SKOLBLUE1 @JW1057 @tonymess @stltoday @KCStar @KCStarOpinion @MarkReardonKMOX @kmoxnews @LaurenTrager @Koster4Missouri UH-OH!!! You mean Kitty might not have reported income?  (Gasp).</t>
  </si>
  <si>
    <t>@DavidALieb @EricGreitens @JayAshcroftMO @AP How low on the AP totem poll do you have to be, to be relegated to shit stories like this?  Did he jaywalk, too? You call yourself a journalist, you son of a bitch? #moleg #mogov @EricGreitens  But hey, it was either you or @tonymess , and he was stuck doing traffic reports. https://t.co/c38vzJFUfw</t>
  </si>
  <si>
    <t>@JW1057 @DavidALieb @EricGreitens @JayAshcroftMO @AP Fuq-ing hilarious.  Well played.</t>
  </si>
  <si>
    <t>RT @JW1057: @DavidALieb @EricGreitens @JayAshcroftMO @AP I have sources claiming that @EricGreitens may have left the toilet seat up. Pleas…</t>
  </si>
  <si>
    <t>RT @blackwidow07: @ResignNowKim @Sticknstones4 @ChrisHayesTV @SKOLBLUE1 @JW1057 Not nice. I thought she did waxing also. I just wonder if t…</t>
  </si>
  <si>
    <t>@blackwidow07 @Sticknstones4 @ChrisHayesTV @SKOLBLUE1 @JW1057 Mmmm. I see.  Clients.....plural.....as in she had more than one, eh?  Would be nice if @tonymess @stltoday @KCStar @KCStarOpinion @MarkReardonKMOX @kmoxnews @LaurenTrager would start actually doing investigative reporting.  @Koster4Missouri #moleg #MOGov</t>
  </si>
  <si>
    <t>@ChrisHayesTV You know- too bad @tonymess @MarkReardonKMOX @kmoxnews @KCStar @KCStarOpinion didn’t all take my advice and ASK KITTY’s LAWYER SIMPSON IF HE GOT PAID LIKE AL WATKINS DID?!?!?!?  SEEMS LIKE ITS A DAMNED GOOD QUESTION NOW, DOESNT IT, TONY? ‘Course, not everyone cares about truth.</t>
  </si>
  <si>
    <t>@blackwidow07 @Sticknstones4 @ChrisHayesTV @SKOLBLUE1 @JW1057 No no no. Lube.</t>
  </si>
  <si>
    <t>@VisioDeiFromLA @magathemaga1 I’d stake my life on it.</t>
  </si>
  <si>
    <t>RT @VisioDeiFromLA: @ResignNowKim @magathemaga1 And liberals all act like Journolist wasnt that bad. There are probably many lists now</t>
  </si>
  <si>
    <t>@VisioDeiFromLA Btw: What’s hubby’s name again?</t>
  </si>
  <si>
    <t>RT @VisioDeiFromLA: Now this is an interesting theory. Would be a public service if any actual journolist would to the public a favor and a…</t>
  </si>
  <si>
    <t>@VisioDeiFromLA @magathemaga1 Preach on.  Well, it’s not like JOURNO-LIST was a one-off.</t>
  </si>
  <si>
    <t>@RGreggKeller @JaneDueker THATS WHAT IVE BEEN TRYING TO GET @JaneDueker TO TELL ME, TOO!!!!!!!!!!!!!!!!!!!!  #moleg #mogov @EricGreitens @scottfaughn @KMOXPD @cody4mo @MarkReardonKMOX @kmoxnews @tonymess #TorquemadaJane #JournalistJane #LobbyistJane #PropagandistJane</t>
  </si>
  <si>
    <t>@kcfridge @RGreggKeller @JaneDueker How many cats do you own, lady?</t>
  </si>
  <si>
    <t>RT @ResignNowKim: @magathemaga1 @Sticknstones4 @EdBigCon @Shawtypepelina @RealTravisCook @HennessySTL @HotPokerPrinces @Eric_Schmitt @jrose…</t>
  </si>
  <si>
    <t>@JaneDueker @reneknottsports @newyorktimes110 Mmmmm. Corruption, oligarchy, lack of oversight of prosecutorial misconduct due to absolute prosecutorial immunity, collapse of an objective judiciary, disintegration of rule of law, abuse of power, collapse of print media, judicial indifference for civil rights. Indeed, how?</t>
  </si>
  <si>
    <t>RT @GayOreoCookie: @JaneDueker @A_Tall_Turner @ResignNowKim @KMOXPD @EricGreitens @charliekmox @MarkReardonKMOX @johnrhancock @KMOXKilleen…</t>
  </si>
  <si>
    <t>@magathemaga1 @Sticknstones4 @EdBigCon @Shawtypepelina @RealTravisCook @HennessySTL @HotPokerPrinces @Eric_Schmitt @jrosenbaum @Avenge_mypeople @SKOLBLUE1 It’s almost like there’s a plot to take down @EricGreitens .I wonder if the same guy that paid $100k to #MoneyBagsAl paid every milktoast C-list thru F-list political operative to start cheerleading for the beheading. @scottfaughn @JaneDueker @RGreggKeller #moleg #mogov @cody4mo</t>
  </si>
  <si>
    <t>RT @ChrisHayesTV: MO Gov defense motion says politics were in play starting 1-11 when MO Rep texted alleged victim “my House Dem leadership…</t>
  </si>
  <si>
    <t>@GayOreoCookie @JaneDueker @A_Tall_Turner @KMOXPD @EricGreitens @charliekmox @MarkReardonKMOX @johnrhancock @KMOXKilleen @mskstl Btw: you misspelled tied. You’re welcome. ;-)</t>
  </si>
  <si>
    <t>@GayOreoCookie @JaneDueker @A_Tall_Turner @KMOXPD @EricGreitens @charliekmox @MarkReardonKMOX @johnrhancock @KMOXKilleen @mskstl Wow.  I wonder if @staceynewman will help the victim find a lawyer and arrange to have her meet with @KimGardnerSTL . Send the photos to @JaneDueker ——&amp;gt; judging by her twitter feed, she’s obsessed with the kinky shit.</t>
  </si>
  <si>
    <t>Lolololol. Sticks n stones, sticks n stones...... after school, you &amp;amp; me at the flagpole, hoss. Be there.  That’s almost as weak as calling someone.....a bot  #weaksauce #TorquemadaJane @JaneDueker #JournalistJane #LobbyistJane #PropagandistJane #JaneTheInquisitor https://t.co/xmuqb8xeHQ</t>
  </si>
  <si>
    <t>RT @JW1057: @ResignNowKim @jrosenbaum @JaneDueker @EricGreitens Plus the press still doesn't report the names Philip Sneed and Katrina "Kit…</t>
  </si>
  <si>
    <t>@JaneDueker @JaneDueker do you pay anyone to manage your twitter account? Or, do you sit at your computer for hours on end spewing out tweets every 2 minutes.  If the latter, that’s good work if you can get it.  Wonder how you can afford to do that @KMOXPD @KMOXKilleen</t>
  </si>
  <si>
    <t>@jrosenbaum @JaneDueker @EricGreitens Catch-22 Jason.  You appear to prefer to play with a loaded deck like Jane. When the media won’t even ask Kitty’s lawyer if he got paid like #MoneyBagsAl it’s obvious doing a presser is like playing War Games- only way to win....is not to play.</t>
  </si>
  <si>
    <t>@JaneDueker Dunno bout that.  Wish we knew if your opinions on this topic were your own.  You say you’re not being paid to generate dozens of tweets/ day- but then you’ve hid the ball before... https://t.co/A7XuhWPYiS  . When you’re blessed w many clients it’s easy to forget, ain’t it.</t>
  </si>
  <si>
    <t>@A_Tall_Turner @KMOXPD @JaneDueker @EricGreitens @charliekmox @MarkReardonKMOX @johnrhancock @KMOXKilleen @mskstl Ok. I’ll level with you....I’m Batman.</t>
  </si>
  <si>
    <t>Alright! I’ve finally made it- been accused of being a bot by @JaneDueker . TJ ( #TorquemadaJane ), just because you disagree w me doesn’t mean I’m a paid troll.  Not all of us are amoral sellouts, or rep payday loan companies or red light cam companies and other degenerates. https://t.co/6Kg4btltKl</t>
  </si>
  <si>
    <t>Hey @KMOXPD you may want to ask @JaneDueker if her smear tirade against @EricGreitens is coming from her or someone else.  I think listeners should know the answer.  Are you profiting by smearing #mogov ? @charliekmox @MarkReardonKMOX @johnrhancock @KMOXKilleen @mskstl https://t.co/zHsD7SP9s4</t>
  </si>
  <si>
    <t>@JaneDueker Tokyo Rose- meet #TorquemadaJane #JaneTheInquisitor #JaneThePropagandist #JaneTheLobbyist #JaneTheJournalist  WHEW! That’s an awful lot of hats to wear, @JaneDueker  .  Is this smear barrage against @EricGreitens coming from you or your client(s)?  Are you benefitting from this?</t>
  </si>
  <si>
    <t>@JaneDueker And yet there’s no allegation of rape or sexual assault.  Where’s the fire, @JaneDueker ?  Also: where’s the photo?  I think we’re all the victim - of your illogic.  #JaneTheInquisitor  #JaneTheJournalist  #JaneTheLobbyist #JaneThePropagandist @KMOXPD @charliekmox @KMOXKilleen</t>
  </si>
  <si>
    <t>@JW1057 @joelcurrier @stltoday Agreed- ‘Cept I’d say x 1000</t>
  </si>
  <si>
    <t>RT @JW1057: @joelcurrier @stltoday This is Sheppard v. Maxwell, 384 U.S. 333 (1966) multiplied by a hundred.</t>
  </si>
  <si>
    <t>@celestebott @stltoday @GilbertBailon Been reading the Post Disgrace for years, Gil; the bias has been omnipresent. This new role as cheerleader for an illegal coup is nothing new.  But thanks for playing.  On the bright side,least u didn’t have the bag man @scottfaughn as a constant contributor like @MarkReardonKMOX</t>
  </si>
  <si>
    <t>@GovGreitensMO @EricGreitens don’t pay attention to the haters, ‘mano. We’re with you.We believe in you. We see this corrupt inquisition for the sham it is. After this next battle, please commit yourself to bringing the usurpers to justice.  #StandWithEric #Pray4FalselyPersecuted #moleg #MOGOV</t>
  </si>
  <si>
    <t>RT @GovGreitensMO: This week, we took time to recognize state workers who have gone above and beyond to get results for Missouri citizens.…</t>
  </si>
  <si>
    <t>OHHHHH SNAP!  @Blackboxhalo for the win.  Indeed, assuming @scottfaughn is telling the truth (chortle) Yes- who told him there was a tape? Who told him Who had the tape? https://t.co/9WVmQLyakY</t>
  </si>
  <si>
    <t>@BryanLowry3 So there’s a gag order in place. Where did you get this, Bryan?</t>
  </si>
  <si>
    <t>@chuckhatfield There’s a gag order. Where did this come from Chuck?</t>
  </si>
  <si>
    <t>RT @JW1057: @BigJShoota @Rep_TRichardson @RonFRichard @jaybarnes5 practicing Lavrentiy Beria's philosophy of "[y]ou bring me the man, I'll…</t>
  </si>
  <si>
    <t>RT @VisioDeiFromLA: My fav Parson-Tax credit bot.
The law, is as written. A consensual affair isn’t illegal nor a reason 2 impeach.
No co…</t>
  </si>
  <si>
    <t>RT @JW1057: @StLCountyRepub @EricGreitens @TeamGreitens seek dismissal on grounds of government conduct prejudicial to admin. of justice. T…</t>
  </si>
  <si>
    <t>RT @Str8DonLemon: Have to agree with @EricGreitens that this is a total disservice to the law.
"FULL STATEMENT: Greitens for Missouri lega…</t>
  </si>
  <si>
    <t>RT @MariaChappelleN: This puzzle is unfinished. So many characters. 
Questions: Are Sterling-Tilley-Faughn-Reardon-Parson-Smith all connec…</t>
  </si>
  <si>
    <t>RT @ResignNowKim: @BarklageCompany Quick question, Super Dave: have you ever had your shit pushed in?  @scottfaughn</t>
  </si>
  <si>
    <t>RT @ResignNowKim: @BarklageCompany  So, Super Dave: I know you’re a YUUUUUUGE fan of #TWMP.  How would you characterize this week in Missou…</t>
  </si>
  <si>
    <t>@JaneDueker Jane: we know what you are. You’re Pushing a false narrative against @EricGreitens .You haven’t said who’s narrative.Yours?A client’s? I’m an average dude.Didn’t twitter before this disgraceful coup.I’m not alone.We will remember all of you. You’ve made him a martyr #moleg #mogov</t>
  </si>
  <si>
    <t>@BarklageCompany  So, Super Dave: I know you’re a YUUUUUUGE fan of #TWMP.  How would you characterize this week in Missouri politics?  Have you asked @scottfaughn for his opinion? #moleg #mogov @EricGreitens @kmoxnews @KMOXKilleen @charliekmox @tonymess @MarkReardonKMOX @KMOXPD</t>
  </si>
  <si>
    <t>@BarklageCompany Quick question, Super Dave: have you ever had your shit pushed in?  @scottfaughn</t>
  </si>
  <si>
    <t>RT @CStamper_: This convicted felon media member manages to make the media look even more dishonest, which is quite an achievement. I don’t…</t>
  </si>
  <si>
    <t>@RizzShow is @HereLiesMoon the ex husband of the ex lover of @EricGreitens ?  If so, do you have any comment?  Do you know if @scottfaughn paid $50,000 for the tape? And did Moon man know? #moleg #mogov @kmoxnews @KMOXKilleen @Patrico1057 @jeffburton1057</t>
  </si>
  <si>
    <t>@HereLiesMoon So, @scottfaughn says he paid $50,000 for the tape of K.S.  Is that true?  Or, did he contribute money to cover #MoneyBagsAl ‘s legal fees?  Are you P.S.?  @kmoxnews @KMOXKilleen #moleg #mogov @EricGreitens</t>
  </si>
  <si>
    <t>@tonymess so when are you going to ask K.S.’ Lawyer Scott Simpson if he got #MoneyBagsAl payments?  Dontcha think that’s kind of an obvious question no “journalist” has asked yet?  @kmoxnews #moleg #mogov @scottfaughn @MarkReardonKMOX @charliekmox @KMOXKilleen</t>
  </si>
  <si>
    <t>@ChrisHayesTV can you please ask K.S.’ Lawyer Scott Simpson - on the record in front of a camera- if he got  #MoneyBagsAl payment(s)??? Apparently, no journalists in this town have enough sack. Lord knows @tonymess is sorry excuse for a journalist.  #PutOnAClinicChrisPuhleeze</t>
  </si>
  <si>
    <t>@MariaChappelleN @MariaChappelleN retweet this we @MarkReardonKMOX et al’s twitter handles so you can ask them directly.  Mark blocked me when I started asking questions... he still refuses to say @scottfaughn is a bad dude for serially lying to mark for a period of months about being a bag man.</t>
  </si>
  <si>
    <t>RT @HotPokerPrinces: Fo’ Sho Corruption Runs Deep Down In Poplar Bluff 
They have been screwing over Missouri for Years 
Gigs Up ! Greite…</t>
  </si>
  <si>
    <t>RT @RGreggKeller: YAAAASSSSSSSS!!!!!!!!!!!!!!! https://t.co/ywxC7w5CVw</t>
  </si>
  <si>
    <t>RT @JaneDueker: You are a spineless weenie who won’t use their name. You have no credibility.  Twitterverse, ignore this greitens bot https…</t>
  </si>
  <si>
    <t>Chip Roberts is a disgrace to his office. He is participating in an illegal coup, knowingly.  @EricGreitens #greitens #moleg #mogov</t>
  </si>
  <si>
    <t>@VisioDeiFromLA @JW1057 @ws_missouri Jokes aside: this is outstandingly inappropriate coming from Chip.  It’s pure evidence of this asshole’s lack of objectivity.  I say again: fuck you Chip.  You’re a disgrace to your former office.  You’re a disgrace to your current office.</t>
  </si>
  <si>
    <t>RT @VisioDeiFromLA: @Markknight45 @internalmonolo2 It's not about cheating on his wife. Ite about tax credits and toys #MoLeg #Greitens</t>
  </si>
  <si>
    <t>RT @Markknight45: @internalmonolo2 @VisioDeiFromLA I don’t think they care about any facts or what the truth is at this point. They want Gr…</t>
  </si>
  <si>
    <t>@JW1057 @KMOVMatt @EricGreitens @jaybarnes5 Agreed.  The problem is also that @jaybarnes5 and @KimGardnerSTL and @scottfaughn are effectively above the law.  Query: who watches the watchmen?</t>
  </si>
  <si>
    <t>RT @JW1057: @KMOVMatt The problem is not @EricGreitens thinks he is above the law. The problem is that people like @jaybarnes5 and Gail McC…</t>
  </si>
  <si>
    <t>RT @JW1057: @MarshallGReport @EricGreitens @jrosenbaum The issue is NOT how EG got the list. The issue is how the campaign got the list and…</t>
  </si>
  <si>
    <t>@JW1057 @MarkReardonKMOX @scottfaughn To bad mark blocked me</t>
  </si>
  <si>
    <t>RT @ResignNowKim: @MarkReardonKMOX @JW1057 @scottfaughn THANK YOU MARK!!!!!!  Thank you for asking these questions.  @scottfaughn actually…</t>
  </si>
  <si>
    <t>@VisioDeiFromLA @JW1057 @ChrisHayesTV @ChrisHayesTV is the shit.  Stand up guy committed to the truth. Much like @charliekmox and @KMOXKilleen  .  Don’t stop guys. Apparently, nobody else gives a damn about the contrivance of this shitshow. #MissouriComeBananaRepublic #RealJournalism</t>
  </si>
  <si>
    <t>RT @JW1057: @aaron_hedlund @CDTCivilWar @missioncontinue @BooneCoMOGOP @GovGreitensMO @EricGreitens The only crime that I see is fraud. Tha…</t>
  </si>
  <si>
    <t>RT @JW1057: @sigi_hill @KRCG13 @jaybarnes5 Let's be honest the MO Legislature and Kim Gardner have taken a shredder to the Missouri and US…</t>
  </si>
  <si>
    <t>RT @HennessySTL: Regarding @EricGreitens  https://t.co/RRVcnXgKke via @youtube</t>
  </si>
  <si>
    <t>@JW1057 @parkerwbriden @EricGreitens @stlcao @MOHOUSECOMM And Chip Roberts, Jay Barnes, @scottfaughn wherever you are....fuck you too!. Bastards.  #StarChamber #TorquemadaJunior #kafkaesque #Disgrace #MissouriComeBananaRepublic #FuckYouToo  https://t.co/ArUyNqoBxW  #moleg #mogov</t>
  </si>
  <si>
    <t>RT @sigi_hill: #moleg #mogov #greitens #KimShady #IStandWithGreitens https://t.co/3NNNGaUvXX</t>
  </si>
  <si>
    <t>@JW1057 @VisioDeiFromLA @Sticknstones4 @CStamper_ @magathemaga1 @TommiePierson @Rep_TRichardson @jeanielauer @gcmitts @jaybarnes5 @shawnrhoads154 @KevinLAustin1 @TeamGreitens @MarkReardonKMOX @JW1057 I know it was rhetorical - but just to clarify, it was a sham before 4/11, too.  ;-)</t>
  </si>
  <si>
    <t>RT @JW1057: A friendly reminder that since April 11, 2018 The Committee has been operating without authority. If it The Committee wasn't sh…</t>
  </si>
  <si>
    <t>@seeeek @MarkReardonKMOX Great points @seeeek .  I’d reply directly to mark myself, but he blocked me. Careful, some comments hit too close to home.  You could get blocked too.</t>
  </si>
  <si>
    <t>@JaneDueker https://t.co/k4gGESkYF6. #JaneTheInquisitor https://t.co/BVerwgi8qJ</t>
  </si>
  <si>
    <t>@JaneDueker Hey Jane: you sayin, as a Lawyah, that you would advise your client to cooperate in a railroad parallel prosecution, while simultaneously involved in a criminal matter?  Chip is a disgrace.  But, you’re no stranger to politically induced persecution, either. #JaneTheInquisitor</t>
  </si>
  <si>
    <t>@RyanNonnemaker Wow. Chip, you are a bonafide son of a bitch.</t>
  </si>
  <si>
    <t>@tkinder (Cont.) So for starters, since he was the captain of the ship which played a major role in this fiendish plot, I think @KMOXPD and probably @MarkReardonKMOX and others should apologize to the public for their role- regardless of their actual knowledge. That would be classy.</t>
  </si>
  <si>
    <t>@tkinder Well, but the issue isn’t @scottfaughn connection to Pelopodidas (unless you’re saying the latter is the money man), it’s his wholesale infamy.  The dude was political plant nested in a respected media institution. And powerful people used that to attempt a coup.</t>
  </si>
  <si>
    <t>@tkinder How is private manufacturing different than the private media?  I tend to believe the media has been coopted, but I don’t think it’s officially an appendage of the government.  Perhaps if @KMOX publicized the disclosures made to them in private, this would help your argument.</t>
  </si>
  <si>
    <t>@tkinder @KMOXPD @scottfaughn (Cont.) And this is especially so, when @kmox and @KMOXPD actively Court politicos to be on air personalities. It’s Steve’s acknowledged risk. So, when a tire or @scottfaughn blows up, it’s probably a good time to examine safety protocols or conflict policies- to benefit public.</t>
  </si>
  <si>
    <t>@tkinder @KMOXPD @scottfaughn Soooo, yeah, and I have a duty to research cars I buy, too. But GM is in a better position as the MFC to know about serious flaws.  That’s why we have tire and airbag recalls- the duty first and foremost falls to them.  No, it’s not fair to put any of this on the public.</t>
  </si>
  <si>
    <t>@tkinder @MarkReardonKMOX @scottfaughn @DebbieMonterrey @KMOXPD @KMOX @scottfaughn has a fun good ol boy persona. Smooth talkers-and confidence men-often form a bond w their victims and then exploit that bond.  It appears to have happened here. @MarkReardonKMOX was betrayed, used, and made a fool of. Yet Mark still likes the guy. #StockholmSyndrome https://t.co/vewZtrtcFi</t>
  </si>
  <si>
    <t>@tkinder @MarkReardonKMOX @scottfaughn @DebbieMonterrey @KMOXPD @KMOX Well, let’s be precise: I suggested @MarkReardonKMOX may be suffering from Stockholm “” because he backpedaled on @scottfaughn .  This isn’t a kiss and makeup thing- it’s the kiss-off. The man fundamentally misled Mark &amp;amp; the public and orchestrated a fraud on the judicial system.</t>
  </si>
  <si>
    <t>@charliekmox @KMOXKilleen : please help we loyal listeners(decades, personally- which is why I care bout @KMOX)understand the media ethics policies of @KMOXPD  .We trust you. How to prevent another @scottfaughn ?Should influence peddlers be required to disclose clients to public?</t>
  </si>
  <si>
    <t>@KMOXPD (cont.) How does the audience know the opinions expressed by @johnrhancock @mskstl and @JaneDueker are their own- and not a client’s?  It’s a legit issue.  You have the public’s trust- if you can keep it. Please demonstrate the safeguards of your integrity. #MediaEthics</t>
  </si>
  <si>
    <t>@KMOXPD : please post your media ethics policies - especially those about on-air personalities and conflicts of interest. @scottfaughn debacle has raised an issue:  how does the audience know that political influence peddlers aren’t using KMOX for propaganda?</t>
  </si>
  <si>
    <t>@KMOXPD @MarkReardonKMOX @DebbieMonterrey @johnrhancock @mskstl @charliekmox @KMOXKilleen : with political personalities like Hancock &amp;amp; Kelly and @JaneDueker -who make their bones trading influence-will you publish @KMOX media ethics policies for show hosts?</t>
  </si>
  <si>
    <t>@DebbieMonterrey .  So @scottfaughn betrayed your trust.  He used you. He manipulated you, and @MarkReardonKMOX and @KMOXPD and he tarnished @KMOX ‘s rep. Now: he himself was a pawn to some mysterious money men- they used you, and manipulated you. Fooled you. Do you seek justice?</t>
  </si>
  <si>
    <t>@MarkReardonKMOX @scottfaughn Mark: if you believe the house committee deep sixed @scottfaughn ‘s testimony bc of corruption,you’ve gotta demand some justice for that. These clowns in JC have made Missouri into a damned banana republic. Internalize that for a sec. Is that tolerable? What will you do about it?</t>
  </si>
  <si>
    <t>@MarkReardonKMOX @scottfaughn Mark! Come on, man.  Do you have Stockholm Syndrome?Seriously. Let’s go thru this: @scottfaughn used you, @DebbieMonterrey, @KMOXPD and others at @KMOX to push his FRAUD ON THE PUBLIC. Do u realize he made you out as a chump?It hurts to lose an acquaintance. He’s not your friend.</t>
  </si>
  <si>
    <t>@MarkReardonKMOX @JW1057 @scottfaughn THANK YOU MARK!!!!!!  Thank you for asking these questions.  @scottfaughn actually thinks he’s going to survive this with his “awe shucks ima jes a cuntry boy” routine, and through sheer audacity.  But no: there are consequence for deliberately deceiving the public.</t>
  </si>
  <si>
    <t>@JaneDueker @kmoxnews @MarkReardonKMOX @KMOXPD @charliekmox @KMOXKilleen @johnrhancock .  This is who you let on your radio? You effing kidding me? No one who understands a damned thing about law can reach her conclusion.  The committee lacks integrity.  #disgrace #GopCoup #ThisIsKMOX</t>
  </si>
  <si>
    <t>@JaneDueker Seriously though, Jane: which Jane Dueker is tweeting this? “Journalist Jane?” How about “Lobbyist Jane”? Hmmm.  Do you have any conflicts of interest we, the audience, should know about???  Does Jane Dueker benefit politically or economically if @EricGreitens is impeached?</t>
  </si>
  <si>
    <t>@JaneDueker Jane Dueker on Due Process in America: “In America, @EricGreitens you have rights. The right to be “properly” [h/t @scottfaughn] charged, “properly” tried, “properly” convicted, and “properly” [lynched] hung.” #parody #greenjournalism #LongShanksJaneDueker</t>
  </si>
  <si>
    <t>@JaneDueker How oh how can you say this shit with a straight face?  Is this your POV or a client’s?“Report”is thrown together railroad job where the man @EricGreitens has not had ability to cross witnesses or any due process. #kafkaesque #greenjournalism #disgrace #”journalism” #moleg #mogov</t>
  </si>
  <si>
    <t>RT @magathemaga1: "Life imitates Art far more than Art imitates Life" -Oscar Wilde 
As #MoLeg looks 2 screw @EricGreitens in new ways, I'v…</t>
  </si>
  <si>
    <t>@ScottCharton @KCStarOpinion Essentially, @KCStarOpinion is trying to justify its fixation on all things anti @EricGreitens rather than report on massive fraud on voters of this state.And by this sleight of hand @KCStarOpinion hopes to provide cover for other rags to ignore elephant in the room.#”journalism”</t>
  </si>
  <si>
    <t>@ScottCharton @KCStarOpinion That’s a false dichotomy. What @scottfaughn and his money men- and various gop #moleg are doing to @EricGreitens=fraud onpublic. In law-Equitable Estoppel.  You can’t commit fraud on the public and falsely prosecute a man. Engineered coups R not morally equivalent to camp finance</t>
  </si>
  <si>
    <t>@lindsaywise “...Never met Al Watkins in my life...” Then how did he know Skyler’s name?  How many named partners remember the names of any one and done courier, let alone a courier they never met? #bullshit #moleg #mogov @scottfaughn. #moneybagsal #scammingscott @KMOXKilleen @charliekmox</t>
  </si>
  <si>
    <t>@lindsaywise They wanted to make a point......in the unlikely chance that anyone ever found out about the money? #bullshit #moleg #mogob @scottfaughn</t>
  </si>
  <si>
    <t>@lindsaywise NEW: @scottfaughn and unknown money men engineer a scandal as coup to take out @EricGreitens .  How about using the grey matter b/t your ears.  Ask: who’s paying K.S. Lawyers (Simpson) bills?  Did he get a bag full of cash from #ScammingScott ? #CriticalThinking #moleg #mogov</t>
  </si>
  <si>
    <t>RT @JW1057: @Sticknstones4 @YearOfZero Did you hear the check was signed by a mysterious woman named "Sheena?" I have sources that tell me…</t>
  </si>
  <si>
    <t>RT @JW1057: @ws_missouri @ResignNowKim KS never says coercion in Tisaby interview. Doing something that you don't want to do isn't coercion…</t>
  </si>
  <si>
    <t>@randy_creasman @RiverfrontTimes @KMOXPD @MarkReardonKMOX @DebbieMonterrey @johnrhancock @mskstl @scottfaughn You’re right: bc @scottfaughn &amp;amp; his money men have no agency on this earth.  JFK pissed off syndicate and got shot-up: he brought it on himself.  Forest for the trees, Rando.  Real Scandal here: a handful of money men thought they could overturn the voters w a coup. #moleg #mogov</t>
  </si>
  <si>
    <t>RT @magathemaga1: Good evening #MoLeg &amp;amp; #MoGov except @Rep_TRichardson 
#Missouri realizing even more the #GreitensIndictment is total wit…</t>
  </si>
  <si>
    <t>@EdBigCon @kmoxnews @scottfaughn @KMOXPD @MarkReardonKMOX @DebbieMonterrey @McGrawMilhaven Nothing to see here, citizen.</t>
  </si>
  <si>
    <t>RT @EdBigCon: @ResignNowKim @kmoxnews @scottfaughn @KMOXPD @MarkReardonKMOX @DebbieMonterrey Isn’t weird that @McGrawMilhaven &amp;amp; @scottfaugh…</t>
  </si>
  <si>
    <t>@KMOXKilleen always have respected you and @charliekmox .  Query: how is K.S. Paying her attorney Simpson?  Did Simpson get $100k payoff like Al Watkins?  Query: how is Gardner paying for TISABY and Sullivan? Btw: she’s still short 11 prosecutors- and isn’t hiring. #CrimeRateUp</t>
  </si>
  <si>
    <t>@JaneDueker Yes. Accountability.  Let’s talk about it, Jane.  Who buys the time for your radio show?  What sponsors—- or sponsor?  Is anyone paying you to push this narrative about @EricGreitens ? Dontcha think audience and @kmoxnews @MarkReardonKMOX @KMOXPD have right to know? @scottfaughn</t>
  </si>
  <si>
    <t>@JaneDueker I dunno: should someone be disclosing her political patrons to @kmoxnews @KMOXPD @MarkReardonKMOX ?  Should someone disclose her patrons to her listening audience, to avoid impropriety or appearance of impropriety of a conflict of interest? @KMOXKilleen @charliekmox @scottfaughn</t>
  </si>
  <si>
    <t>@JaneDueker @TeamGreitens Hey @JaneDueker :are you a journalist, a lobbyist, a paid pusher of select narratives (propagandist)? @scottfaughn got busted for his conflict of interests? How ‘bout you disclose your patrons, else how r u different than Scott? @MarkReardonKMOX @KMOXPD @KMOXKilleen @charliekmox</t>
  </si>
  <si>
    <t>@tonymess Hey Tone. True propaganda is an art form: like taking the news about @scottfaughn - who literally helped engineer the #GreitensScandal - and then ultimately finding a way to subtly blame it on @EricGreitens. Funny- all your pieces end up at same conclusion. Hmm. #”journalism”</t>
  </si>
  <si>
    <t>@tonymess Let me get this straight.  @scottfaughn drops off 50 large to fund a political hit on @EricGreitens who killed this $150M annual state donation to oligarchy (tax credits), and all you can do is revert to mindless participation in the obvious coup. Good one, Tone. #”journalism”</t>
  </si>
  <si>
    <t>@tonymess Way to retweet an anti-Greitens political operative w likely ties to @scottfaughn .  Good job @tonymess .  Way to carry water for tax credit kings who engineered the Greitens coup. Btw: hasn’t @stltoday run a lot of stories on tax credits? How bout investigatin’? #”journalism”</t>
  </si>
  <si>
    <t>@scottfaughn @KCStar @EricGreitens Hey @scottfaughn , are you completely gone? You got caught engineering a coup and then you misled numerous media outlets and countless journalists into thinking you were on the level. Pay attention @MarkReardonKMOX @KMOXPD Scott thinks he can survive this.</t>
  </si>
  <si>
    <t>@RLLohmann @RGreggKeller @cody4mo @edemery Hey Becky, does @cody4mo know you like to hang w @scottfaughn ?????  We know.....you should pick your friends better.   You &amp;amp; @RGreggKeller represent tax credit kings?  Did you have anything to do with the payment to Watkins? @EricGreitens @KMOXKilleen @MarkReardonKMOX @kmoxnews</t>
  </si>
  <si>
    <t>@RGreggKeller So @RGreggKeller : which client of yours is paying you to trash @EricGreitens ?  I mean, you’re running interference to distract from all the banks who lost out on tax credits &amp;amp; put the hit on Greitens. But shouldn’t you acknowledge your patrons? @scottfaughn didn’t. Look at him.</t>
  </si>
  <si>
    <t>@tonymess @scottfaughn @EricGreitens Tony, are you seriously suggesting @EricGreitens fundraising, and @scottfaughn ‘s yellow dog journalism are equivalent?  Perhaps you need a refresher in both logic and media ethics. #WeakAssPropagandaNSheeit</t>
  </si>
  <si>
    <t>@RGreggKeller Oh, @RGreggKeller , you must have been busy rubbin elbows w fat cats in DC.  Must not have heard the news. @scottfaughn was outed as the bag man for those pushing the @EricGreitens scandal on the public.   Geez, read the post dispatch or something.</t>
  </si>
  <si>
    <t>@charliekmox You’re a good man.  Don’t always agree w you, but thanks for having the integrity and courage to condemn @scottfaughn ‘s conflict of interest and misuse of KMOX as his propaganda machine.  @kmoxnews @KMOXKilleen @MarkReardonKMOX #ScammingScott</t>
  </si>
  <si>
    <t>@MarkReardonKMOX @scottfaughn Mark: so, the planned excuse he thought he could float (the lie that the money was for his own representation) went up like a lead balloon on TIAM Overtime.  He retreats to under his rock to gin up new BS.@charliekmox @DebbieMonterrey @KMOXPD #BackToTheDrawingBoard #ScammingScott</t>
  </si>
  <si>
    <t>@ws_missouri Thanks.  Now go be a real journalist instead of an echo chamber Choirboy picking low-hanging fruit.</t>
  </si>
  <si>
    <t>@JW1057 @ws_missouri @JW1057 : damn, son you read! I only wish the journalists covering the #DumpsterFireGreitensInquisition actually read....or thought for themselves.......or published shit that from sources other than a @jaybarnes5 press release.</t>
  </si>
  <si>
    <t>@ws_missouri That’s some top notch journo investigatin work, boy.  Way to get off your ass and do some work.  #SchmittyIsSlow  #WeakAssPropagandaNSheeeeit</t>
  </si>
  <si>
    <t>@ws_missouri @ws_missouri : and you wonder why people call your reporting biased?  You is SLLLLOOOOOOOOOOOWWWW.  It’s called the listening to your defense attorney.  If you ever get charged, I’ll be sure to demand you answer my questions, too. #SchmittyIsSlow  #WeakAssPropagandaNSheeeeit</t>
  </si>
  <si>
    <t>@ws_missouri @ws_missouri : “extrapolated” by whom?  That’s her word, friend.  #SchmittyIsSlow #WeakAssPropagandaNSheeeeit</t>
  </si>
  <si>
    <t>@ws_missouri Do you report on anything else?</t>
  </si>
  <si>
    <t>@ws_missouri Not looking too baseless when the owner of a media outfit turns out to be the bag man ginning up the scandal.  Are you slow or somethin? Wow.  @scottfaughn @EricGreitens #scammingscott</t>
  </si>
  <si>
    <t>RT @VisioDeiFromLA: Good point 
#moleg #mogov #greitens 
#stlouis 
@EricGreitens @Eric_Schmitt @MissouriGOP @kmoxnews @MarkReardonKMOX ht…</t>
  </si>
  <si>
    <t>RT @EdBigCon: @ws_missouri Hey Fools! We told you it was the tax credits weeks ago! #moleg</t>
  </si>
  <si>
    <t>RT @CStamper_: As of a few months ago deceptive media hack Scott Faughn was so broke he couldn’t even pay a bill that was under $1,500. He…</t>
  </si>
  <si>
    <t>@kmoxnews In a related story, @scottfaughn ‘s affiliation w KMOX reduces KMOX’s credibility......as well as that of @KMOXPD @MarkReardonKMOX @DebbieMonterrey ..... #played #scammingscott  #greitensInquisition does it bother you, being Scott’s waterboy?</t>
  </si>
  <si>
    <t>@RiverfrontTimes YOU asked @KMOXPD @MarkReardonKMOX @DebbieMonterrey @johnrhancock @mskstl what they plan on doing, since “journalist” @scottfaughn couriered cash to facilitate a political lynching and never told KMOX listeners about it?? Pretending to be a disinterested observer? #scammingScott</t>
  </si>
  <si>
    <t>@Str8DonLemon @VisioDeiFromLA @MOHouseGOP @EricGreitens @paulcurtman @MissouriGOP @rexsinquefield</t>
  </si>
  <si>
    <t>@kmoxnews @MarkReardonKMOX Mark:  are you going to open up an investigation of @scottfaughn ????  #scammingScott .......what about @KMOXPD</t>
  </si>
  <si>
    <t>@kmoxnews @MarkReardonKMOX @DebbieMonterrey @charliekmox @johnrhancock @mskstl @KMOXPD @KMOXKilleen @scottfaughn @EricGreitens .  HEY! which one the following words doesn’t belong in the series: KMOX, ETHICS, @scottfaughn  ??? #scammingScott https://t.co/tFc85KBVyt</t>
  </si>
  <si>
    <t>@charliekmox @kmoxnews @KMOXPD @johnrhancock @mskstl @DebbieMonterrey @MarkReardonKMOX @scottfaughn @EricGreitens SO WHAT IS KMOX GOING TO DO ABOUT THIS BREACH OF JOURNALISTIC ETHICS.....YOUR AUDIENCE HAS BEEN LIED TO....FOR MONTHS.  &amp;amp; who paid $$? #scammingScott https://t.co/DvVPziCnCl</t>
  </si>
  <si>
    <t>@KMOXPD @charliekmox @DebbieMonterrey @johnrhancock @mskstl @MarkReardonKMOX  hey KMOX:  so what do you think about @scottfaughn operating as a bag man scandal starter re @EricGreitens   All the whole playing disinterested observer and journalist.  Conflict of interest anyone?</t>
  </si>
  <si>
    <t>@KMOXPD @charliekmox @DebbieMonterrey @mskstl @johnrhancock</t>
  </si>
  <si>
    <t>@MarkReardonKMOX @scottfaughn Mark:  if you did this, do you think KMOX would terminate you for such a breach of journalistic ethics?  I do. Faughn has been masquerading FOR MONTHS. #scammingScott  @EricGreitens</t>
  </si>
  <si>
    <t>@MarkReardonKMOX @scottfaughn Mark:  @scottfaughn holds himself out as a disinterested journalist and has commented about @EricGreitens  repeatedly.  Don’t you think this is a conflict of interest and ethical breach?  What are YOU going to do to make it right?  Will you ask him for a public apology?</t>
  </si>
  <si>
    <t>@scottfaughn @EricGreitens Hey @scottfaughn:  do you think it’s ethical to secretly fund a scandal, sensationalize it, and then play journalist- as if you had nothing to do with it?</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</si>
</sst>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1714"/>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HYPERLINK("http://www.twitter.com/NathanBLawrence/status/997236930726285313", "997236930726285313")</f>
        <v/>
      </c>
      <c r="B2" s="2" t="n">
        <v>43237.92113425926</v>
      </c>
      <c r="C2" t="n">
        <v>0</v>
      </c>
      <c r="D2" t="n">
        <v>2</v>
      </c>
      <c r="E2" t="s">
        <v>13</v>
      </c>
      <c r="F2" t="s"/>
      <c r="G2" t="s"/>
      <c r="H2" t="s"/>
      <c r="I2" t="s"/>
      <c r="J2" t="n">
        <v>-0.3612</v>
      </c>
      <c r="K2" t="n">
        <v>0.098</v>
      </c>
      <c r="L2" t="n">
        <v>0.902</v>
      </c>
      <c r="M2" t="n">
        <v>0</v>
      </c>
    </row>
    <row r="3" spans="1:13">
      <c r="A3" s="1">
        <f>HYPERLINK("http://www.twitter.com/NathanBLawrence/status/997234129941954560", "997234129941954560")</f>
        <v/>
      </c>
      <c r="B3" s="2" t="n">
        <v>43237.91340277778</v>
      </c>
      <c r="C3" t="n">
        <v>0</v>
      </c>
      <c r="D3" t="n">
        <v>0</v>
      </c>
      <c r="E3" t="s">
        <v>14</v>
      </c>
      <c r="F3">
        <f>HYPERLINK("http://pbs.twimg.com/media/DdbjJpWUwAAj51N.jpg", "http://pbs.twimg.com/media/DdbjJpWUwAAj51N.jpg")</f>
        <v/>
      </c>
      <c r="G3" t="s"/>
      <c r="H3" t="s"/>
      <c r="I3" t="s"/>
      <c r="J3" t="n">
        <v>0</v>
      </c>
      <c r="K3" t="n">
        <v>0</v>
      </c>
      <c r="L3" t="n">
        <v>1</v>
      </c>
      <c r="M3" t="n">
        <v>0</v>
      </c>
    </row>
    <row r="4" spans="1:13">
      <c r="A4" s="1">
        <f>HYPERLINK("http://www.twitter.com/NathanBLawrence/status/997233517519081472", "997233517519081472")</f>
        <v/>
      </c>
      <c r="B4" s="2" t="n">
        <v>43237.91171296296</v>
      </c>
      <c r="C4" t="n">
        <v>1</v>
      </c>
      <c r="D4" t="n">
        <v>0</v>
      </c>
      <c r="E4" t="s">
        <v>15</v>
      </c>
      <c r="F4">
        <f>HYPERLINK("http://pbs.twimg.com/media/DdbilvkVAAEGEE3.jpg", "http://pbs.twimg.com/media/DdbilvkVAAEGEE3.jpg")</f>
        <v/>
      </c>
      <c r="G4" t="s"/>
      <c r="H4" t="s"/>
      <c r="I4" t="s"/>
      <c r="J4" t="n">
        <v>0.8591</v>
      </c>
      <c r="K4" t="n">
        <v>0</v>
      </c>
      <c r="L4" t="n">
        <v>0.839</v>
      </c>
      <c r="M4" t="n">
        <v>0.161</v>
      </c>
    </row>
    <row r="5" spans="1:13">
      <c r="A5" s="1">
        <f>HYPERLINK("http://www.twitter.com/NathanBLawrence/status/997232847390994432", "997232847390994432")</f>
        <v/>
      </c>
      <c r="B5" s="2" t="n">
        <v>43237.90987268519</v>
      </c>
      <c r="C5" t="n">
        <v>2</v>
      </c>
      <c r="D5" t="n">
        <v>0</v>
      </c>
      <c r="E5" t="s">
        <v>16</v>
      </c>
      <c r="F5">
        <f>HYPERLINK("http://pbs.twimg.com/media/Ddbh_C0UQAAII1u.jpg", "http://pbs.twimg.com/media/Ddbh_C0UQAAII1u.jpg")</f>
        <v/>
      </c>
      <c r="G5" t="s"/>
      <c r="H5" t="s"/>
      <c r="I5" t="s"/>
      <c r="J5" t="n">
        <v>-0.9433</v>
      </c>
      <c r="K5" t="n">
        <v>0.238</v>
      </c>
      <c r="L5" t="n">
        <v>0.738</v>
      </c>
      <c r="M5" t="n">
        <v>0.024</v>
      </c>
    </row>
    <row r="6" spans="1:13">
      <c r="A6" s="1">
        <f>HYPERLINK("http://www.twitter.com/NathanBLawrence/status/997232170535194625", "997232170535194625")</f>
        <v/>
      </c>
      <c r="B6" s="2" t="n">
        <v>43237.90799768519</v>
      </c>
      <c r="C6" t="n">
        <v>1</v>
      </c>
      <c r="D6" t="n">
        <v>0</v>
      </c>
      <c r="E6" t="s">
        <v>17</v>
      </c>
      <c r="F6">
        <f>HYPERLINK("http://pbs.twimg.com/media/DdbhXmgV4AE59yU.jpg", "http://pbs.twimg.com/media/DdbhXmgV4AE59yU.jpg")</f>
        <v/>
      </c>
      <c r="G6" t="s"/>
      <c r="H6" t="s"/>
      <c r="I6" t="s"/>
      <c r="J6" t="n">
        <v>0</v>
      </c>
      <c r="K6" t="n">
        <v>0</v>
      </c>
      <c r="L6" t="n">
        <v>1</v>
      </c>
      <c r="M6" t="n">
        <v>0</v>
      </c>
    </row>
    <row r="7" spans="1:13">
      <c r="A7" s="1">
        <f>HYPERLINK("http://www.twitter.com/NathanBLawrence/status/997231077713465344", "997231077713465344")</f>
        <v/>
      </c>
      <c r="B7" s="2" t="n">
        <v>43237.90498842593</v>
      </c>
      <c r="C7" t="n">
        <v>1</v>
      </c>
      <c r="D7" t="n">
        <v>0</v>
      </c>
      <c r="E7" t="s">
        <v>18</v>
      </c>
      <c r="F7" t="s"/>
      <c r="G7" t="s"/>
      <c r="H7" t="s"/>
      <c r="I7" t="s"/>
      <c r="J7" t="n">
        <v>0.4019</v>
      </c>
      <c r="K7" t="n">
        <v>0</v>
      </c>
      <c r="L7" t="n">
        <v>0.952</v>
      </c>
      <c r="M7" t="n">
        <v>0.048</v>
      </c>
    </row>
    <row r="8" spans="1:13">
      <c r="A8" s="1">
        <f>HYPERLINK("http://www.twitter.com/NathanBLawrence/status/997230057788669952", "997230057788669952")</f>
        <v/>
      </c>
      <c r="B8" s="2" t="n">
        <v>43237.90217592593</v>
      </c>
      <c r="C8" t="n">
        <v>1</v>
      </c>
      <c r="D8" t="n">
        <v>1</v>
      </c>
      <c r="E8" t="s">
        <v>19</v>
      </c>
      <c r="F8">
        <f>HYPERLINK("http://pbs.twimg.com/media/DdbfcyiUQAAya31.jpg", "http://pbs.twimg.com/media/DdbfcyiUQAAya31.jpg")</f>
        <v/>
      </c>
      <c r="G8" t="s"/>
      <c r="H8" t="s"/>
      <c r="I8" t="s"/>
      <c r="J8" t="n">
        <v>0.2942</v>
      </c>
      <c r="K8" t="n">
        <v>0</v>
      </c>
      <c r="L8" t="n">
        <v>0.922</v>
      </c>
      <c r="M8" t="n">
        <v>0.078</v>
      </c>
    </row>
    <row r="9" spans="1:13">
      <c r="A9" s="1">
        <f>HYPERLINK("http://www.twitter.com/NathanBLawrence/status/997227508989915136", "997227508989915136")</f>
        <v/>
      </c>
      <c r="B9" s="2" t="n">
        <v>43237.89513888889</v>
      </c>
      <c r="C9" t="n">
        <v>0</v>
      </c>
      <c r="D9" t="n">
        <v>1</v>
      </c>
      <c r="E9" t="s">
        <v>20</v>
      </c>
      <c r="F9" t="s"/>
      <c r="G9" t="s"/>
      <c r="H9" t="s"/>
      <c r="I9" t="s"/>
      <c r="J9" t="n">
        <v>0</v>
      </c>
      <c r="K9" t="n">
        <v>0</v>
      </c>
      <c r="L9" t="n">
        <v>1</v>
      </c>
      <c r="M9" t="n">
        <v>0</v>
      </c>
    </row>
    <row r="10" spans="1:13">
      <c r="A10" s="1">
        <f>HYPERLINK("http://www.twitter.com/NathanBLawrence/status/997227030008786944", "997227030008786944")</f>
        <v/>
      </c>
      <c r="B10" s="2" t="n">
        <v>43237.89381944444</v>
      </c>
      <c r="C10" t="n">
        <v>0</v>
      </c>
      <c r="D10" t="n">
        <v>2</v>
      </c>
      <c r="E10" t="s">
        <v>21</v>
      </c>
      <c r="F10" t="s"/>
      <c r="G10" t="s"/>
      <c r="H10" t="s"/>
      <c r="I10" t="s"/>
      <c r="J10" t="n">
        <v>0</v>
      </c>
      <c r="K10" t="n">
        <v>0</v>
      </c>
      <c r="L10" t="n">
        <v>1</v>
      </c>
      <c r="M10" t="n">
        <v>0</v>
      </c>
    </row>
    <row r="11" spans="1:13">
      <c r="A11" s="1">
        <f>HYPERLINK("http://www.twitter.com/NathanBLawrence/status/997220332648960001", "997220332648960001")</f>
        <v/>
      </c>
      <c r="B11" s="2" t="n">
        <v>43237.87533564815</v>
      </c>
      <c r="C11" t="n">
        <v>0</v>
      </c>
      <c r="D11" t="n">
        <v>1</v>
      </c>
      <c r="E11" t="s">
        <v>22</v>
      </c>
      <c r="F11">
        <f>HYPERLINK("http://pbs.twimg.com/media/DdauEJRUQAAtsWt.jpg", "http://pbs.twimg.com/media/DdauEJRUQAAtsWt.jpg")</f>
        <v/>
      </c>
      <c r="G11" t="s"/>
      <c r="H11" t="s"/>
      <c r="I11" t="s"/>
      <c r="J11" t="n">
        <v>0</v>
      </c>
      <c r="K11" t="n">
        <v>0</v>
      </c>
      <c r="L11" t="n">
        <v>1</v>
      </c>
      <c r="M11" t="n">
        <v>0</v>
      </c>
    </row>
    <row r="12" spans="1:13">
      <c r="A12" s="1">
        <f>HYPERLINK("http://www.twitter.com/NathanBLawrence/status/997220297911742469", "997220297911742469")</f>
        <v/>
      </c>
      <c r="B12" s="2" t="n">
        <v>43237.87524305555</v>
      </c>
      <c r="C12" t="n">
        <v>0</v>
      </c>
      <c r="D12" t="n">
        <v>2</v>
      </c>
      <c r="E12" t="s">
        <v>23</v>
      </c>
      <c r="F12" t="s"/>
      <c r="G12" t="s"/>
      <c r="H12" t="s"/>
      <c r="I12" t="s"/>
      <c r="J12" t="n">
        <v>-0.2462</v>
      </c>
      <c r="K12" t="n">
        <v>0.135</v>
      </c>
      <c r="L12" t="n">
        <v>0.777</v>
      </c>
      <c r="M12" t="n">
        <v>0.08699999999999999</v>
      </c>
    </row>
    <row r="13" spans="1:13">
      <c r="A13" s="1">
        <f>HYPERLINK("http://www.twitter.com/NathanBLawrence/status/997220269583368193", "997220269583368193")</f>
        <v/>
      </c>
      <c r="B13" s="2" t="n">
        <v>43237.87516203704</v>
      </c>
      <c r="C13" t="n">
        <v>0</v>
      </c>
      <c r="D13" t="n">
        <v>2</v>
      </c>
      <c r="E13" t="s">
        <v>24</v>
      </c>
      <c r="F13">
        <f>HYPERLINK("http://pbs.twimg.com/media/DdaodslV4AAlJzu.jpg", "http://pbs.twimg.com/media/DdaodslV4AAlJzu.jpg")</f>
        <v/>
      </c>
      <c r="G13" t="s"/>
      <c r="H13" t="s"/>
      <c r="I13" t="s"/>
      <c r="J13" t="n">
        <v>-0.7989000000000001</v>
      </c>
      <c r="K13" t="n">
        <v>0.244</v>
      </c>
      <c r="L13" t="n">
        <v>0.756</v>
      </c>
      <c r="M13" t="n">
        <v>0</v>
      </c>
    </row>
    <row r="14" spans="1:13">
      <c r="A14" s="1">
        <f>HYPERLINK("http://www.twitter.com/NathanBLawrence/status/997220235198500864", "997220235198500864")</f>
        <v/>
      </c>
      <c r="B14" s="2" t="n">
        <v>43237.87506944445</v>
      </c>
      <c r="C14" t="n">
        <v>0</v>
      </c>
      <c r="D14" t="n">
        <v>1</v>
      </c>
      <c r="E14" t="s">
        <v>25</v>
      </c>
      <c r="F14">
        <f>HYPERLINK("http://pbs.twimg.com/media/DdanBsoVwAAL0gY.jpg", "http://pbs.twimg.com/media/DdanBsoVwAAL0gY.jpg")</f>
        <v/>
      </c>
      <c r="G14" t="s"/>
      <c r="H14" t="s"/>
      <c r="I14" t="s"/>
      <c r="J14" t="n">
        <v>-0.4767</v>
      </c>
      <c r="K14" t="n">
        <v>0.204</v>
      </c>
      <c r="L14" t="n">
        <v>0.796</v>
      </c>
      <c r="M14" t="n">
        <v>0</v>
      </c>
    </row>
    <row r="15" spans="1:13">
      <c r="A15" s="1">
        <f>HYPERLINK("http://www.twitter.com/NathanBLawrence/status/997220214550007809", "997220214550007809")</f>
        <v/>
      </c>
      <c r="B15" s="2" t="n">
        <v>43237.87501157408</v>
      </c>
      <c r="C15" t="n">
        <v>0</v>
      </c>
      <c r="D15" t="n">
        <v>2</v>
      </c>
      <c r="E15" t="s">
        <v>26</v>
      </c>
      <c r="F15">
        <f>HYPERLINK("http://pbs.twimg.com/media/DdamV_uVAAUvawv.jpg", "http://pbs.twimg.com/media/DdamV_uVAAUvawv.jpg")</f>
        <v/>
      </c>
      <c r="G15" t="s"/>
      <c r="H15" t="s"/>
      <c r="I15" t="s"/>
      <c r="J15" t="n">
        <v>0</v>
      </c>
      <c r="K15" t="n">
        <v>0</v>
      </c>
      <c r="L15" t="n">
        <v>1</v>
      </c>
      <c r="M15" t="n">
        <v>0</v>
      </c>
    </row>
    <row r="16" spans="1:13">
      <c r="A16" s="1">
        <f>HYPERLINK("http://www.twitter.com/NathanBLawrence/status/997220196820676609", "997220196820676609")</f>
        <v/>
      </c>
      <c r="B16" s="2" t="n">
        <v>43237.87496527778</v>
      </c>
      <c r="C16" t="n">
        <v>0</v>
      </c>
      <c r="D16" t="n">
        <v>1</v>
      </c>
      <c r="E16" t="s">
        <v>27</v>
      </c>
      <c r="F16">
        <f>HYPERLINK("http://pbs.twimg.com/media/Ddal48RVwAAhV3n.jpg", "http://pbs.twimg.com/media/Ddal48RVwAAhV3n.jpg")</f>
        <v/>
      </c>
      <c r="G16" t="s"/>
      <c r="H16" t="s"/>
      <c r="I16" t="s"/>
      <c r="J16" t="n">
        <v>0</v>
      </c>
      <c r="K16" t="n">
        <v>0</v>
      </c>
      <c r="L16" t="n">
        <v>1</v>
      </c>
      <c r="M16" t="n">
        <v>0</v>
      </c>
    </row>
    <row r="17" spans="1:13">
      <c r="A17" s="1">
        <f>HYPERLINK("http://www.twitter.com/NathanBLawrence/status/997220179473027072", "997220179473027072")</f>
        <v/>
      </c>
      <c r="B17" s="2" t="n">
        <v>43237.87490740741</v>
      </c>
      <c r="C17" t="n">
        <v>0</v>
      </c>
      <c r="D17" t="n">
        <v>2</v>
      </c>
      <c r="E17" t="s">
        <v>28</v>
      </c>
      <c r="F17">
        <f>HYPERLINK("http://pbs.twimg.com/media/DdalxPAUwAEV0yP.jpg", "http://pbs.twimg.com/media/DdalxPAUwAEV0yP.jpg")</f>
        <v/>
      </c>
      <c r="G17" t="s"/>
      <c r="H17" t="s"/>
      <c r="I17" t="s"/>
      <c r="J17" t="n">
        <v>0.4389</v>
      </c>
      <c r="K17" t="n">
        <v>0</v>
      </c>
      <c r="L17" t="n">
        <v>0.829</v>
      </c>
      <c r="M17" t="n">
        <v>0.171</v>
      </c>
    </row>
    <row r="18" spans="1:13">
      <c r="A18" s="1">
        <f>HYPERLINK("http://www.twitter.com/NathanBLawrence/status/997220108434137088", "997220108434137088")</f>
        <v/>
      </c>
      <c r="B18" s="2" t="n">
        <v>43237.87471064815</v>
      </c>
      <c r="C18" t="n">
        <v>0</v>
      </c>
      <c r="D18" t="n">
        <v>3</v>
      </c>
      <c r="E18" t="s">
        <v>29</v>
      </c>
      <c r="F18">
        <f>HYPERLINK("http://pbs.twimg.com/media/DdZ4oF3W0AAmNpL.jpg", "http://pbs.twimg.com/media/DdZ4oF3W0AAmNpL.jpg")</f>
        <v/>
      </c>
      <c r="G18" t="s"/>
      <c r="H18" t="s"/>
      <c r="I18" t="s"/>
      <c r="J18" t="n">
        <v>-0.128</v>
      </c>
      <c r="K18" t="n">
        <v>0.081</v>
      </c>
      <c r="L18" t="n">
        <v>0.919</v>
      </c>
      <c r="M18" t="n">
        <v>0</v>
      </c>
    </row>
    <row r="19" spans="1:13">
      <c r="A19" s="1">
        <f>HYPERLINK("http://www.twitter.com/NathanBLawrence/status/997220093594619904", "997220093594619904")</f>
        <v/>
      </c>
      <c r="B19" s="2" t="n">
        <v>43237.87467592592</v>
      </c>
      <c r="C19" t="n">
        <v>0</v>
      </c>
      <c r="D19" t="n">
        <v>1</v>
      </c>
      <c r="E19" t="s">
        <v>30</v>
      </c>
      <c r="F19">
        <f>HYPERLINK("http://pbs.twimg.com/media/DdZ3-26VwAAGMv-.jpg", "http://pbs.twimg.com/media/DdZ3-26VwAAGMv-.jpg")</f>
        <v/>
      </c>
      <c r="G19" t="s"/>
      <c r="H19" t="s"/>
      <c r="I19" t="s"/>
      <c r="J19" t="n">
        <v>0.765</v>
      </c>
      <c r="K19" t="n">
        <v>0</v>
      </c>
      <c r="L19" t="n">
        <v>0.616</v>
      </c>
      <c r="M19" t="n">
        <v>0.384</v>
      </c>
    </row>
    <row r="20" spans="1:13">
      <c r="A20" s="1">
        <f>HYPERLINK("http://www.twitter.com/NathanBLawrence/status/997220041115471872", "997220041115471872")</f>
        <v/>
      </c>
      <c r="B20" s="2" t="n">
        <v>43237.87452546296</v>
      </c>
      <c r="C20" t="n">
        <v>0</v>
      </c>
      <c r="D20" t="n">
        <v>2</v>
      </c>
      <c r="E20" t="s">
        <v>31</v>
      </c>
      <c r="F20">
        <f>HYPERLINK("http://pbs.twimg.com/media/DdZ3bEfV0AIIqDo.jpg", "http://pbs.twimg.com/media/DdZ3bEfV0AIIqDo.jpg")</f>
        <v/>
      </c>
      <c r="G20" t="s"/>
      <c r="H20" t="s"/>
      <c r="I20" t="s"/>
      <c r="J20" t="n">
        <v>0.3612</v>
      </c>
      <c r="K20" t="n">
        <v>0</v>
      </c>
      <c r="L20" t="n">
        <v>0.894</v>
      </c>
      <c r="M20" t="n">
        <v>0.106</v>
      </c>
    </row>
    <row r="21" spans="1:13">
      <c r="A21" s="1">
        <f>HYPERLINK("http://www.twitter.com/NathanBLawrence/status/997219953639149569", "997219953639149569")</f>
        <v/>
      </c>
      <c r="B21" s="2" t="n">
        <v>43237.87429398148</v>
      </c>
      <c r="C21" t="n">
        <v>0</v>
      </c>
      <c r="D21" t="n">
        <v>1</v>
      </c>
      <c r="E21" t="s">
        <v>32</v>
      </c>
      <c r="F21" t="s"/>
      <c r="G21" t="s"/>
      <c r="H21" t="s"/>
      <c r="I21" t="s"/>
      <c r="J21" t="n">
        <v>-0.2732</v>
      </c>
      <c r="K21" t="n">
        <v>0.218</v>
      </c>
      <c r="L21" t="n">
        <v>0.569</v>
      </c>
      <c r="M21" t="n">
        <v>0.213</v>
      </c>
    </row>
    <row r="22" spans="1:13">
      <c r="A22" s="1">
        <f>HYPERLINK("http://www.twitter.com/NathanBLawrence/status/997219903236132864", "997219903236132864")</f>
        <v/>
      </c>
      <c r="B22" s="2" t="n">
        <v>43237.87415509259</v>
      </c>
      <c r="C22" t="n">
        <v>0</v>
      </c>
      <c r="D22" t="n">
        <v>4</v>
      </c>
      <c r="E22" t="s">
        <v>33</v>
      </c>
      <c r="F22" t="s"/>
      <c r="G22" t="s"/>
      <c r="H22" t="s"/>
      <c r="I22" t="s"/>
      <c r="J22" t="n">
        <v>0</v>
      </c>
      <c r="K22" t="n">
        <v>0</v>
      </c>
      <c r="L22" t="n">
        <v>1</v>
      </c>
      <c r="M22" t="n">
        <v>0</v>
      </c>
    </row>
    <row r="23" spans="1:13">
      <c r="A23" s="1">
        <f>HYPERLINK("http://www.twitter.com/NathanBLawrence/status/997219819786252293", "997219819786252293")</f>
        <v/>
      </c>
      <c r="B23" s="2" t="n">
        <v>43237.87392361111</v>
      </c>
      <c r="C23" t="n">
        <v>0</v>
      </c>
      <c r="D23" t="n">
        <v>1</v>
      </c>
      <c r="E23" t="s">
        <v>34</v>
      </c>
      <c r="F23">
        <f>HYPERLINK("http://pbs.twimg.com/media/DdXs47pVQAETkIl.jpg", "http://pbs.twimg.com/media/DdXs47pVQAETkIl.jpg")</f>
        <v/>
      </c>
      <c r="G23" t="s"/>
      <c r="H23" t="s"/>
      <c r="I23" t="s"/>
      <c r="J23" t="n">
        <v>-0.4981</v>
      </c>
      <c r="K23" t="n">
        <v>0.118</v>
      </c>
      <c r="L23" t="n">
        <v>0.882</v>
      </c>
      <c r="M23" t="n">
        <v>0</v>
      </c>
    </row>
    <row r="24" spans="1:13">
      <c r="A24" s="1">
        <f>HYPERLINK("http://www.twitter.com/NathanBLawrence/status/997219729159966720", "997219729159966720")</f>
        <v/>
      </c>
      <c r="B24" s="2" t="n">
        <v>43237.87366898148</v>
      </c>
      <c r="C24" t="n">
        <v>0</v>
      </c>
      <c r="D24" t="n">
        <v>1</v>
      </c>
      <c r="E24" t="s">
        <v>35</v>
      </c>
      <c r="F24">
        <f>HYPERLINK("http://pbs.twimg.com/media/DdXqp6uVAAAr_rP.jpg", "http://pbs.twimg.com/media/DdXqp6uVAAAr_rP.jpg")</f>
        <v/>
      </c>
      <c r="G24" t="s"/>
      <c r="H24" t="s"/>
      <c r="I24" t="s"/>
      <c r="J24" t="n">
        <v>0</v>
      </c>
      <c r="K24" t="n">
        <v>0</v>
      </c>
      <c r="L24" t="n">
        <v>1</v>
      </c>
      <c r="M24" t="n">
        <v>0</v>
      </c>
    </row>
    <row r="25" spans="1:13">
      <c r="A25" s="1">
        <f>HYPERLINK("http://www.twitter.com/NathanBLawrence/status/997219661329698816", "997219661329698816")</f>
        <v/>
      </c>
      <c r="B25" s="2" t="n">
        <v>43237.8734837963</v>
      </c>
      <c r="C25" t="n">
        <v>0</v>
      </c>
      <c r="D25" t="n">
        <v>2</v>
      </c>
      <c r="E25" t="s">
        <v>36</v>
      </c>
      <c r="F25">
        <f>HYPERLINK("http://pbs.twimg.com/media/DdXjfdbV0AApc9V.jpg", "http://pbs.twimg.com/media/DdXjfdbV0AApc9V.jpg")</f>
        <v/>
      </c>
      <c r="G25" t="s"/>
      <c r="H25" t="s"/>
      <c r="I25" t="s"/>
      <c r="J25" t="n">
        <v>0</v>
      </c>
      <c r="K25" t="n">
        <v>0</v>
      </c>
      <c r="L25" t="n">
        <v>1</v>
      </c>
      <c r="M25" t="n">
        <v>0</v>
      </c>
    </row>
    <row r="26" spans="1:13">
      <c r="A26" s="1">
        <f>HYPERLINK("http://www.twitter.com/NathanBLawrence/status/997219644183326720", "997219644183326720")</f>
        <v/>
      </c>
      <c r="B26" s="2" t="n">
        <v>43237.8734375</v>
      </c>
      <c r="C26" t="n">
        <v>0</v>
      </c>
      <c r="D26" t="n">
        <v>3</v>
      </c>
      <c r="E26" t="s">
        <v>37</v>
      </c>
      <c r="F26">
        <f>HYPERLINK("http://pbs.twimg.com/media/DdXfBF1UwAA3ucv.jpg", "http://pbs.twimg.com/media/DdXfBF1UwAA3ucv.jpg")</f>
        <v/>
      </c>
      <c r="G26" t="s"/>
      <c r="H26" t="s"/>
      <c r="I26" t="s"/>
      <c r="J26" t="n">
        <v>-0.2716</v>
      </c>
      <c r="K26" t="n">
        <v>0.15</v>
      </c>
      <c r="L26" t="n">
        <v>0.749</v>
      </c>
      <c r="M26" t="n">
        <v>0.101</v>
      </c>
    </row>
    <row r="27" spans="1:13">
      <c r="A27" s="1">
        <f>HYPERLINK("http://www.twitter.com/NathanBLawrence/status/997219568199323648", "997219568199323648")</f>
        <v/>
      </c>
      <c r="B27" s="2" t="n">
        <v>43237.87322916667</v>
      </c>
      <c r="C27" t="n">
        <v>0</v>
      </c>
      <c r="D27" t="n">
        <v>2</v>
      </c>
      <c r="E27" t="s">
        <v>38</v>
      </c>
      <c r="F27">
        <f>HYPERLINK("http://pbs.twimg.com/media/DdXOvYFV0AA3Aot.jpg", "http://pbs.twimg.com/media/DdXOvYFV0AA3Aot.jpg")</f>
        <v/>
      </c>
      <c r="G27" t="s"/>
      <c r="H27" t="s"/>
      <c r="I27" t="s"/>
      <c r="J27" t="n">
        <v>0</v>
      </c>
      <c r="K27" t="n">
        <v>0</v>
      </c>
      <c r="L27" t="n">
        <v>1</v>
      </c>
      <c r="M27" t="n">
        <v>0</v>
      </c>
    </row>
    <row r="28" spans="1:13">
      <c r="A28" s="1">
        <f>HYPERLINK("http://www.twitter.com/NathanBLawrence/status/997219527355224065", "997219527355224065")</f>
        <v/>
      </c>
      <c r="B28" s="2" t="n">
        <v>43237.87311342593</v>
      </c>
      <c r="C28" t="n">
        <v>0</v>
      </c>
      <c r="D28" t="n">
        <v>2</v>
      </c>
      <c r="E28" t="s">
        <v>39</v>
      </c>
      <c r="F28">
        <f>HYPERLINK("http://pbs.twimg.com/media/DdXS2HoU0AAuxwl.jpg", "http://pbs.twimg.com/media/DdXS2HoU0AAuxwl.jpg")</f>
        <v/>
      </c>
      <c r="G28" t="s"/>
      <c r="H28" t="s"/>
      <c r="I28" t="s"/>
      <c r="J28" t="n">
        <v>0.7579</v>
      </c>
      <c r="K28" t="n">
        <v>0</v>
      </c>
      <c r="L28" t="n">
        <v>0.717</v>
      </c>
      <c r="M28" t="n">
        <v>0.283</v>
      </c>
    </row>
    <row r="29" spans="1:13">
      <c r="A29" s="1">
        <f>HYPERLINK("http://www.twitter.com/NathanBLawrence/status/997219196873379841", "997219196873379841")</f>
        <v/>
      </c>
      <c r="B29" s="2" t="n">
        <v>43237.87219907407</v>
      </c>
      <c r="C29" t="n">
        <v>0</v>
      </c>
      <c r="D29" t="n">
        <v>2</v>
      </c>
      <c r="E29" t="s">
        <v>40</v>
      </c>
      <c r="F29" t="s"/>
      <c r="G29" t="s"/>
      <c r="H29" t="s"/>
      <c r="I29" t="s"/>
      <c r="J29" t="n">
        <v>0</v>
      </c>
      <c r="K29" t="n">
        <v>0</v>
      </c>
      <c r="L29" t="n">
        <v>1</v>
      </c>
      <c r="M29" t="n">
        <v>0</v>
      </c>
    </row>
    <row r="30" spans="1:13">
      <c r="A30" s="1">
        <f>HYPERLINK("http://www.twitter.com/NathanBLawrence/status/997219159934201856", "997219159934201856")</f>
        <v/>
      </c>
      <c r="B30" s="2" t="n">
        <v>43237.8720949074</v>
      </c>
      <c r="C30" t="n">
        <v>0</v>
      </c>
      <c r="D30" t="n">
        <v>1</v>
      </c>
      <c r="E30" t="s">
        <v>41</v>
      </c>
      <c r="F30" t="s"/>
      <c r="G30" t="s"/>
      <c r="H30" t="s"/>
      <c r="I30" t="s"/>
      <c r="J30" t="n">
        <v>0</v>
      </c>
      <c r="K30" t="n">
        <v>0</v>
      </c>
      <c r="L30" t="n">
        <v>1</v>
      </c>
      <c r="M30" t="n">
        <v>0</v>
      </c>
    </row>
    <row r="31" spans="1:13">
      <c r="A31" s="1">
        <f>HYPERLINK("http://www.twitter.com/NathanBLawrence/status/997219126962778113", "997219126962778113")</f>
        <v/>
      </c>
      <c r="B31" s="2" t="n">
        <v>43237.87200231481</v>
      </c>
      <c r="C31" t="n">
        <v>0</v>
      </c>
      <c r="D31" t="n">
        <v>1</v>
      </c>
      <c r="E31" t="s">
        <v>42</v>
      </c>
      <c r="F31" t="s"/>
      <c r="G31" t="s"/>
      <c r="H31" t="s"/>
      <c r="I31" t="s"/>
      <c r="J31" t="n">
        <v>0.68</v>
      </c>
      <c r="K31" t="n">
        <v>0</v>
      </c>
      <c r="L31" t="n">
        <v>0.781</v>
      </c>
      <c r="M31" t="n">
        <v>0.219</v>
      </c>
    </row>
    <row r="32" spans="1:13">
      <c r="A32" s="1">
        <f>HYPERLINK("http://www.twitter.com/NathanBLawrence/status/997218976118829056", "997218976118829056")</f>
        <v/>
      </c>
      <c r="B32" s="2" t="n">
        <v>43237.87158564815</v>
      </c>
      <c r="C32" t="n">
        <v>0</v>
      </c>
      <c r="D32" t="n">
        <v>1</v>
      </c>
      <c r="E32" t="s">
        <v>43</v>
      </c>
      <c r="F32" t="s"/>
      <c r="G32" t="s"/>
      <c r="H32" t="s"/>
      <c r="I32" t="s"/>
      <c r="J32" t="n">
        <v>-0.5266999999999999</v>
      </c>
      <c r="K32" t="n">
        <v>0.221</v>
      </c>
      <c r="L32" t="n">
        <v>0.779</v>
      </c>
      <c r="M32" t="n">
        <v>0</v>
      </c>
    </row>
    <row r="33" spans="1:13">
      <c r="A33" s="1">
        <f>HYPERLINK("http://www.twitter.com/NathanBLawrence/status/997218947769491462", "997218947769491462")</f>
        <v/>
      </c>
      <c r="B33" s="2" t="n">
        <v>43237.8715162037</v>
      </c>
      <c r="C33" t="n">
        <v>0</v>
      </c>
      <c r="D33" t="n">
        <v>2</v>
      </c>
      <c r="E33" t="s">
        <v>44</v>
      </c>
      <c r="F33" t="s"/>
      <c r="G33" t="s"/>
      <c r="H33" t="s"/>
      <c r="I33" t="s"/>
      <c r="J33" t="n">
        <v>-0.5266999999999999</v>
      </c>
      <c r="K33" t="n">
        <v>0.129</v>
      </c>
      <c r="L33" t="n">
        <v>0.871</v>
      </c>
      <c r="M33" t="n">
        <v>0</v>
      </c>
    </row>
    <row r="34" spans="1:13">
      <c r="A34" s="1">
        <f>HYPERLINK("http://www.twitter.com/NathanBLawrence/status/997218885052043266", "997218885052043266")</f>
        <v/>
      </c>
      <c r="B34" s="2" t="n">
        <v>43237.8713425926</v>
      </c>
      <c r="C34" t="n">
        <v>0</v>
      </c>
      <c r="D34" t="n">
        <v>8</v>
      </c>
      <c r="E34" t="s">
        <v>45</v>
      </c>
      <c r="F34" t="s"/>
      <c r="G34" t="s"/>
      <c r="H34" t="s"/>
      <c r="I34" t="s"/>
      <c r="J34" t="n">
        <v>-0.7184</v>
      </c>
      <c r="K34" t="n">
        <v>0.24</v>
      </c>
      <c r="L34" t="n">
        <v>0.694</v>
      </c>
      <c r="M34" t="n">
        <v>0.066</v>
      </c>
    </row>
    <row r="35" spans="1:13">
      <c r="A35" s="1">
        <f>HYPERLINK("http://www.twitter.com/NathanBLawrence/status/997218811941093381", "997218811941093381")</f>
        <v/>
      </c>
      <c r="B35" s="2" t="n">
        <v>43237.87113425926</v>
      </c>
      <c r="C35" t="n">
        <v>0</v>
      </c>
      <c r="D35" t="n">
        <v>21</v>
      </c>
      <c r="E35" t="s">
        <v>46</v>
      </c>
      <c r="F35" t="s"/>
      <c r="G35" t="s"/>
      <c r="H35" t="s"/>
      <c r="I35" t="s"/>
      <c r="J35" t="n">
        <v>0.1235</v>
      </c>
      <c r="K35" t="n">
        <v>0.074</v>
      </c>
      <c r="L35" t="n">
        <v>0.836</v>
      </c>
      <c r="M35" t="n">
        <v>0.09</v>
      </c>
    </row>
    <row r="36" spans="1:13">
      <c r="A36" s="1">
        <f>HYPERLINK("http://www.twitter.com/NathanBLawrence/status/997218562677846016", "997218562677846016")</f>
        <v/>
      </c>
      <c r="B36" s="2" t="n">
        <v>43237.87045138889</v>
      </c>
      <c r="C36" t="n">
        <v>4</v>
      </c>
      <c r="D36" t="n">
        <v>1</v>
      </c>
      <c r="E36" t="s">
        <v>47</v>
      </c>
      <c r="F36">
        <f>HYPERLINK("http://pbs.twimg.com/media/DdbU_lqV0AYeVtv.jpg", "http://pbs.twimg.com/media/DdbU_lqV0AYeVtv.jpg")</f>
        <v/>
      </c>
      <c r="G36" t="s"/>
      <c r="H36" t="s"/>
      <c r="I36" t="s"/>
      <c r="J36" t="n">
        <v>0</v>
      </c>
      <c r="K36" t="n">
        <v>0</v>
      </c>
      <c r="L36" t="n">
        <v>1</v>
      </c>
      <c r="M36" t="n">
        <v>0</v>
      </c>
    </row>
    <row r="37" spans="1:13">
      <c r="A37" s="1">
        <f>HYPERLINK("http://www.twitter.com/NathanBLawrence/status/997209677770485760", "997209677770485760")</f>
        <v/>
      </c>
      <c r="B37" s="2" t="n">
        <v>43237.8459375</v>
      </c>
      <c r="C37" t="n">
        <v>0</v>
      </c>
      <c r="D37" t="n">
        <v>41</v>
      </c>
      <c r="E37" t="s">
        <v>48</v>
      </c>
      <c r="F37" t="s"/>
      <c r="G37" t="s"/>
      <c r="H37" t="s"/>
      <c r="I37" t="s"/>
      <c r="J37" t="n">
        <v>0</v>
      </c>
      <c r="K37" t="n">
        <v>0</v>
      </c>
      <c r="L37" t="n">
        <v>1</v>
      </c>
      <c r="M37" t="n">
        <v>0</v>
      </c>
    </row>
    <row r="38" spans="1:13">
      <c r="A38" s="1">
        <f>HYPERLINK("http://www.twitter.com/NathanBLawrence/status/997181721396293634", "997181721396293634")</f>
        <v/>
      </c>
      <c r="B38" s="2" t="n">
        <v>43237.76878472222</v>
      </c>
      <c r="C38" t="n">
        <v>0</v>
      </c>
      <c r="D38" t="n">
        <v>12</v>
      </c>
      <c r="E38" t="s">
        <v>49</v>
      </c>
      <c r="F38" t="s"/>
      <c r="G38" t="s"/>
      <c r="H38" t="s"/>
      <c r="I38" t="s"/>
      <c r="J38" t="n">
        <v>-0.5106000000000001</v>
      </c>
      <c r="K38" t="n">
        <v>0.13</v>
      </c>
      <c r="L38" t="n">
        <v>0.87</v>
      </c>
      <c r="M38" t="n">
        <v>0</v>
      </c>
    </row>
    <row r="39" spans="1:13">
      <c r="A39" s="1">
        <f>HYPERLINK("http://www.twitter.com/NathanBLawrence/status/997181684813586433", "997181684813586433")</f>
        <v/>
      </c>
      <c r="B39" s="2" t="n">
        <v>43237.76869212963</v>
      </c>
      <c r="C39" t="n">
        <v>0</v>
      </c>
      <c r="D39" t="n">
        <v>2</v>
      </c>
      <c r="E39" t="s">
        <v>50</v>
      </c>
      <c r="F39" t="s"/>
      <c r="G39" t="s"/>
      <c r="H39" t="s"/>
      <c r="I39" t="s"/>
      <c r="J39" t="n">
        <v>0.4019</v>
      </c>
      <c r="K39" t="n">
        <v>0</v>
      </c>
      <c r="L39" t="n">
        <v>0.891</v>
      </c>
      <c r="M39" t="n">
        <v>0.109</v>
      </c>
    </row>
    <row r="40" spans="1:13">
      <c r="A40" s="1">
        <f>HYPERLINK("http://www.twitter.com/NathanBLawrence/status/997181663112253441", "997181663112253441")</f>
        <v/>
      </c>
      <c r="B40" s="2" t="n">
        <v>43237.76862268519</v>
      </c>
      <c r="C40" t="n">
        <v>0</v>
      </c>
      <c r="D40" t="n">
        <v>1</v>
      </c>
      <c r="E40" t="s">
        <v>51</v>
      </c>
      <c r="F40" t="s"/>
      <c r="G40" t="s"/>
      <c r="H40" t="s"/>
      <c r="I40" t="s"/>
      <c r="J40" t="n">
        <v>-0.2462</v>
      </c>
      <c r="K40" t="n">
        <v>0.135</v>
      </c>
      <c r="L40" t="n">
        <v>0.777</v>
      </c>
      <c r="M40" t="n">
        <v>0.08699999999999999</v>
      </c>
    </row>
    <row r="41" spans="1:13">
      <c r="A41" s="1">
        <f>HYPERLINK("http://www.twitter.com/NathanBLawrence/status/997181488142667776", "997181488142667776")</f>
        <v/>
      </c>
      <c r="B41" s="2" t="n">
        <v>43237.76814814815</v>
      </c>
      <c r="C41" t="n">
        <v>0</v>
      </c>
      <c r="D41" t="n">
        <v>10</v>
      </c>
      <c r="E41" t="s">
        <v>52</v>
      </c>
      <c r="F41">
        <f>HYPERLINK("https://video.twimg.com/ext_tw_video/997179013641613312/pu/vid/240x240/uoOk75L5w6u69R0X.mp4?tag=3", "https://video.twimg.com/ext_tw_video/997179013641613312/pu/vid/240x240/uoOk75L5w6u69R0X.mp4?tag=3")</f>
        <v/>
      </c>
      <c r="G41" t="s"/>
      <c r="H41" t="s"/>
      <c r="I41" t="s"/>
      <c r="J41" t="n">
        <v>-0.5266999999999999</v>
      </c>
      <c r="K41" t="n">
        <v>0.188</v>
      </c>
      <c r="L41" t="n">
        <v>0.8120000000000001</v>
      </c>
      <c r="M41" t="n">
        <v>0</v>
      </c>
    </row>
    <row r="42" spans="1:13">
      <c r="A42" s="1">
        <f>HYPERLINK("http://www.twitter.com/NathanBLawrence/status/997180565970477056", "997180565970477056")</f>
        <v/>
      </c>
      <c r="B42" s="2" t="n">
        <v>43237.76560185185</v>
      </c>
      <c r="C42" t="n">
        <v>0</v>
      </c>
      <c r="D42" t="n">
        <v>0</v>
      </c>
      <c r="E42" t="s">
        <v>53</v>
      </c>
      <c r="F42" t="s"/>
      <c r="G42" t="s"/>
      <c r="H42" t="s"/>
      <c r="I42" t="s"/>
      <c r="J42" t="n">
        <v>0</v>
      </c>
      <c r="K42" t="n">
        <v>0</v>
      </c>
      <c r="L42" t="n">
        <v>1</v>
      </c>
      <c r="M42" t="n">
        <v>0</v>
      </c>
    </row>
    <row r="43" spans="1:13">
      <c r="A43" s="1">
        <f>HYPERLINK("http://www.twitter.com/NathanBLawrence/status/997177067589570560", "997177067589570560")</f>
        <v/>
      </c>
      <c r="B43" s="2" t="n">
        <v>43237.75594907408</v>
      </c>
      <c r="C43" t="n">
        <v>0</v>
      </c>
      <c r="D43" t="n">
        <v>14</v>
      </c>
      <c r="E43" t="s">
        <v>54</v>
      </c>
      <c r="F43" t="s"/>
      <c r="G43" t="s"/>
      <c r="H43" t="s"/>
      <c r="I43" t="s"/>
      <c r="J43" t="n">
        <v>0.1477</v>
      </c>
      <c r="K43" t="n">
        <v>0.108</v>
      </c>
      <c r="L43" t="n">
        <v>0.73</v>
      </c>
      <c r="M43" t="n">
        <v>0.163</v>
      </c>
    </row>
    <row r="44" spans="1:13">
      <c r="A44" s="1">
        <f>HYPERLINK("http://www.twitter.com/NathanBLawrence/status/997176432047611906", "997176432047611906")</f>
        <v/>
      </c>
      <c r="B44" s="2" t="n">
        <v>43237.75418981481</v>
      </c>
      <c r="C44" t="n">
        <v>5</v>
      </c>
      <c r="D44" t="n">
        <v>0</v>
      </c>
      <c r="E44" t="s">
        <v>55</v>
      </c>
      <c r="F44" t="s"/>
      <c r="G44" t="s"/>
      <c r="H44" t="s"/>
      <c r="I44" t="s"/>
      <c r="J44" t="n">
        <v>0.4019</v>
      </c>
      <c r="K44" t="n">
        <v>0</v>
      </c>
      <c r="L44" t="n">
        <v>0.903</v>
      </c>
      <c r="M44" t="n">
        <v>0.097</v>
      </c>
    </row>
    <row r="45" spans="1:13">
      <c r="A45" s="1">
        <f>HYPERLINK("http://www.twitter.com/NathanBLawrence/status/997175762112471041", "997175762112471041")</f>
        <v/>
      </c>
      <c r="B45" s="2" t="n">
        <v>43237.75233796296</v>
      </c>
      <c r="C45" t="n">
        <v>4</v>
      </c>
      <c r="D45" t="n">
        <v>1</v>
      </c>
      <c r="E45" t="s">
        <v>56</v>
      </c>
      <c r="F45">
        <f>HYPERLINK("http://pbs.twimg.com/media/DdauEJRUQAAtsWt.jpg", "http://pbs.twimg.com/media/DdauEJRUQAAtsWt.jpg")</f>
        <v/>
      </c>
      <c r="G45" t="s"/>
      <c r="H45" t="s"/>
      <c r="I45" t="s"/>
      <c r="J45" t="n">
        <v>-0.5323</v>
      </c>
      <c r="K45" t="n">
        <v>0.127</v>
      </c>
      <c r="L45" t="n">
        <v>0.8080000000000001</v>
      </c>
      <c r="M45" t="n">
        <v>0.065</v>
      </c>
    </row>
    <row r="46" spans="1:13">
      <c r="A46" s="1">
        <f>HYPERLINK("http://www.twitter.com/NathanBLawrence/status/997174755441758209", "997174755441758209")</f>
        <v/>
      </c>
      <c r="B46" s="2" t="n">
        <v>43237.74956018518</v>
      </c>
      <c r="C46" t="n">
        <v>0</v>
      </c>
      <c r="D46" t="n">
        <v>1</v>
      </c>
      <c r="E46" t="s">
        <v>57</v>
      </c>
      <c r="F46" t="s"/>
      <c r="G46" t="s"/>
      <c r="H46" t="s"/>
      <c r="I46" t="s"/>
      <c r="J46" t="n">
        <v>0</v>
      </c>
      <c r="K46" t="n">
        <v>0</v>
      </c>
      <c r="L46" t="n">
        <v>1</v>
      </c>
      <c r="M46" t="n">
        <v>0</v>
      </c>
    </row>
    <row r="47" spans="1:13">
      <c r="A47" s="1">
        <f>HYPERLINK("http://www.twitter.com/NathanBLawrence/status/997173976337088512", "997173976337088512")</f>
        <v/>
      </c>
      <c r="B47" s="2" t="n">
        <v>43237.74741898148</v>
      </c>
      <c r="C47" t="n">
        <v>4</v>
      </c>
      <c r="D47" t="n">
        <v>2</v>
      </c>
      <c r="E47" t="s">
        <v>58</v>
      </c>
      <c r="F47" t="s"/>
      <c r="G47" t="s"/>
      <c r="H47" t="s"/>
      <c r="I47" t="s"/>
      <c r="J47" t="n">
        <v>-0.3753</v>
      </c>
      <c r="K47" t="n">
        <v>0.102</v>
      </c>
      <c r="L47" t="n">
        <v>0.844</v>
      </c>
      <c r="M47" t="n">
        <v>0.054</v>
      </c>
    </row>
    <row r="48" spans="1:13">
      <c r="A48" s="1">
        <f>HYPERLINK("http://www.twitter.com/NathanBLawrence/status/997169601371832320", "997169601371832320")</f>
        <v/>
      </c>
      <c r="B48" s="2" t="n">
        <v>43237.73534722222</v>
      </c>
      <c r="C48" t="n">
        <v>3</v>
      </c>
      <c r="D48" t="n">
        <v>2</v>
      </c>
      <c r="E48" t="s">
        <v>59</v>
      </c>
      <c r="F48">
        <f>HYPERLINK("http://pbs.twimg.com/media/DdaodslV4AAlJzu.jpg", "http://pbs.twimg.com/media/DdaodslV4AAlJzu.jpg")</f>
        <v/>
      </c>
      <c r="G48" t="s"/>
      <c r="H48" t="s"/>
      <c r="I48" t="s"/>
      <c r="J48" t="n">
        <v>-0.7989000000000001</v>
      </c>
      <c r="K48" t="n">
        <v>0.254</v>
      </c>
      <c r="L48" t="n">
        <v>0.746</v>
      </c>
      <c r="M48" t="n">
        <v>0</v>
      </c>
    </row>
    <row r="49" spans="1:13">
      <c r="A49" s="1">
        <f>HYPERLINK("http://www.twitter.com/NathanBLawrence/status/997168730277900288", "997168730277900288")</f>
        <v/>
      </c>
      <c r="B49" s="2" t="n">
        <v>43237.73293981481</v>
      </c>
      <c r="C49" t="n">
        <v>0</v>
      </c>
      <c r="D49" t="n">
        <v>1</v>
      </c>
      <c r="E49" t="s">
        <v>60</v>
      </c>
      <c r="F49" t="s"/>
      <c r="G49" t="s"/>
      <c r="H49" t="s"/>
      <c r="I49" t="s"/>
      <c r="J49" t="n">
        <v>0</v>
      </c>
      <c r="K49" t="n">
        <v>0</v>
      </c>
      <c r="L49" t="n">
        <v>1</v>
      </c>
      <c r="M49" t="n">
        <v>0</v>
      </c>
    </row>
    <row r="50" spans="1:13">
      <c r="A50" s="1">
        <f>HYPERLINK("http://www.twitter.com/NathanBLawrence/status/997168519350554629", "997168519350554629")</f>
        <v/>
      </c>
      <c r="B50" s="2" t="n">
        <v>43237.73236111111</v>
      </c>
      <c r="C50" t="n">
        <v>0</v>
      </c>
      <c r="D50" t="n">
        <v>0</v>
      </c>
      <c r="E50" t="s">
        <v>61</v>
      </c>
      <c r="F50" t="s"/>
      <c r="G50" t="s"/>
      <c r="H50" t="s"/>
      <c r="I50" t="s"/>
      <c r="J50" t="n">
        <v>-0.5423</v>
      </c>
      <c r="K50" t="n">
        <v>0.636</v>
      </c>
      <c r="L50" t="n">
        <v>0.364</v>
      </c>
      <c r="M50" t="n">
        <v>0</v>
      </c>
    </row>
    <row r="51" spans="1:13">
      <c r="A51" s="1">
        <f>HYPERLINK("http://www.twitter.com/NathanBLawrence/status/997168233970044930", "997168233970044930")</f>
        <v/>
      </c>
      <c r="B51" s="2" t="n">
        <v>43237.73157407407</v>
      </c>
      <c r="C51" t="n">
        <v>0</v>
      </c>
      <c r="D51" t="n">
        <v>1</v>
      </c>
      <c r="E51" t="s">
        <v>62</v>
      </c>
      <c r="F51" t="s"/>
      <c r="G51" t="s"/>
      <c r="H51" t="s"/>
      <c r="I51" t="s"/>
      <c r="J51" t="n">
        <v>0.5106000000000001</v>
      </c>
      <c r="K51" t="n">
        <v>0</v>
      </c>
      <c r="L51" t="n">
        <v>0.8090000000000001</v>
      </c>
      <c r="M51" t="n">
        <v>0.191</v>
      </c>
    </row>
    <row r="52" spans="1:13">
      <c r="A52" s="1">
        <f>HYPERLINK("http://www.twitter.com/NathanBLawrence/status/997168019007836160", "997168019007836160")</f>
        <v/>
      </c>
      <c r="B52" s="2" t="n">
        <v>43237.73097222222</v>
      </c>
      <c r="C52" t="n">
        <v>1</v>
      </c>
      <c r="D52" t="n">
        <v>1</v>
      </c>
      <c r="E52" t="s">
        <v>63</v>
      </c>
      <c r="F52">
        <f>HYPERLINK("http://pbs.twimg.com/media/DdanBsoVwAAL0gY.jpg", "http://pbs.twimg.com/media/DdanBsoVwAAL0gY.jpg")</f>
        <v/>
      </c>
      <c r="G52" t="s"/>
      <c r="H52" t="s"/>
      <c r="I52" t="s"/>
      <c r="J52" t="n">
        <v>-0.34</v>
      </c>
      <c r="K52" t="n">
        <v>0.141</v>
      </c>
      <c r="L52" t="n">
        <v>0.793</v>
      </c>
      <c r="M52" t="n">
        <v>0.066</v>
      </c>
    </row>
    <row r="53" spans="1:13">
      <c r="A53" s="1">
        <f>HYPERLINK("http://www.twitter.com/NathanBLawrence/status/997167270089711621", "997167270089711621")</f>
        <v/>
      </c>
      <c r="B53" s="2" t="n">
        <v>43237.72891203704</v>
      </c>
      <c r="C53" t="n">
        <v>0</v>
      </c>
      <c r="D53" t="n">
        <v>2</v>
      </c>
      <c r="E53" t="s">
        <v>64</v>
      </c>
      <c r="F53">
        <f>HYPERLINK("http://pbs.twimg.com/media/DdamV_uVAAUvawv.jpg", "http://pbs.twimg.com/media/DdamV_uVAAUvawv.jpg")</f>
        <v/>
      </c>
      <c r="G53" t="s"/>
      <c r="H53" t="s"/>
      <c r="I53" t="s"/>
      <c r="J53" t="n">
        <v>-0.128</v>
      </c>
      <c r="K53" t="n">
        <v>0.093</v>
      </c>
      <c r="L53" t="n">
        <v>0.845</v>
      </c>
      <c r="M53" t="n">
        <v>0.062</v>
      </c>
    </row>
    <row r="54" spans="1:13">
      <c r="A54" s="1">
        <f>HYPERLINK("http://www.twitter.com/NathanBLawrence/status/997166771055595521", "997166771055595521")</f>
        <v/>
      </c>
      <c r="B54" s="2" t="n">
        <v>43237.72753472222</v>
      </c>
      <c r="C54" t="n">
        <v>1</v>
      </c>
      <c r="D54" t="n">
        <v>1</v>
      </c>
      <c r="E54" t="s">
        <v>65</v>
      </c>
      <c r="F54">
        <f>HYPERLINK("http://pbs.twimg.com/media/Ddal48RVwAAhV3n.jpg", "http://pbs.twimg.com/media/Ddal48RVwAAhV3n.jpg")</f>
        <v/>
      </c>
      <c r="G54" t="s"/>
      <c r="H54" t="s"/>
      <c r="I54" t="s"/>
      <c r="J54" t="n">
        <v>0</v>
      </c>
      <c r="K54" t="n">
        <v>0</v>
      </c>
      <c r="L54" t="n">
        <v>1</v>
      </c>
      <c r="M54" t="n">
        <v>0</v>
      </c>
    </row>
    <row r="55" spans="1:13">
      <c r="A55" s="1">
        <f>HYPERLINK("http://www.twitter.com/NathanBLawrence/status/997166638653956102", "997166638653956102")</f>
        <v/>
      </c>
      <c r="B55" s="2" t="n">
        <v>43237.72716435185</v>
      </c>
      <c r="C55" t="n">
        <v>2</v>
      </c>
      <c r="D55" t="n">
        <v>2</v>
      </c>
      <c r="E55" t="s">
        <v>66</v>
      </c>
      <c r="F55">
        <f>HYPERLINK("http://pbs.twimg.com/media/DdalxPAUwAEV0yP.jpg", "http://pbs.twimg.com/media/DdalxPAUwAEV0yP.jpg")</f>
        <v/>
      </c>
      <c r="G55" t="s"/>
      <c r="H55" t="s"/>
      <c r="I55" t="s"/>
      <c r="J55" t="n">
        <v>0.4389</v>
      </c>
      <c r="K55" t="n">
        <v>0</v>
      </c>
      <c r="L55" t="n">
        <v>0.806</v>
      </c>
      <c r="M55" t="n">
        <v>0.194</v>
      </c>
    </row>
    <row r="56" spans="1:13">
      <c r="A56" s="1">
        <f>HYPERLINK("http://www.twitter.com/NathanBLawrence/status/997166456562479105", "997166456562479105")</f>
        <v/>
      </c>
      <c r="B56" s="2" t="n">
        <v>43237.72666666667</v>
      </c>
      <c r="C56" t="n">
        <v>0</v>
      </c>
      <c r="D56" t="n">
        <v>1</v>
      </c>
      <c r="E56" t="s">
        <v>67</v>
      </c>
      <c r="F56" t="s"/>
      <c r="G56" t="s"/>
      <c r="H56" t="s"/>
      <c r="I56" t="s"/>
      <c r="J56" t="n">
        <v>0.7553</v>
      </c>
      <c r="K56" t="n">
        <v>0.064</v>
      </c>
      <c r="L56" t="n">
        <v>0.674</v>
      </c>
      <c r="M56" t="n">
        <v>0.262</v>
      </c>
    </row>
    <row r="57" spans="1:13">
      <c r="A57" s="1">
        <f>HYPERLINK("http://www.twitter.com/NathanBLawrence/status/997166379076800513", "997166379076800513")</f>
        <v/>
      </c>
      <c r="B57" s="2" t="n">
        <v>43237.72644675926</v>
      </c>
      <c r="C57" t="n">
        <v>0</v>
      </c>
      <c r="D57" t="n">
        <v>3</v>
      </c>
      <c r="E57" t="s">
        <v>68</v>
      </c>
      <c r="F57" t="s"/>
      <c r="G57" t="s"/>
      <c r="H57" t="s"/>
      <c r="I57" t="s"/>
      <c r="J57" t="n">
        <v>0</v>
      </c>
      <c r="K57" t="n">
        <v>0</v>
      </c>
      <c r="L57" t="n">
        <v>1</v>
      </c>
      <c r="M57" t="n">
        <v>0</v>
      </c>
    </row>
    <row r="58" spans="1:13">
      <c r="A58" s="1">
        <f>HYPERLINK("http://www.twitter.com/NathanBLawrence/status/997156030554497025", "997156030554497025")</f>
        <v/>
      </c>
      <c r="B58" s="2" t="n">
        <v>43237.69789351852</v>
      </c>
      <c r="C58" t="n">
        <v>0</v>
      </c>
      <c r="D58" t="n">
        <v>4</v>
      </c>
      <c r="E58" t="s">
        <v>69</v>
      </c>
      <c r="F58">
        <f>HYPERLINK("http://pbs.twimg.com/media/DdaZNwlUwAEIp3a.jpg", "http://pbs.twimg.com/media/DdaZNwlUwAEIp3a.jpg")</f>
        <v/>
      </c>
      <c r="G58" t="s"/>
      <c r="H58" t="s"/>
      <c r="I58" t="s"/>
      <c r="J58" t="n">
        <v>-0.3612</v>
      </c>
      <c r="K58" t="n">
        <v>0.122</v>
      </c>
      <c r="L58" t="n">
        <v>0.878</v>
      </c>
      <c r="M58" t="n">
        <v>0</v>
      </c>
    </row>
    <row r="59" spans="1:13">
      <c r="A59" s="1">
        <f>HYPERLINK("http://www.twitter.com/NathanBLawrence/status/997155979828649985", "997155979828649985")</f>
        <v/>
      </c>
      <c r="B59" s="2" t="n">
        <v>43237.69775462963</v>
      </c>
      <c r="C59" t="n">
        <v>0</v>
      </c>
      <c r="D59" t="n">
        <v>17</v>
      </c>
      <c r="E59" t="s">
        <v>70</v>
      </c>
      <c r="F59">
        <f>HYPERLINK("http://pbs.twimg.com/media/DdaZA9zU8AI_suZ.jpg", "http://pbs.twimg.com/media/DdaZA9zU8AI_suZ.jpg")</f>
        <v/>
      </c>
      <c r="G59" t="s"/>
      <c r="H59" t="s"/>
      <c r="I59" t="s"/>
      <c r="J59" t="n">
        <v>-0.6486</v>
      </c>
      <c r="K59" t="n">
        <v>0.249</v>
      </c>
      <c r="L59" t="n">
        <v>0.751</v>
      </c>
      <c r="M59" t="n">
        <v>0</v>
      </c>
    </row>
    <row r="60" spans="1:13">
      <c r="A60" s="1">
        <f>HYPERLINK("http://www.twitter.com/NathanBLawrence/status/997152856938598400", "997152856938598400")</f>
        <v/>
      </c>
      <c r="B60" s="2" t="n">
        <v>43237.68913194445</v>
      </c>
      <c r="C60" t="n">
        <v>1</v>
      </c>
      <c r="D60" t="n">
        <v>0</v>
      </c>
      <c r="E60" t="s">
        <v>71</v>
      </c>
      <c r="F60" t="s"/>
      <c r="G60" t="s"/>
      <c r="H60" t="s"/>
      <c r="I60" t="s"/>
      <c r="J60" t="n">
        <v>0</v>
      </c>
      <c r="K60" t="n">
        <v>0</v>
      </c>
      <c r="L60" t="n">
        <v>1</v>
      </c>
      <c r="M60" t="n">
        <v>0</v>
      </c>
    </row>
    <row r="61" spans="1:13">
      <c r="A61" s="1">
        <f>HYPERLINK("http://www.twitter.com/NathanBLawrence/status/997139359701848065", "997139359701848065")</f>
        <v/>
      </c>
      <c r="B61" s="2" t="n">
        <v>43237.65188657407</v>
      </c>
      <c r="C61" t="n">
        <v>0</v>
      </c>
      <c r="D61" t="n">
        <v>12</v>
      </c>
      <c r="E61" t="s">
        <v>72</v>
      </c>
      <c r="F61">
        <f>HYPERLINK("http://pbs.twimg.com/media/DdaJzzkWkAE93J5.jpg", "http://pbs.twimg.com/media/DdaJzzkWkAE93J5.jpg")</f>
        <v/>
      </c>
      <c r="G61" t="s"/>
      <c r="H61" t="s"/>
      <c r="I61" t="s"/>
      <c r="J61" t="n">
        <v>0.504</v>
      </c>
      <c r="K61" t="n">
        <v>0</v>
      </c>
      <c r="L61" t="n">
        <v>0.876</v>
      </c>
      <c r="M61" t="n">
        <v>0.124</v>
      </c>
    </row>
    <row r="62" spans="1:13">
      <c r="A62" s="1">
        <f>HYPERLINK("http://www.twitter.com/NathanBLawrence/status/997139347345412096", "997139347345412096")</f>
        <v/>
      </c>
      <c r="B62" s="2" t="n">
        <v>43237.65186342593</v>
      </c>
      <c r="C62" t="n">
        <v>0</v>
      </c>
      <c r="D62" t="n">
        <v>15</v>
      </c>
      <c r="E62" t="s">
        <v>73</v>
      </c>
      <c r="F62">
        <f>HYPERLINK("http://pbs.twimg.com/media/DdYvJn3W0AAXQvk.jpg", "http://pbs.twimg.com/media/DdYvJn3W0AAXQvk.jpg")</f>
        <v/>
      </c>
      <c r="G62" t="s"/>
      <c r="H62" t="s"/>
      <c r="I62" t="s"/>
      <c r="J62" t="n">
        <v>0.3612</v>
      </c>
      <c r="K62" t="n">
        <v>0.116</v>
      </c>
      <c r="L62" t="n">
        <v>0.6830000000000001</v>
      </c>
      <c r="M62" t="n">
        <v>0.201</v>
      </c>
    </row>
    <row r="63" spans="1:13">
      <c r="A63" s="1">
        <f>HYPERLINK("http://www.twitter.com/NathanBLawrence/status/997139319780462593", "997139319780462593")</f>
        <v/>
      </c>
      <c r="B63" s="2" t="n">
        <v>43237.65178240741</v>
      </c>
      <c r="C63" t="n">
        <v>0</v>
      </c>
      <c r="D63" t="n">
        <v>12</v>
      </c>
      <c r="E63" t="s">
        <v>74</v>
      </c>
      <c r="F63">
        <f>HYPERLINK("http://pbs.twimg.com/media/DdaLr1qWAAEVRSp.jpg", "http://pbs.twimg.com/media/DdaLr1qWAAEVRSp.jpg")</f>
        <v/>
      </c>
      <c r="G63" t="s"/>
      <c r="H63" t="s"/>
      <c r="I63" t="s"/>
      <c r="J63" t="n">
        <v>-0.743</v>
      </c>
      <c r="K63" t="n">
        <v>0.215</v>
      </c>
      <c r="L63" t="n">
        <v>0.785</v>
      </c>
      <c r="M63" t="n">
        <v>0</v>
      </c>
    </row>
    <row r="64" spans="1:13">
      <c r="A64" s="1">
        <f>HYPERLINK("http://www.twitter.com/NathanBLawrence/status/997117002077671424", "997117002077671424")</f>
        <v/>
      </c>
      <c r="B64" s="2" t="n">
        <v>43237.59019675926</v>
      </c>
      <c r="C64" t="n">
        <v>4</v>
      </c>
      <c r="D64" t="n">
        <v>3</v>
      </c>
      <c r="E64" t="s">
        <v>75</v>
      </c>
      <c r="F64">
        <f>HYPERLINK("http://pbs.twimg.com/media/DdZ4oF3W0AAmNpL.jpg", "http://pbs.twimg.com/media/DdZ4oF3W0AAmNpL.jpg")</f>
        <v/>
      </c>
      <c r="G64" t="s"/>
      <c r="H64" t="s"/>
      <c r="I64" t="s"/>
      <c r="J64" t="n">
        <v>0.0516</v>
      </c>
      <c r="K64" t="n">
        <v>0.11</v>
      </c>
      <c r="L64" t="n">
        <v>0.8</v>
      </c>
      <c r="M64" t="n">
        <v>0.09</v>
      </c>
    </row>
    <row r="65" spans="1:13">
      <c r="A65" s="1">
        <f>HYPERLINK("http://www.twitter.com/NathanBLawrence/status/997116295308029952", "997116295308029952")</f>
        <v/>
      </c>
      <c r="B65" s="2" t="n">
        <v>43237.58824074074</v>
      </c>
      <c r="C65" t="n">
        <v>2</v>
      </c>
      <c r="D65" t="n">
        <v>1</v>
      </c>
      <c r="E65" t="s">
        <v>76</v>
      </c>
      <c r="F65">
        <f>HYPERLINK("http://pbs.twimg.com/media/DdZ3-26VwAAGMv-.jpg", "http://pbs.twimg.com/media/DdZ3-26VwAAGMv-.jpg")</f>
        <v/>
      </c>
      <c r="G65" t="s"/>
      <c r="H65" t="s"/>
      <c r="I65" t="s"/>
      <c r="J65" t="n">
        <v>0.765</v>
      </c>
      <c r="K65" t="n">
        <v>0</v>
      </c>
      <c r="L65" t="n">
        <v>0.556</v>
      </c>
      <c r="M65" t="n">
        <v>0.444</v>
      </c>
    </row>
    <row r="66" spans="1:13">
      <c r="A66" s="1">
        <f>HYPERLINK("http://www.twitter.com/NathanBLawrence/status/997115899508379648", "997115899508379648")</f>
        <v/>
      </c>
      <c r="B66" s="2" t="n">
        <v>43237.58715277778</v>
      </c>
      <c r="C66" t="n">
        <v>0</v>
      </c>
      <c r="D66" t="n">
        <v>5</v>
      </c>
      <c r="E66" t="s">
        <v>77</v>
      </c>
      <c r="F66">
        <f>HYPERLINK("http://pbs.twimg.com/media/DdZlNlSWAAIQgm4.jpg", "http://pbs.twimg.com/media/DdZlNlSWAAIQgm4.jpg")</f>
        <v/>
      </c>
      <c r="G66" t="s"/>
      <c r="H66" t="s"/>
      <c r="I66" t="s"/>
      <c r="J66" t="n">
        <v>0</v>
      </c>
      <c r="K66" t="n">
        <v>0</v>
      </c>
      <c r="L66" t="n">
        <v>1</v>
      </c>
      <c r="M66" t="n">
        <v>0</v>
      </c>
    </row>
    <row r="67" spans="1:13">
      <c r="A67" s="1">
        <f>HYPERLINK("http://www.twitter.com/NathanBLawrence/status/997115827387281409", "997115827387281409")</f>
        <v/>
      </c>
      <c r="B67" s="2" t="n">
        <v>43237.58695601852</v>
      </c>
      <c r="C67" t="n">
        <v>0</v>
      </c>
      <c r="D67" t="n">
        <v>0</v>
      </c>
      <c r="E67" t="s">
        <v>78</v>
      </c>
      <c r="F67" t="s"/>
      <c r="G67" t="s"/>
      <c r="H67" t="s"/>
      <c r="I67" t="s"/>
      <c r="J67" t="n">
        <v>-0.5859</v>
      </c>
      <c r="K67" t="n">
        <v>0.792</v>
      </c>
      <c r="L67" t="n">
        <v>0.208</v>
      </c>
      <c r="M67" t="n">
        <v>0</v>
      </c>
    </row>
    <row r="68" spans="1:13">
      <c r="A68" s="1">
        <f>HYPERLINK("http://www.twitter.com/NathanBLawrence/status/997115685401751552", "997115685401751552")</f>
        <v/>
      </c>
      <c r="B68" s="2" t="n">
        <v>43237.5865625</v>
      </c>
      <c r="C68" t="n">
        <v>2</v>
      </c>
      <c r="D68" t="n">
        <v>2</v>
      </c>
      <c r="E68" t="s">
        <v>79</v>
      </c>
      <c r="F68">
        <f>HYPERLINK("http://pbs.twimg.com/media/DdZ3bEfV0AIIqDo.jpg", "http://pbs.twimg.com/media/DdZ3bEfV0AIIqDo.jpg")</f>
        <v/>
      </c>
      <c r="G68" t="s"/>
      <c r="H68" t="s"/>
      <c r="I68" t="s"/>
      <c r="J68" t="n">
        <v>0.7723</v>
      </c>
      <c r="K68" t="n">
        <v>0</v>
      </c>
      <c r="L68" t="n">
        <v>0.85</v>
      </c>
      <c r="M68" t="n">
        <v>0.15</v>
      </c>
    </row>
    <row r="69" spans="1:13">
      <c r="A69" s="1">
        <f>HYPERLINK("http://www.twitter.com/NathanBLawrence/status/997112187834503168", "997112187834503168")</f>
        <v/>
      </c>
      <c r="B69" s="2" t="n">
        <v>43237.57690972222</v>
      </c>
      <c r="C69" t="n">
        <v>2</v>
      </c>
      <c r="D69" t="n">
        <v>1</v>
      </c>
      <c r="E69" t="s">
        <v>80</v>
      </c>
      <c r="F69" t="s"/>
      <c r="G69" t="s"/>
      <c r="H69" t="s"/>
      <c r="I69" t="s"/>
      <c r="J69" t="n">
        <v>0</v>
      </c>
      <c r="K69" t="n">
        <v>0</v>
      </c>
      <c r="L69" t="n">
        <v>1</v>
      </c>
      <c r="M69" t="n">
        <v>0</v>
      </c>
    </row>
    <row r="70" spans="1:13">
      <c r="A70" s="1">
        <f>HYPERLINK("http://www.twitter.com/NathanBLawrence/status/997103231221293056", "997103231221293056")</f>
        <v/>
      </c>
      <c r="B70" s="2" t="n">
        <v>43237.55219907407</v>
      </c>
      <c r="C70" t="n">
        <v>0</v>
      </c>
      <c r="D70" t="n">
        <v>1</v>
      </c>
      <c r="E70" t="s">
        <v>81</v>
      </c>
      <c r="F70" t="s"/>
      <c r="G70" t="s"/>
      <c r="H70" t="s"/>
      <c r="I70" t="s"/>
      <c r="J70" t="n">
        <v>0</v>
      </c>
      <c r="K70" t="n">
        <v>0</v>
      </c>
      <c r="L70" t="n">
        <v>1</v>
      </c>
      <c r="M70" t="n">
        <v>0</v>
      </c>
    </row>
    <row r="71" spans="1:13">
      <c r="A71" s="1">
        <f>HYPERLINK("http://www.twitter.com/NathanBLawrence/status/997103128762834946", "997103128762834946")</f>
        <v/>
      </c>
      <c r="B71" s="2" t="n">
        <v>43237.55190972222</v>
      </c>
      <c r="C71" t="n">
        <v>0</v>
      </c>
      <c r="D71" t="n">
        <v>2</v>
      </c>
      <c r="E71" t="s">
        <v>82</v>
      </c>
      <c r="F71" t="s"/>
      <c r="G71" t="s"/>
      <c r="H71" t="s"/>
      <c r="I71" t="s"/>
      <c r="J71" t="n">
        <v>0</v>
      </c>
      <c r="K71" t="n">
        <v>0</v>
      </c>
      <c r="L71" t="n">
        <v>1</v>
      </c>
      <c r="M71" t="n">
        <v>0</v>
      </c>
    </row>
    <row r="72" spans="1:13">
      <c r="A72" s="1">
        <f>HYPERLINK("http://www.twitter.com/NathanBLawrence/status/997078334407368704", "997078334407368704")</f>
        <v/>
      </c>
      <c r="B72" s="2" t="n">
        <v>43237.48349537037</v>
      </c>
      <c r="C72" t="n">
        <v>2</v>
      </c>
      <c r="D72" t="n">
        <v>1</v>
      </c>
      <c r="E72" t="s">
        <v>83</v>
      </c>
      <c r="F72" t="s"/>
      <c r="G72" t="s"/>
      <c r="H72" t="s"/>
      <c r="I72" t="s"/>
      <c r="J72" t="n">
        <v>0.1901</v>
      </c>
      <c r="K72" t="n">
        <v>0.2</v>
      </c>
      <c r="L72" t="n">
        <v>0.479</v>
      </c>
      <c r="M72" t="n">
        <v>0.32</v>
      </c>
    </row>
    <row r="73" spans="1:13">
      <c r="A73" s="1">
        <f>HYPERLINK("http://www.twitter.com/NathanBLawrence/status/997078056585105408", "997078056585105408")</f>
        <v/>
      </c>
      <c r="B73" s="2" t="n">
        <v>43237.48273148148</v>
      </c>
      <c r="C73" t="n">
        <v>0</v>
      </c>
      <c r="D73" t="n">
        <v>1</v>
      </c>
      <c r="E73" t="s">
        <v>84</v>
      </c>
      <c r="F73" t="s"/>
      <c r="G73" t="s"/>
      <c r="H73" t="s"/>
      <c r="I73" t="s"/>
      <c r="J73" t="n">
        <v>0.4199</v>
      </c>
      <c r="K73" t="n">
        <v>0</v>
      </c>
      <c r="L73" t="n">
        <v>0.878</v>
      </c>
      <c r="M73" t="n">
        <v>0.122</v>
      </c>
    </row>
    <row r="74" spans="1:13">
      <c r="A74" s="1">
        <f>HYPERLINK("http://www.twitter.com/NathanBLawrence/status/996981758255095808", "996981758255095808")</f>
        <v/>
      </c>
      <c r="B74" s="2" t="n">
        <v>43237.21699074074</v>
      </c>
      <c r="C74" t="n">
        <v>0</v>
      </c>
      <c r="D74" t="n">
        <v>1</v>
      </c>
      <c r="E74" t="s">
        <v>85</v>
      </c>
      <c r="F74" t="s"/>
      <c r="G74" t="s"/>
      <c r="H74" t="s"/>
      <c r="I74" t="s"/>
      <c r="J74" t="n">
        <v>0</v>
      </c>
      <c r="K74" t="n">
        <v>0</v>
      </c>
      <c r="L74" t="n">
        <v>1</v>
      </c>
      <c r="M74" t="n">
        <v>0</v>
      </c>
    </row>
    <row r="75" spans="1:13">
      <c r="A75" s="1">
        <f>HYPERLINK("http://www.twitter.com/NathanBLawrence/status/996981708208726016", "996981708208726016")</f>
        <v/>
      </c>
      <c r="B75" s="2" t="n">
        <v>43237.21685185185</v>
      </c>
      <c r="C75" t="n">
        <v>0</v>
      </c>
      <c r="D75" t="n">
        <v>3</v>
      </c>
      <c r="E75" t="s">
        <v>86</v>
      </c>
      <c r="F75" t="s"/>
      <c r="G75" t="s"/>
      <c r="H75" t="s"/>
      <c r="I75" t="s"/>
      <c r="J75" t="n">
        <v>-0.5096000000000001</v>
      </c>
      <c r="K75" t="n">
        <v>0.155</v>
      </c>
      <c r="L75" t="n">
        <v>0.845</v>
      </c>
      <c r="M75" t="n">
        <v>0</v>
      </c>
    </row>
    <row r="76" spans="1:13">
      <c r="A76" s="1">
        <f>HYPERLINK("http://www.twitter.com/NathanBLawrence/status/996971362953646080", "996971362953646080")</f>
        <v/>
      </c>
      <c r="B76" s="2" t="n">
        <v>43237.18831018519</v>
      </c>
      <c r="C76" t="n">
        <v>0</v>
      </c>
      <c r="D76" t="n">
        <v>6</v>
      </c>
      <c r="E76" t="s">
        <v>87</v>
      </c>
      <c r="F76" t="s"/>
      <c r="G76" t="s"/>
      <c r="H76" t="s"/>
      <c r="I76" t="s"/>
      <c r="J76" t="n">
        <v>0</v>
      </c>
      <c r="K76" t="n">
        <v>0</v>
      </c>
      <c r="L76" t="n">
        <v>1</v>
      </c>
      <c r="M76" t="n">
        <v>0</v>
      </c>
    </row>
    <row r="77" spans="1:13">
      <c r="A77" s="1">
        <f>HYPERLINK("http://www.twitter.com/NathanBLawrence/status/996970330789998592", "996970330789998592")</f>
        <v/>
      </c>
      <c r="B77" s="2" t="n">
        <v>43237.18546296296</v>
      </c>
      <c r="C77" t="n">
        <v>15</v>
      </c>
      <c r="D77" t="n">
        <v>4</v>
      </c>
      <c r="E77" t="s">
        <v>88</v>
      </c>
      <c r="F77" t="s"/>
      <c r="G77" t="s"/>
      <c r="H77" t="s"/>
      <c r="I77" t="s"/>
      <c r="J77" t="n">
        <v>0</v>
      </c>
      <c r="K77" t="n">
        <v>0</v>
      </c>
      <c r="L77" t="n">
        <v>1</v>
      </c>
      <c r="M77" t="n">
        <v>0</v>
      </c>
    </row>
    <row r="78" spans="1:13">
      <c r="A78" s="1">
        <f>HYPERLINK("http://www.twitter.com/NathanBLawrence/status/996970165731561472", "996970165731561472")</f>
        <v/>
      </c>
      <c r="B78" s="2" t="n">
        <v>43237.185</v>
      </c>
      <c r="C78" t="n">
        <v>0</v>
      </c>
      <c r="D78" t="n">
        <v>1</v>
      </c>
      <c r="E78" t="s">
        <v>89</v>
      </c>
      <c r="F78" t="s"/>
      <c r="G78" t="s"/>
      <c r="H78" t="s"/>
      <c r="I78" t="s"/>
      <c r="J78" t="n">
        <v>0</v>
      </c>
      <c r="K78" t="n">
        <v>0</v>
      </c>
      <c r="L78" t="n">
        <v>1</v>
      </c>
      <c r="M78" t="n">
        <v>0</v>
      </c>
    </row>
    <row r="79" spans="1:13">
      <c r="A79" s="1">
        <f>HYPERLINK("http://www.twitter.com/NathanBLawrence/status/996969298055843841", "996969298055843841")</f>
        <v/>
      </c>
      <c r="B79" s="2" t="n">
        <v>43237.18261574074</v>
      </c>
      <c r="C79" t="n">
        <v>0</v>
      </c>
      <c r="D79" t="n">
        <v>2</v>
      </c>
      <c r="E79" t="s">
        <v>90</v>
      </c>
      <c r="F79" t="s"/>
      <c r="G79" t="s"/>
      <c r="H79" t="s"/>
      <c r="I79" t="s"/>
      <c r="J79" t="n">
        <v>0</v>
      </c>
      <c r="K79" t="n">
        <v>0</v>
      </c>
      <c r="L79" t="n">
        <v>1</v>
      </c>
      <c r="M79" t="n">
        <v>0</v>
      </c>
    </row>
    <row r="80" spans="1:13">
      <c r="A80" s="1">
        <f>HYPERLINK("http://www.twitter.com/NathanBLawrence/status/996967886186049537", "996967886186049537")</f>
        <v/>
      </c>
      <c r="B80" s="2" t="n">
        <v>43237.17871527778</v>
      </c>
      <c r="C80" t="n">
        <v>0</v>
      </c>
      <c r="D80" t="n">
        <v>0</v>
      </c>
      <c r="E80" t="s">
        <v>91</v>
      </c>
      <c r="F80" t="s"/>
      <c r="G80" t="s"/>
      <c r="H80" t="s"/>
      <c r="I80" t="s"/>
      <c r="J80" t="n">
        <v>0</v>
      </c>
      <c r="K80" t="n">
        <v>0</v>
      </c>
      <c r="L80" t="n">
        <v>1</v>
      </c>
      <c r="M80" t="n">
        <v>0</v>
      </c>
    </row>
    <row r="81" spans="1:13">
      <c r="A81" s="1">
        <f>HYPERLINK("http://www.twitter.com/NathanBLawrence/status/996967534099386369", "996967534099386369")</f>
        <v/>
      </c>
      <c r="B81" s="2" t="n">
        <v>43237.17774305555</v>
      </c>
      <c r="C81" t="n">
        <v>2</v>
      </c>
      <c r="D81" t="n">
        <v>1</v>
      </c>
      <c r="E81" t="s">
        <v>92</v>
      </c>
      <c r="F81" t="s"/>
      <c r="G81" t="s"/>
      <c r="H81" t="s"/>
      <c r="I81" t="s"/>
      <c r="J81" t="n">
        <v>0.3612</v>
      </c>
      <c r="K81" t="n">
        <v>0</v>
      </c>
      <c r="L81" t="n">
        <v>0.9350000000000001</v>
      </c>
      <c r="M81" t="n">
        <v>0.065</v>
      </c>
    </row>
    <row r="82" spans="1:13">
      <c r="A82" s="1">
        <f>HYPERLINK("http://www.twitter.com/NathanBLawrence/status/996967246026149889", "996967246026149889")</f>
        <v/>
      </c>
      <c r="B82" s="2" t="n">
        <v>43237.17694444444</v>
      </c>
      <c r="C82" t="n">
        <v>0</v>
      </c>
      <c r="D82" t="n">
        <v>3</v>
      </c>
      <c r="E82" t="s">
        <v>93</v>
      </c>
      <c r="F82" t="s"/>
      <c r="G82" t="s"/>
      <c r="H82" t="s"/>
      <c r="I82" t="s"/>
      <c r="J82" t="n">
        <v>0</v>
      </c>
      <c r="K82" t="n">
        <v>0</v>
      </c>
      <c r="L82" t="n">
        <v>1</v>
      </c>
      <c r="M82" t="n">
        <v>0</v>
      </c>
    </row>
    <row r="83" spans="1:13">
      <c r="A83" s="1">
        <f>HYPERLINK("http://www.twitter.com/NathanBLawrence/status/996965162941927424", "996965162941927424")</f>
        <v/>
      </c>
      <c r="B83" s="2" t="n">
        <v>43237.17120370371</v>
      </c>
      <c r="C83" t="n">
        <v>0</v>
      </c>
      <c r="D83" t="n">
        <v>0</v>
      </c>
      <c r="E83" t="s">
        <v>94</v>
      </c>
      <c r="F83" t="s"/>
      <c r="G83" t="s"/>
      <c r="H83" t="s"/>
      <c r="I83" t="s"/>
      <c r="J83" t="n">
        <v>0.3182</v>
      </c>
      <c r="K83" t="n">
        <v>0</v>
      </c>
      <c r="L83" t="n">
        <v>0.874</v>
      </c>
      <c r="M83" t="n">
        <v>0.126</v>
      </c>
    </row>
    <row r="84" spans="1:13">
      <c r="A84" s="1">
        <f>HYPERLINK("http://www.twitter.com/NathanBLawrence/status/996964154291441664", "996964154291441664")</f>
        <v/>
      </c>
      <c r="B84" s="2" t="n">
        <v>43237.16841435185</v>
      </c>
      <c r="C84" t="n">
        <v>0</v>
      </c>
      <c r="D84" t="n">
        <v>0</v>
      </c>
      <c r="E84" t="s">
        <v>95</v>
      </c>
      <c r="F84" t="s"/>
      <c r="G84" t="s"/>
      <c r="H84" t="s"/>
      <c r="I84" t="s"/>
      <c r="J84" t="n">
        <v>0</v>
      </c>
      <c r="K84" t="n">
        <v>0</v>
      </c>
      <c r="L84" t="n">
        <v>1</v>
      </c>
      <c r="M84" t="n">
        <v>0</v>
      </c>
    </row>
    <row r="85" spans="1:13">
      <c r="A85" s="1">
        <f>HYPERLINK("http://www.twitter.com/NathanBLawrence/status/996963952574783488", "996963952574783488")</f>
        <v/>
      </c>
      <c r="B85" s="2" t="n">
        <v>43237.1678587963</v>
      </c>
      <c r="C85" t="n">
        <v>0</v>
      </c>
      <c r="D85" t="n">
        <v>4</v>
      </c>
      <c r="E85" t="s">
        <v>96</v>
      </c>
      <c r="F85">
        <f>HYPERLINK("http://pbs.twimg.com/media/DdXd9HQVwAACpK-.jpg", "http://pbs.twimg.com/media/DdXd9HQVwAACpK-.jpg")</f>
        <v/>
      </c>
      <c r="G85" t="s"/>
      <c r="H85" t="s"/>
      <c r="I85" t="s"/>
      <c r="J85" t="n">
        <v>-0.7667</v>
      </c>
      <c r="K85" t="n">
        <v>0.22</v>
      </c>
      <c r="L85" t="n">
        <v>0.78</v>
      </c>
      <c r="M85" t="n">
        <v>0</v>
      </c>
    </row>
    <row r="86" spans="1:13">
      <c r="A86" s="1">
        <f>HYPERLINK("http://www.twitter.com/NathanBLawrence/status/996963915866296321", "996963915866296321")</f>
        <v/>
      </c>
      <c r="B86" s="2" t="n">
        <v>43237.16775462963</v>
      </c>
      <c r="C86" t="n">
        <v>0</v>
      </c>
      <c r="D86" t="n">
        <v>5</v>
      </c>
      <c r="E86" t="s">
        <v>97</v>
      </c>
      <c r="F86" t="s"/>
      <c r="G86" t="s"/>
      <c r="H86" t="s"/>
      <c r="I86" t="s"/>
      <c r="J86" t="n">
        <v>-0.7351</v>
      </c>
      <c r="K86" t="n">
        <v>0.309</v>
      </c>
      <c r="L86" t="n">
        <v>0.637</v>
      </c>
      <c r="M86" t="n">
        <v>0.054</v>
      </c>
    </row>
    <row r="87" spans="1:13">
      <c r="A87" s="1">
        <f>HYPERLINK("http://www.twitter.com/NathanBLawrence/status/996963362998292480", "996963362998292480")</f>
        <v/>
      </c>
      <c r="B87" s="2" t="n">
        <v>43237.16623842593</v>
      </c>
      <c r="C87" t="n">
        <v>2</v>
      </c>
      <c r="D87" t="n">
        <v>1</v>
      </c>
      <c r="E87" t="s">
        <v>98</v>
      </c>
      <c r="F87">
        <f>HYPERLINK("http://pbs.twimg.com/media/DdXs47pVQAETkIl.jpg", "http://pbs.twimg.com/media/DdXs47pVQAETkIl.jpg")</f>
        <v/>
      </c>
      <c r="G87" t="s"/>
      <c r="H87" t="s"/>
      <c r="I87" t="s"/>
      <c r="J87" t="n">
        <v>-0.625</v>
      </c>
      <c r="K87" t="n">
        <v>0.105</v>
      </c>
      <c r="L87" t="n">
        <v>0.895</v>
      </c>
      <c r="M87" t="n">
        <v>0</v>
      </c>
    </row>
    <row r="88" spans="1:13">
      <c r="A88" s="1">
        <f>HYPERLINK("http://www.twitter.com/NathanBLawrence/status/996962156280205313", "996962156280205313")</f>
        <v/>
      </c>
      <c r="B88" s="2" t="n">
        <v>43237.16290509259</v>
      </c>
      <c r="C88" t="n">
        <v>6</v>
      </c>
      <c r="D88" t="n">
        <v>1</v>
      </c>
      <c r="E88" t="s">
        <v>99</v>
      </c>
      <c r="F88" t="s"/>
      <c r="G88" t="s"/>
      <c r="H88" t="s"/>
      <c r="I88" t="s"/>
      <c r="J88" t="n">
        <v>0.5719</v>
      </c>
      <c r="K88" t="n">
        <v>0</v>
      </c>
      <c r="L88" t="n">
        <v>0.893</v>
      </c>
      <c r="M88" t="n">
        <v>0.107</v>
      </c>
    </row>
    <row r="89" spans="1:13">
      <c r="A89" s="1">
        <f>HYPERLINK("http://www.twitter.com/NathanBLawrence/status/996962018765701126", "996962018765701126")</f>
        <v/>
      </c>
      <c r="B89" s="2" t="n">
        <v>43237.16252314814</v>
      </c>
      <c r="C89" t="n">
        <v>0</v>
      </c>
      <c r="D89" t="n">
        <v>2</v>
      </c>
      <c r="E89" t="s">
        <v>87</v>
      </c>
      <c r="F89" t="s"/>
      <c r="G89" t="s"/>
      <c r="H89" t="s"/>
      <c r="I89" t="s"/>
      <c r="J89" t="n">
        <v>0</v>
      </c>
      <c r="K89" t="n">
        <v>0</v>
      </c>
      <c r="L89" t="n">
        <v>1</v>
      </c>
      <c r="M89" t="n">
        <v>0</v>
      </c>
    </row>
    <row r="90" spans="1:13">
      <c r="A90" s="1">
        <f>HYPERLINK("http://www.twitter.com/NathanBLawrence/status/996961918589063169", "996961918589063169")</f>
        <v/>
      </c>
      <c r="B90" s="2" t="n">
        <v>43237.16224537037</v>
      </c>
      <c r="C90" t="n">
        <v>0</v>
      </c>
      <c r="D90" t="n">
        <v>6</v>
      </c>
      <c r="E90" t="s">
        <v>100</v>
      </c>
      <c r="F90">
        <f>HYPERLINK("http://pbs.twimg.com/media/DdXrTyoVwAA7z43.jpg", "http://pbs.twimg.com/media/DdXrTyoVwAA7z43.jpg")</f>
        <v/>
      </c>
      <c r="G90" t="s"/>
      <c r="H90" t="s"/>
      <c r="I90" t="s"/>
      <c r="J90" t="n">
        <v>0</v>
      </c>
      <c r="K90" t="n">
        <v>0</v>
      </c>
      <c r="L90" t="n">
        <v>1</v>
      </c>
      <c r="M90" t="n">
        <v>0</v>
      </c>
    </row>
    <row r="91" spans="1:13">
      <c r="A91" s="1">
        <f>HYPERLINK("http://www.twitter.com/NathanBLawrence/status/996961795477786624", "996961795477786624")</f>
        <v/>
      </c>
      <c r="B91" s="2" t="n">
        <v>43237.16190972222</v>
      </c>
      <c r="C91" t="n">
        <v>0</v>
      </c>
      <c r="D91" t="n">
        <v>2</v>
      </c>
      <c r="E91" t="s">
        <v>101</v>
      </c>
      <c r="F91">
        <f>HYPERLINK("http://pbs.twimg.com/media/DdXRSDxU0AALubY.jpg", "http://pbs.twimg.com/media/DdXRSDxU0AALubY.jpg")</f>
        <v/>
      </c>
      <c r="G91" t="s"/>
      <c r="H91" t="s"/>
      <c r="I91" t="s"/>
      <c r="J91" t="n">
        <v>0</v>
      </c>
      <c r="K91" t="n">
        <v>0</v>
      </c>
      <c r="L91" t="n">
        <v>1</v>
      </c>
      <c r="M91" t="n">
        <v>0</v>
      </c>
    </row>
    <row r="92" spans="1:13">
      <c r="A92" s="1">
        <f>HYPERLINK("http://www.twitter.com/NathanBLawrence/status/996961644331917312", "996961644331917312")</f>
        <v/>
      </c>
      <c r="B92" s="2" t="n">
        <v>43237.16149305556</v>
      </c>
      <c r="C92" t="n">
        <v>0</v>
      </c>
      <c r="D92" t="n">
        <v>1</v>
      </c>
      <c r="E92" t="s">
        <v>102</v>
      </c>
      <c r="F92" t="s"/>
      <c r="G92" t="s"/>
      <c r="H92" t="s"/>
      <c r="I92" t="s"/>
      <c r="J92" t="n">
        <v>-0.3597</v>
      </c>
      <c r="K92" t="n">
        <v>0.116</v>
      </c>
      <c r="L92" t="n">
        <v>0.884</v>
      </c>
      <c r="M92" t="n">
        <v>0</v>
      </c>
    </row>
    <row r="93" spans="1:13">
      <c r="A93" s="1">
        <f>HYPERLINK("http://www.twitter.com/NathanBLawrence/status/996961489465593857", "996961489465593857")</f>
        <v/>
      </c>
      <c r="B93" s="2" t="n">
        <v>43237.16106481481</v>
      </c>
      <c r="C93" t="n">
        <v>5</v>
      </c>
      <c r="D93" t="n">
        <v>2</v>
      </c>
      <c r="E93" t="s">
        <v>103</v>
      </c>
      <c r="F93" t="s"/>
      <c r="G93" t="s"/>
      <c r="H93" t="s"/>
      <c r="I93" t="s"/>
      <c r="J93" t="n">
        <v>0.1739</v>
      </c>
      <c r="K93" t="n">
        <v>0.047</v>
      </c>
      <c r="L93" t="n">
        <v>0.891</v>
      </c>
      <c r="M93" t="n">
        <v>0.062</v>
      </c>
    </row>
    <row r="94" spans="1:13">
      <c r="A94" s="1">
        <f>HYPERLINK("http://www.twitter.com/NathanBLawrence/status/996961283374309376", "996961283374309376")</f>
        <v/>
      </c>
      <c r="B94" s="2" t="n">
        <v>43237.16049768519</v>
      </c>
      <c r="C94" t="n">
        <v>0</v>
      </c>
      <c r="D94" t="n">
        <v>3</v>
      </c>
      <c r="E94" t="s">
        <v>104</v>
      </c>
      <c r="F94" t="s"/>
      <c r="G94" t="s"/>
      <c r="H94" t="s"/>
      <c r="I94" t="s"/>
      <c r="J94" t="n">
        <v>0</v>
      </c>
      <c r="K94" t="n">
        <v>0</v>
      </c>
      <c r="L94" t="n">
        <v>1</v>
      </c>
      <c r="M94" t="n">
        <v>0</v>
      </c>
    </row>
    <row r="95" spans="1:13">
      <c r="A95" s="1">
        <f>HYPERLINK("http://www.twitter.com/NathanBLawrence/status/996961162276278272", "996961162276278272")</f>
        <v/>
      </c>
      <c r="B95" s="2" t="n">
        <v>43237.16016203703</v>
      </c>
      <c r="C95" t="n">
        <v>0</v>
      </c>
      <c r="D95" t="n">
        <v>5</v>
      </c>
      <c r="E95" t="s">
        <v>105</v>
      </c>
      <c r="F95" t="s"/>
      <c r="G95" t="s"/>
      <c r="H95" t="s"/>
      <c r="I95" t="s"/>
      <c r="J95" t="n">
        <v>0</v>
      </c>
      <c r="K95" t="n">
        <v>0</v>
      </c>
      <c r="L95" t="n">
        <v>1</v>
      </c>
      <c r="M95" t="n">
        <v>0</v>
      </c>
    </row>
    <row r="96" spans="1:13">
      <c r="A96" s="1">
        <f>HYPERLINK("http://www.twitter.com/NathanBLawrence/status/996961134052855808", "996961134052855808")</f>
        <v/>
      </c>
      <c r="B96" s="2" t="n">
        <v>43237.16008101852</v>
      </c>
      <c r="C96" t="n">
        <v>0</v>
      </c>
      <c r="D96" t="n">
        <v>35</v>
      </c>
      <c r="E96" t="s">
        <v>106</v>
      </c>
      <c r="F96" t="s"/>
      <c r="G96" t="s"/>
      <c r="H96" t="s"/>
      <c r="I96" t="s"/>
      <c r="J96" t="n">
        <v>-0.8016</v>
      </c>
      <c r="K96" t="n">
        <v>0.304</v>
      </c>
      <c r="L96" t="n">
        <v>0.696</v>
      </c>
      <c r="M96" t="n">
        <v>0</v>
      </c>
    </row>
    <row r="97" spans="1:13">
      <c r="A97" s="1">
        <f>HYPERLINK("http://www.twitter.com/NathanBLawrence/status/996961100997554181", "996961100997554181")</f>
        <v/>
      </c>
      <c r="B97" s="2" t="n">
        <v>43237.15998842593</v>
      </c>
      <c r="C97" t="n">
        <v>0</v>
      </c>
      <c r="D97" t="n">
        <v>1</v>
      </c>
      <c r="E97" t="s">
        <v>107</v>
      </c>
      <c r="F97" t="s"/>
      <c r="G97" t="s"/>
      <c r="H97" t="s"/>
      <c r="I97" t="s"/>
      <c r="J97" t="n">
        <v>0.6249</v>
      </c>
      <c r="K97" t="n">
        <v>0</v>
      </c>
      <c r="L97" t="n">
        <v>0.594</v>
      </c>
      <c r="M97" t="n">
        <v>0.406</v>
      </c>
    </row>
    <row r="98" spans="1:13">
      <c r="A98" s="1">
        <f>HYPERLINK("http://www.twitter.com/NathanBLawrence/status/996960907166212096", "996960907166212096")</f>
        <v/>
      </c>
      <c r="B98" s="2" t="n">
        <v>43237.15945601852</v>
      </c>
      <c r="C98" t="n">
        <v>0</v>
      </c>
      <c r="D98" t="n">
        <v>1</v>
      </c>
      <c r="E98" t="s">
        <v>108</v>
      </c>
      <c r="F98">
        <f>HYPERLINK("http://pbs.twimg.com/media/DdXqp6uVAAAr_rP.jpg", "http://pbs.twimg.com/media/DdXqp6uVAAAr_rP.jpg")</f>
        <v/>
      </c>
      <c r="G98" t="s"/>
      <c r="H98" t="s"/>
      <c r="I98" t="s"/>
      <c r="J98" t="n">
        <v>0</v>
      </c>
      <c r="K98" t="n">
        <v>0</v>
      </c>
      <c r="L98" t="n">
        <v>1</v>
      </c>
      <c r="M98" t="n">
        <v>0</v>
      </c>
    </row>
    <row r="99" spans="1:13">
      <c r="A99" s="1">
        <f>HYPERLINK("http://www.twitter.com/NathanBLawrence/status/996960579989528582", "996960579989528582")</f>
        <v/>
      </c>
      <c r="B99" s="2" t="n">
        <v>43237.15855324074</v>
      </c>
      <c r="C99" t="n">
        <v>0</v>
      </c>
      <c r="D99" t="n">
        <v>7</v>
      </c>
      <c r="E99" t="s">
        <v>109</v>
      </c>
      <c r="F99" t="s"/>
      <c r="G99" t="s"/>
      <c r="H99" t="s"/>
      <c r="I99" t="s"/>
      <c r="J99" t="n">
        <v>0.4019</v>
      </c>
      <c r="K99" t="n">
        <v>0</v>
      </c>
      <c r="L99" t="n">
        <v>0.891</v>
      </c>
      <c r="M99" t="n">
        <v>0.109</v>
      </c>
    </row>
    <row r="100" spans="1:13">
      <c r="A100" s="1">
        <f>HYPERLINK("http://www.twitter.com/NathanBLawrence/status/996960536188407810", "996960536188407810")</f>
        <v/>
      </c>
      <c r="B100" s="2" t="n">
        <v>43237.1584375</v>
      </c>
      <c r="C100" t="n">
        <v>0</v>
      </c>
      <c r="D100" t="n">
        <v>13</v>
      </c>
      <c r="E100" t="s">
        <v>110</v>
      </c>
      <c r="F100" t="s"/>
      <c r="G100" t="s"/>
      <c r="H100" t="s"/>
      <c r="I100" t="s"/>
      <c r="J100" t="n">
        <v>0</v>
      </c>
      <c r="K100" t="n">
        <v>0</v>
      </c>
      <c r="L100" t="n">
        <v>1</v>
      </c>
      <c r="M100" t="n">
        <v>0</v>
      </c>
    </row>
    <row r="101" spans="1:13">
      <c r="A101" s="1">
        <f>HYPERLINK("http://www.twitter.com/NathanBLawrence/status/996960378914590720", "996960378914590720")</f>
        <v/>
      </c>
      <c r="B101" s="2" t="n">
        <v>43237.15799768519</v>
      </c>
      <c r="C101" t="n">
        <v>1</v>
      </c>
      <c r="D101" t="n">
        <v>0</v>
      </c>
      <c r="E101" t="s">
        <v>111</v>
      </c>
      <c r="F101" t="s"/>
      <c r="G101" t="s"/>
      <c r="H101" t="s"/>
      <c r="I101" t="s"/>
      <c r="J101" t="n">
        <v>0.25</v>
      </c>
      <c r="K101" t="n">
        <v>0</v>
      </c>
      <c r="L101" t="n">
        <v>0.905</v>
      </c>
      <c r="M101" t="n">
        <v>0.095</v>
      </c>
    </row>
    <row r="102" spans="1:13">
      <c r="A102" s="1">
        <f>HYPERLINK("http://www.twitter.com/NathanBLawrence/status/996957449734230017", "996957449734230017")</f>
        <v/>
      </c>
      <c r="B102" s="2" t="n">
        <v>43237.14991898148</v>
      </c>
      <c r="C102" t="n">
        <v>0</v>
      </c>
      <c r="D102" t="n">
        <v>0</v>
      </c>
      <c r="E102" t="s">
        <v>112</v>
      </c>
      <c r="F102">
        <f>HYPERLINK("http://pbs.twimg.com/media/DdXngvPU0AEqe0q.jpg", "http://pbs.twimg.com/media/DdXngvPU0AEqe0q.jpg")</f>
        <v/>
      </c>
      <c r="G102" t="s"/>
      <c r="H102" t="s"/>
      <c r="I102" t="s"/>
      <c r="J102" t="n">
        <v>-0.9419</v>
      </c>
      <c r="K102" t="n">
        <v>0.267</v>
      </c>
      <c r="L102" t="n">
        <v>0.704</v>
      </c>
      <c r="M102" t="n">
        <v>0.029</v>
      </c>
    </row>
    <row r="103" spans="1:13">
      <c r="A103" s="1">
        <f>HYPERLINK("http://www.twitter.com/NathanBLawrence/status/996954775097958401", "996954775097958401")</f>
        <v/>
      </c>
      <c r="B103" s="2" t="n">
        <v>43237.14253472222</v>
      </c>
      <c r="C103" t="n">
        <v>0</v>
      </c>
      <c r="D103" t="n">
        <v>1</v>
      </c>
      <c r="E103" t="s">
        <v>36</v>
      </c>
      <c r="F103">
        <f>HYPERLINK("http://pbs.twimg.com/media/DdXkQnRVwAAcCjF.jpg", "http://pbs.twimg.com/media/DdXkQnRVwAAcCjF.jpg")</f>
        <v/>
      </c>
      <c r="G103" t="s"/>
      <c r="H103" t="s"/>
      <c r="I103" t="s"/>
      <c r="J103" t="n">
        <v>0</v>
      </c>
      <c r="K103" t="n">
        <v>0</v>
      </c>
      <c r="L103" t="n">
        <v>1</v>
      </c>
      <c r="M103" t="n">
        <v>0</v>
      </c>
    </row>
    <row r="104" spans="1:13">
      <c r="A104" s="1">
        <f>HYPERLINK("http://www.twitter.com/NathanBLawrence/status/996954526027567104", "996954526027567104")</f>
        <v/>
      </c>
      <c r="B104" s="2" t="n">
        <v>43237.14185185185</v>
      </c>
      <c r="C104" t="n">
        <v>0</v>
      </c>
      <c r="D104" t="n">
        <v>6</v>
      </c>
      <c r="E104" t="s">
        <v>113</v>
      </c>
      <c r="F104">
        <f>HYPERLINK("http://pbs.twimg.com/media/DdXZi1VXUAA9syn.jpg", "http://pbs.twimg.com/media/DdXZi1VXUAA9syn.jpg")</f>
        <v/>
      </c>
      <c r="G104" t="s"/>
      <c r="H104" t="s"/>
      <c r="I104" t="s"/>
      <c r="J104" t="n">
        <v>-0.5423</v>
      </c>
      <c r="K104" t="n">
        <v>0.17</v>
      </c>
      <c r="L104" t="n">
        <v>0.83</v>
      </c>
      <c r="M104" t="n">
        <v>0</v>
      </c>
    </row>
    <row r="105" spans="1:13">
      <c r="A105" s="1">
        <f>HYPERLINK("http://www.twitter.com/NathanBLawrence/status/996954440530833408", "996954440530833408")</f>
        <v/>
      </c>
      <c r="B105" s="2" t="n">
        <v>43237.14160879629</v>
      </c>
      <c r="C105" t="n">
        <v>0</v>
      </c>
      <c r="D105" t="n">
        <v>10</v>
      </c>
      <c r="E105" t="s">
        <v>114</v>
      </c>
      <c r="F105">
        <f>HYPERLINK("http://pbs.twimg.com/media/DdXgT08V0AA31-A.jpg", "http://pbs.twimg.com/media/DdXgT08V0AA31-A.jpg")</f>
        <v/>
      </c>
      <c r="G105">
        <f>HYPERLINK("http://pbs.twimg.com/media/DdXgT9VVAAAsFa4.jpg", "http://pbs.twimg.com/media/DdXgT9VVAAAsFa4.jpg")</f>
        <v/>
      </c>
      <c r="H105" t="s"/>
      <c r="I105" t="s"/>
      <c r="J105" t="n">
        <v>0.0516</v>
      </c>
      <c r="K105" t="n">
        <v>0.093</v>
      </c>
      <c r="L105" t="n">
        <v>0.806</v>
      </c>
      <c r="M105" t="n">
        <v>0.101</v>
      </c>
    </row>
    <row r="106" spans="1:13">
      <c r="A106" s="1">
        <f>HYPERLINK("http://www.twitter.com/NathanBLawrence/status/996953875407044608", "996953875407044608")</f>
        <v/>
      </c>
      <c r="B106" s="2" t="n">
        <v>43237.14005787037</v>
      </c>
      <c r="C106" t="n">
        <v>2</v>
      </c>
      <c r="D106" t="n">
        <v>1</v>
      </c>
      <c r="E106" t="s">
        <v>115</v>
      </c>
      <c r="F106">
        <f>HYPERLINK("http://pbs.twimg.com/media/DdXkQnRVwAAcCjF.jpg", "http://pbs.twimg.com/media/DdXkQnRVwAAcCjF.jpg")</f>
        <v/>
      </c>
      <c r="G106" t="s"/>
      <c r="H106" t="s"/>
      <c r="I106" t="s"/>
      <c r="J106" t="n">
        <v>0</v>
      </c>
      <c r="K106" t="n">
        <v>0</v>
      </c>
      <c r="L106" t="n">
        <v>1</v>
      </c>
      <c r="M106" t="n">
        <v>0</v>
      </c>
    </row>
    <row r="107" spans="1:13">
      <c r="A107" s="1">
        <f>HYPERLINK("http://www.twitter.com/NathanBLawrence/status/996953030523346944", "996953030523346944")</f>
        <v/>
      </c>
      <c r="B107" s="2" t="n">
        <v>43237.1377199074</v>
      </c>
      <c r="C107" t="n">
        <v>5</v>
      </c>
      <c r="D107" t="n">
        <v>2</v>
      </c>
      <c r="E107" t="s">
        <v>116</v>
      </c>
      <c r="F107">
        <f>HYPERLINK("http://pbs.twimg.com/media/DdXjfdbV0AApc9V.jpg", "http://pbs.twimg.com/media/DdXjfdbV0AApc9V.jpg")</f>
        <v/>
      </c>
      <c r="G107" t="s"/>
      <c r="H107" t="s"/>
      <c r="I107" t="s"/>
      <c r="J107" t="n">
        <v>-0.7862</v>
      </c>
      <c r="K107" t="n">
        <v>0.163</v>
      </c>
      <c r="L107" t="n">
        <v>0.792</v>
      </c>
      <c r="M107" t="n">
        <v>0.045</v>
      </c>
    </row>
    <row r="108" spans="1:13">
      <c r="A108" s="1">
        <f>HYPERLINK("http://www.twitter.com/NathanBLawrence/status/996948111208648704", "996948111208648704")</f>
        <v/>
      </c>
      <c r="B108" s="2" t="n">
        <v>43237.12414351852</v>
      </c>
      <c r="C108" t="n">
        <v>9</v>
      </c>
      <c r="D108" t="n">
        <v>3</v>
      </c>
      <c r="E108" t="s">
        <v>117</v>
      </c>
      <c r="F108">
        <f>HYPERLINK("http://pbs.twimg.com/media/DdXfBF1UwAA3ucv.jpg", "http://pbs.twimg.com/media/DdXfBF1UwAA3ucv.jpg")</f>
        <v/>
      </c>
      <c r="G108" t="s"/>
      <c r="H108" t="s"/>
      <c r="I108" t="s"/>
      <c r="J108" t="n">
        <v>0.4026</v>
      </c>
      <c r="K108" t="n">
        <v>0.052</v>
      </c>
      <c r="L108" t="n">
        <v>0.831</v>
      </c>
      <c r="M108" t="n">
        <v>0.116</v>
      </c>
    </row>
    <row r="109" spans="1:13">
      <c r="A109" s="1">
        <f>HYPERLINK("http://www.twitter.com/NathanBLawrence/status/996946943392796674", "996946943392796674")</f>
        <v/>
      </c>
      <c r="B109" s="2" t="n">
        <v>43237.12092592593</v>
      </c>
      <c r="C109" t="n">
        <v>9</v>
      </c>
      <c r="D109" t="n">
        <v>4</v>
      </c>
      <c r="E109" t="s">
        <v>118</v>
      </c>
      <c r="F109">
        <f>HYPERLINK("http://pbs.twimg.com/media/DdXd9HQVwAACpK-.jpg", "http://pbs.twimg.com/media/DdXd9HQVwAACpK-.jpg")</f>
        <v/>
      </c>
      <c r="G109" t="s"/>
      <c r="H109" t="s"/>
      <c r="I109" t="s"/>
      <c r="J109" t="n">
        <v>0.6147</v>
      </c>
      <c r="K109" t="n">
        <v>0.133</v>
      </c>
      <c r="L109" t="n">
        <v>0.653</v>
      </c>
      <c r="M109" t="n">
        <v>0.213</v>
      </c>
    </row>
    <row r="110" spans="1:13">
      <c r="A110" s="1">
        <f>HYPERLINK("http://www.twitter.com/NathanBLawrence/status/996945549717921792", "996945549717921792")</f>
        <v/>
      </c>
      <c r="B110" s="2" t="n">
        <v>43237.11708333333</v>
      </c>
      <c r="C110" t="n">
        <v>0</v>
      </c>
      <c r="D110" t="n">
        <v>33</v>
      </c>
      <c r="E110" t="s">
        <v>119</v>
      </c>
      <c r="F110">
        <f>HYPERLINK("http://pbs.twimg.com/media/DdXNHd7VMAEO5bP.jpg", "http://pbs.twimg.com/media/DdXNHd7VMAEO5bP.jpg")</f>
        <v/>
      </c>
      <c r="G110" t="s"/>
      <c r="H110" t="s"/>
      <c r="I110" t="s"/>
      <c r="J110" t="n">
        <v>0</v>
      </c>
      <c r="K110" t="n">
        <v>0</v>
      </c>
      <c r="L110" t="n">
        <v>1</v>
      </c>
      <c r="M110" t="n">
        <v>0</v>
      </c>
    </row>
    <row r="111" spans="1:13">
      <c r="A111" s="1">
        <f>HYPERLINK("http://www.twitter.com/NathanBLawrence/status/996937756080304130", "996937756080304130")</f>
        <v/>
      </c>
      <c r="B111" s="2" t="n">
        <v>43237.09556712963</v>
      </c>
      <c r="C111" t="n">
        <v>0</v>
      </c>
      <c r="D111" t="n">
        <v>8</v>
      </c>
      <c r="E111" t="s">
        <v>120</v>
      </c>
      <c r="F111" t="s"/>
      <c r="G111" t="s"/>
      <c r="H111" t="s"/>
      <c r="I111" t="s"/>
      <c r="J111" t="n">
        <v>0</v>
      </c>
      <c r="K111" t="n">
        <v>0</v>
      </c>
      <c r="L111" t="n">
        <v>1</v>
      </c>
      <c r="M111" t="n">
        <v>0</v>
      </c>
    </row>
    <row r="112" spans="1:13">
      <c r="A112" s="1">
        <f>HYPERLINK("http://www.twitter.com/NathanBLawrence/status/996937315061829633", "996937315061829633")</f>
        <v/>
      </c>
      <c r="B112" s="2" t="n">
        <v>43237.09435185185</v>
      </c>
      <c r="C112" t="n">
        <v>0</v>
      </c>
      <c r="D112" t="n">
        <v>1</v>
      </c>
      <c r="E112" t="s">
        <v>121</v>
      </c>
      <c r="F112">
        <f>HYPERLINK("http://pbs.twimg.com/media/DdXPar-V4AAbhGU.jpg", "http://pbs.twimg.com/media/DdXPar-V4AAbhGU.jpg")</f>
        <v/>
      </c>
      <c r="G112" t="s"/>
      <c r="H112" t="s"/>
      <c r="I112" t="s"/>
      <c r="J112" t="n">
        <v>0</v>
      </c>
      <c r="K112" t="n">
        <v>0</v>
      </c>
      <c r="L112" t="n">
        <v>1</v>
      </c>
      <c r="M112" t="n">
        <v>0</v>
      </c>
    </row>
    <row r="113" spans="1:13">
      <c r="A113" s="1">
        <f>HYPERLINK("http://www.twitter.com/NathanBLawrence/status/996937262691692544", "996937262691692544")</f>
        <v/>
      </c>
      <c r="B113" s="2" t="n">
        <v>43237.09421296296</v>
      </c>
      <c r="C113" t="n">
        <v>1</v>
      </c>
      <c r="D113" t="n">
        <v>0</v>
      </c>
      <c r="E113" t="s">
        <v>122</v>
      </c>
      <c r="F113" t="s"/>
      <c r="G113" t="s"/>
      <c r="H113" t="s"/>
      <c r="I113" t="s"/>
      <c r="J113" t="n">
        <v>0.296</v>
      </c>
      <c r="K113" t="n">
        <v>0.104</v>
      </c>
      <c r="L113" t="n">
        <v>0.696</v>
      </c>
      <c r="M113" t="n">
        <v>0.2</v>
      </c>
    </row>
    <row r="114" spans="1:13">
      <c r="A114" s="1">
        <f>HYPERLINK("http://www.twitter.com/NathanBLawrence/status/996936728937140224", "996936728937140224")</f>
        <v/>
      </c>
      <c r="B114" s="2" t="n">
        <v>43237.09274305555</v>
      </c>
      <c r="C114" t="n">
        <v>0</v>
      </c>
      <c r="D114" t="n">
        <v>2</v>
      </c>
      <c r="E114" t="s">
        <v>123</v>
      </c>
      <c r="F114" t="s"/>
      <c r="G114" t="s"/>
      <c r="H114" t="s"/>
      <c r="I114" t="s"/>
      <c r="J114" t="n">
        <v>0.3612</v>
      </c>
      <c r="K114" t="n">
        <v>0</v>
      </c>
      <c r="L114" t="n">
        <v>0.783</v>
      </c>
      <c r="M114" t="n">
        <v>0.217</v>
      </c>
    </row>
    <row r="115" spans="1:13">
      <c r="A115" s="1">
        <f>HYPERLINK("http://www.twitter.com/NathanBLawrence/status/996934728816132097", "996934728816132097")</f>
        <v/>
      </c>
      <c r="B115" s="2" t="n">
        <v>43237.08722222222</v>
      </c>
      <c r="C115" t="n">
        <v>2</v>
      </c>
      <c r="D115" t="n">
        <v>2</v>
      </c>
      <c r="E115" t="s">
        <v>124</v>
      </c>
      <c r="F115">
        <f>HYPERLINK("http://pbs.twimg.com/media/DdXS2HoU0AAuxwl.jpg", "http://pbs.twimg.com/media/DdXS2HoU0AAuxwl.jpg")</f>
        <v/>
      </c>
      <c r="G115" t="s"/>
      <c r="H115" t="s"/>
      <c r="I115" t="s"/>
      <c r="J115" t="n">
        <v>0.8625</v>
      </c>
      <c r="K115" t="n">
        <v>0.059</v>
      </c>
      <c r="L115" t="n">
        <v>0.663</v>
      </c>
      <c r="M115" t="n">
        <v>0.278</v>
      </c>
    </row>
    <row r="116" spans="1:13">
      <c r="A116" s="1">
        <f>HYPERLINK("http://www.twitter.com/NathanBLawrence/status/996933010317545477", "996933010317545477")</f>
        <v/>
      </c>
      <c r="B116" s="2" t="n">
        <v>43237.08247685185</v>
      </c>
      <c r="C116" t="n">
        <v>6</v>
      </c>
      <c r="D116" t="n">
        <v>2</v>
      </c>
      <c r="E116" t="s">
        <v>125</v>
      </c>
      <c r="F116">
        <f>HYPERLINK("http://pbs.twimg.com/media/DdXRSDxU0AALubY.jpg", "http://pbs.twimg.com/media/DdXRSDxU0AALubY.jpg")</f>
        <v/>
      </c>
      <c r="G116" t="s"/>
      <c r="H116" t="s"/>
      <c r="I116" t="s"/>
      <c r="J116" t="n">
        <v>0.727</v>
      </c>
      <c r="K116" t="n">
        <v>0</v>
      </c>
      <c r="L116" t="n">
        <v>0.914</v>
      </c>
      <c r="M116" t="n">
        <v>0.08599999999999999</v>
      </c>
    </row>
    <row r="117" spans="1:13">
      <c r="A117" s="1">
        <f>HYPERLINK("http://www.twitter.com/NathanBLawrence/status/996931381203750912", "996931381203750912")</f>
        <v/>
      </c>
      <c r="B117" s="2" t="n">
        <v>43237.07798611111</v>
      </c>
      <c r="C117" t="n">
        <v>0</v>
      </c>
      <c r="D117" t="n">
        <v>4</v>
      </c>
      <c r="E117" t="s">
        <v>126</v>
      </c>
      <c r="F117" t="s"/>
      <c r="G117" t="s"/>
      <c r="H117" t="s"/>
      <c r="I117" t="s"/>
      <c r="J117" t="n">
        <v>0</v>
      </c>
      <c r="K117" t="n">
        <v>0</v>
      </c>
      <c r="L117" t="n">
        <v>1</v>
      </c>
      <c r="M117" t="n">
        <v>0</v>
      </c>
    </row>
    <row r="118" spans="1:13">
      <c r="A118" s="1">
        <f>HYPERLINK("http://www.twitter.com/NathanBLawrence/status/996931226954076160", "996931226954076160")</f>
        <v/>
      </c>
      <c r="B118" s="2" t="n">
        <v>43237.07755787037</v>
      </c>
      <c r="C118" t="n">
        <v>0</v>
      </c>
      <c r="D118" t="n">
        <v>2</v>
      </c>
      <c r="E118" t="s">
        <v>127</v>
      </c>
      <c r="F118" t="s"/>
      <c r="G118" t="s"/>
      <c r="H118" t="s"/>
      <c r="I118" t="s"/>
      <c r="J118" t="n">
        <v>0</v>
      </c>
      <c r="K118" t="n">
        <v>0</v>
      </c>
      <c r="L118" t="n">
        <v>1</v>
      </c>
      <c r="M118" t="n">
        <v>0</v>
      </c>
    </row>
    <row r="119" spans="1:13">
      <c r="A119" s="1">
        <f>HYPERLINK("http://www.twitter.com/NathanBLawrence/status/996931201972801536", "996931201972801536")</f>
        <v/>
      </c>
      <c r="B119" s="2" t="n">
        <v>43237.07748842592</v>
      </c>
      <c r="C119" t="n">
        <v>0</v>
      </c>
      <c r="D119" t="n">
        <v>2</v>
      </c>
      <c r="E119" t="s">
        <v>128</v>
      </c>
      <c r="F119" t="s"/>
      <c r="G119" t="s"/>
      <c r="H119" t="s"/>
      <c r="I119" t="s"/>
      <c r="J119" t="n">
        <v>0</v>
      </c>
      <c r="K119" t="n">
        <v>0</v>
      </c>
      <c r="L119" t="n">
        <v>1</v>
      </c>
      <c r="M119" t="n">
        <v>0</v>
      </c>
    </row>
    <row r="120" spans="1:13">
      <c r="A120" s="1">
        <f>HYPERLINK("http://www.twitter.com/NathanBLawrence/status/996930959659425793", "996930959659425793")</f>
        <v/>
      </c>
      <c r="B120" s="2" t="n">
        <v>43237.07681712963</v>
      </c>
      <c r="C120" t="n">
        <v>1</v>
      </c>
      <c r="D120" t="n">
        <v>1</v>
      </c>
      <c r="E120" t="s">
        <v>129</v>
      </c>
      <c r="F120">
        <f>HYPERLINK("http://pbs.twimg.com/media/DdXPar-V4AAbhGU.jpg", "http://pbs.twimg.com/media/DdXPar-V4AAbhGU.jpg")</f>
        <v/>
      </c>
      <c r="G120" t="s"/>
      <c r="H120" t="s"/>
      <c r="I120" t="s"/>
      <c r="J120" t="n">
        <v>0.727</v>
      </c>
      <c r="K120" t="n">
        <v>0</v>
      </c>
      <c r="L120" t="n">
        <v>0.855</v>
      </c>
      <c r="M120" t="n">
        <v>0.145</v>
      </c>
    </row>
    <row r="121" spans="1:13">
      <c r="A121" s="1">
        <f>HYPERLINK("http://www.twitter.com/NathanBLawrence/status/996930214595891200", "996930214595891200")</f>
        <v/>
      </c>
      <c r="B121" s="2" t="n">
        <v>43237.07475694444</v>
      </c>
      <c r="C121" t="n">
        <v>2</v>
      </c>
      <c r="D121" t="n">
        <v>2</v>
      </c>
      <c r="E121" t="s">
        <v>130</v>
      </c>
      <c r="F121">
        <f>HYPERLINK("http://pbs.twimg.com/media/DdXOvYFV0AA3Aot.jpg", "http://pbs.twimg.com/media/DdXOvYFV0AA3Aot.jpg")</f>
        <v/>
      </c>
      <c r="G121" t="s"/>
      <c r="H121" t="s"/>
      <c r="I121" t="s"/>
      <c r="J121" t="n">
        <v>0.7579</v>
      </c>
      <c r="K121" t="n">
        <v>0</v>
      </c>
      <c r="L121" t="n">
        <v>0.842</v>
      </c>
      <c r="M121" t="n">
        <v>0.158</v>
      </c>
    </row>
    <row r="122" spans="1:13">
      <c r="A122" s="1">
        <f>HYPERLINK("http://www.twitter.com/NathanBLawrence/status/996923921734733825", "996923921734733825")</f>
        <v/>
      </c>
      <c r="B122" s="2" t="n">
        <v>43237.05739583333</v>
      </c>
      <c r="C122" t="n">
        <v>0</v>
      </c>
      <c r="D122" t="n">
        <v>6</v>
      </c>
      <c r="E122" t="s">
        <v>131</v>
      </c>
      <c r="F122" t="s"/>
      <c r="G122" t="s"/>
      <c r="H122" t="s"/>
      <c r="I122" t="s"/>
      <c r="J122" t="n">
        <v>0</v>
      </c>
      <c r="K122" t="n">
        <v>0</v>
      </c>
      <c r="L122" t="n">
        <v>1</v>
      </c>
      <c r="M122" t="n">
        <v>0</v>
      </c>
    </row>
    <row r="123" spans="1:13">
      <c r="A123" s="1">
        <f>HYPERLINK("http://www.twitter.com/NathanBLawrence/status/996923741748760576", "996923741748760576")</f>
        <v/>
      </c>
      <c r="B123" s="2" t="n">
        <v>43237.05689814815</v>
      </c>
      <c r="C123" t="n">
        <v>0</v>
      </c>
      <c r="D123" t="n">
        <v>8</v>
      </c>
      <c r="E123" t="s">
        <v>132</v>
      </c>
      <c r="F123" t="s"/>
      <c r="G123" t="s"/>
      <c r="H123" t="s"/>
      <c r="I123" t="s"/>
      <c r="J123" t="n">
        <v>0</v>
      </c>
      <c r="K123" t="n">
        <v>0</v>
      </c>
      <c r="L123" t="n">
        <v>1</v>
      </c>
      <c r="M123" t="n">
        <v>0</v>
      </c>
    </row>
    <row r="124" spans="1:13">
      <c r="A124" s="1">
        <f>HYPERLINK("http://www.twitter.com/NathanBLawrence/status/996918809054400512", "996918809054400512")</f>
        <v/>
      </c>
      <c r="B124" s="2" t="n">
        <v>43237.04328703704</v>
      </c>
      <c r="C124" t="n">
        <v>0</v>
      </c>
      <c r="D124" t="n">
        <v>7</v>
      </c>
      <c r="E124" t="s">
        <v>133</v>
      </c>
      <c r="F124">
        <f>HYPERLINK("http://pbs.twimg.com/media/DdW8IrLX0AApRbB.jpg", "http://pbs.twimg.com/media/DdW8IrLX0AApRbB.jpg")</f>
        <v/>
      </c>
      <c r="G124" t="s"/>
      <c r="H124" t="s"/>
      <c r="I124" t="s"/>
      <c r="J124" t="n">
        <v>0</v>
      </c>
      <c r="K124" t="n">
        <v>0</v>
      </c>
      <c r="L124" t="n">
        <v>1</v>
      </c>
      <c r="M124" t="n">
        <v>0</v>
      </c>
    </row>
    <row r="125" spans="1:13">
      <c r="A125" s="1">
        <f>HYPERLINK("http://www.twitter.com/NathanBLawrence/status/996914849283272705", "996914849283272705")</f>
        <v/>
      </c>
      <c r="B125" s="2" t="n">
        <v>43237.03236111111</v>
      </c>
      <c r="C125" t="n">
        <v>0</v>
      </c>
      <c r="D125" t="n">
        <v>1</v>
      </c>
      <c r="E125" t="s">
        <v>134</v>
      </c>
      <c r="F125" t="s"/>
      <c r="G125" t="s"/>
      <c r="H125" t="s"/>
      <c r="I125" t="s"/>
      <c r="J125" t="n">
        <v>0</v>
      </c>
      <c r="K125" t="n">
        <v>0</v>
      </c>
      <c r="L125" t="n">
        <v>1</v>
      </c>
      <c r="M125" t="n">
        <v>0</v>
      </c>
    </row>
    <row r="126" spans="1:13">
      <c r="A126" s="1">
        <f>HYPERLINK("http://www.twitter.com/NathanBLawrence/status/996914760322109441", "996914760322109441")</f>
        <v/>
      </c>
      <c r="B126" s="2" t="n">
        <v>43237.03211805555</v>
      </c>
      <c r="C126" t="n">
        <v>0</v>
      </c>
      <c r="D126" t="n">
        <v>10</v>
      </c>
      <c r="E126" t="s">
        <v>135</v>
      </c>
      <c r="F126">
        <f>HYPERLINK("http://pbs.twimg.com/media/DdW2eNpVAAAqYaJ.jpg", "http://pbs.twimg.com/media/DdW2eNpVAAAqYaJ.jpg")</f>
        <v/>
      </c>
      <c r="G126" t="s"/>
      <c r="H126" t="s"/>
      <c r="I126" t="s"/>
      <c r="J126" t="n">
        <v>0</v>
      </c>
      <c r="K126" t="n">
        <v>0</v>
      </c>
      <c r="L126" t="n">
        <v>1</v>
      </c>
      <c r="M126" t="n">
        <v>0</v>
      </c>
    </row>
    <row r="127" spans="1:13">
      <c r="A127" s="1">
        <f>HYPERLINK("http://www.twitter.com/NathanBLawrence/status/996914733650468865", "996914733650468865")</f>
        <v/>
      </c>
      <c r="B127" s="2" t="n">
        <v>43237.03203703704</v>
      </c>
      <c r="C127" t="n">
        <v>0</v>
      </c>
      <c r="D127" t="n">
        <v>1</v>
      </c>
      <c r="E127" t="s">
        <v>134</v>
      </c>
      <c r="F127" t="s"/>
      <c r="G127" t="s"/>
      <c r="H127" t="s"/>
      <c r="I127" t="s"/>
      <c r="J127" t="n">
        <v>0</v>
      </c>
      <c r="K127" t="n">
        <v>0</v>
      </c>
      <c r="L127" t="n">
        <v>1</v>
      </c>
      <c r="M127" t="n">
        <v>0</v>
      </c>
    </row>
    <row r="128" spans="1:13">
      <c r="A128" s="1">
        <f>HYPERLINK("http://www.twitter.com/NathanBLawrence/status/996914081507545088", "996914081507545088")</f>
        <v/>
      </c>
      <c r="B128" s="2" t="n">
        <v>43237.03024305555</v>
      </c>
      <c r="C128" t="n">
        <v>1</v>
      </c>
      <c r="D128" t="n">
        <v>1</v>
      </c>
      <c r="E128" t="s">
        <v>136</v>
      </c>
      <c r="F128" t="s"/>
      <c r="G128" t="s"/>
      <c r="H128" t="s"/>
      <c r="I128" t="s"/>
      <c r="J128" t="n">
        <v>0.4939</v>
      </c>
      <c r="K128" t="n">
        <v>0</v>
      </c>
      <c r="L128" t="n">
        <v>0.833</v>
      </c>
      <c r="M128" t="n">
        <v>0.167</v>
      </c>
    </row>
    <row r="129" spans="1:13">
      <c r="A129" s="1">
        <f>HYPERLINK("http://www.twitter.com/NathanBLawrence/status/996913964037656576", "996913964037656576")</f>
        <v/>
      </c>
      <c r="B129" s="2" t="n">
        <v>43237.02991898148</v>
      </c>
      <c r="C129" t="n">
        <v>0</v>
      </c>
      <c r="D129" t="n">
        <v>1</v>
      </c>
      <c r="E129" t="s">
        <v>137</v>
      </c>
      <c r="F129" t="s"/>
      <c r="G129" t="s"/>
      <c r="H129" t="s"/>
      <c r="I129" t="s"/>
      <c r="J129" t="n">
        <v>0</v>
      </c>
      <c r="K129" t="n">
        <v>0</v>
      </c>
      <c r="L129" t="n">
        <v>1</v>
      </c>
      <c r="M129" t="n">
        <v>0</v>
      </c>
    </row>
    <row r="130" spans="1:13">
      <c r="A130" s="1">
        <f>HYPERLINK("http://www.twitter.com/NathanBLawrence/status/996913285453709312", "996913285453709312")</f>
        <v/>
      </c>
      <c r="B130" s="2" t="n">
        <v>43237.02804398148</v>
      </c>
      <c r="C130" t="n">
        <v>0</v>
      </c>
      <c r="D130" t="n">
        <v>7</v>
      </c>
      <c r="E130" t="s">
        <v>138</v>
      </c>
      <c r="F130">
        <f>HYPERLINK("http://pbs.twimg.com/media/DdW7H2rWkAERjav.jpg", "http://pbs.twimg.com/media/DdW7H2rWkAERjav.jpg")</f>
        <v/>
      </c>
      <c r="G130" t="s"/>
      <c r="H130" t="s"/>
      <c r="I130" t="s"/>
      <c r="J130" t="n">
        <v>0</v>
      </c>
      <c r="K130" t="n">
        <v>0</v>
      </c>
      <c r="L130" t="n">
        <v>1</v>
      </c>
      <c r="M130" t="n">
        <v>0</v>
      </c>
    </row>
    <row r="131" spans="1:13">
      <c r="A131" s="1">
        <f>HYPERLINK("http://www.twitter.com/NathanBLawrence/status/996912913108684801", "996912913108684801")</f>
        <v/>
      </c>
      <c r="B131" s="2" t="n">
        <v>43237.02701388889</v>
      </c>
      <c r="C131" t="n">
        <v>0</v>
      </c>
      <c r="D131" t="n">
        <v>6</v>
      </c>
      <c r="E131" t="s">
        <v>134</v>
      </c>
      <c r="F131">
        <f>HYPERLINK("http://pbs.twimg.com/media/DdW9Kv7W0AINhTy.jpg", "http://pbs.twimg.com/media/DdW9Kv7W0AINhTy.jpg")</f>
        <v/>
      </c>
      <c r="G131" t="s"/>
      <c r="H131" t="s"/>
      <c r="I131" t="s"/>
      <c r="J131" t="n">
        <v>0</v>
      </c>
      <c r="K131" t="n">
        <v>0</v>
      </c>
      <c r="L131" t="n">
        <v>1</v>
      </c>
      <c r="M131" t="n">
        <v>0</v>
      </c>
    </row>
    <row r="132" spans="1:13">
      <c r="A132" s="1">
        <f>HYPERLINK("http://www.twitter.com/NathanBLawrence/status/996912685076963329", "996912685076963329")</f>
        <v/>
      </c>
      <c r="B132" s="2" t="n">
        <v>43237.02638888889</v>
      </c>
      <c r="C132" t="n">
        <v>0</v>
      </c>
      <c r="D132" t="n">
        <v>1</v>
      </c>
      <c r="E132" t="s">
        <v>137</v>
      </c>
      <c r="F132" t="s"/>
      <c r="G132" t="s"/>
      <c r="H132" t="s"/>
      <c r="I132" t="s"/>
      <c r="J132" t="n">
        <v>0</v>
      </c>
      <c r="K132" t="n">
        <v>0</v>
      </c>
      <c r="L132" t="n">
        <v>1</v>
      </c>
      <c r="M132" t="n">
        <v>0</v>
      </c>
    </row>
    <row r="133" spans="1:13">
      <c r="A133" s="1">
        <f>HYPERLINK("http://www.twitter.com/NathanBLawrence/status/996912251956350976", "996912251956350976")</f>
        <v/>
      </c>
      <c r="B133" s="2" t="n">
        <v>43237.02519675926</v>
      </c>
      <c r="C133" t="n">
        <v>0</v>
      </c>
      <c r="D133" t="n">
        <v>1</v>
      </c>
      <c r="E133" t="s">
        <v>139</v>
      </c>
      <c r="F133" t="s"/>
      <c r="G133" t="s"/>
      <c r="H133" t="s"/>
      <c r="I133" t="s"/>
      <c r="J133" t="n">
        <v>0</v>
      </c>
      <c r="K133" t="n">
        <v>0</v>
      </c>
      <c r="L133" t="n">
        <v>1</v>
      </c>
      <c r="M133" t="n">
        <v>0</v>
      </c>
    </row>
    <row r="134" spans="1:13">
      <c r="A134" s="1">
        <f>HYPERLINK("http://www.twitter.com/NathanBLawrence/status/996912178690248704", "996912178690248704")</f>
        <v/>
      </c>
      <c r="B134" s="2" t="n">
        <v>43237.02498842592</v>
      </c>
      <c r="C134" t="n">
        <v>1</v>
      </c>
      <c r="D134" t="n">
        <v>0</v>
      </c>
      <c r="E134" t="s">
        <v>140</v>
      </c>
      <c r="F134" t="s"/>
      <c r="G134" t="s"/>
      <c r="H134" t="s"/>
      <c r="I134" t="s"/>
      <c r="J134" t="n">
        <v>0.1531</v>
      </c>
      <c r="K134" t="n">
        <v>0.07199999999999999</v>
      </c>
      <c r="L134" t="n">
        <v>0.838</v>
      </c>
      <c r="M134" t="n">
        <v>0.09</v>
      </c>
    </row>
    <row r="135" spans="1:13">
      <c r="A135" s="1">
        <f>HYPERLINK("http://www.twitter.com/NathanBLawrence/status/996910891525378048", "996910891525378048")</f>
        <v/>
      </c>
      <c r="B135" s="2" t="n">
        <v>43237.02143518518</v>
      </c>
      <c r="C135" t="n">
        <v>9</v>
      </c>
      <c r="D135" t="n">
        <v>6</v>
      </c>
      <c r="E135" t="s">
        <v>141</v>
      </c>
      <c r="F135">
        <f>HYPERLINK("http://pbs.twimg.com/media/DdW9Kv7W0AINhTy.jpg", "http://pbs.twimg.com/media/DdW9Kv7W0AINhTy.jpg")</f>
        <v/>
      </c>
      <c r="G135" t="s"/>
      <c r="H135" t="s"/>
      <c r="I135" t="s"/>
      <c r="J135" t="n">
        <v>0.743</v>
      </c>
      <c r="K135" t="n">
        <v>0.055</v>
      </c>
      <c r="L135" t="n">
        <v>0.805</v>
      </c>
      <c r="M135" t="n">
        <v>0.14</v>
      </c>
    </row>
    <row r="136" spans="1:13">
      <c r="A136" s="1">
        <f>HYPERLINK("http://www.twitter.com/NathanBLawrence/status/996909972159188992", "996909972159188992")</f>
        <v/>
      </c>
      <c r="B136" s="2" t="n">
        <v>43237.01890046296</v>
      </c>
      <c r="C136" t="n">
        <v>0</v>
      </c>
      <c r="D136" t="n">
        <v>9</v>
      </c>
      <c r="E136" t="s">
        <v>142</v>
      </c>
      <c r="F136">
        <f>HYPERLINK("http://pbs.twimg.com/media/DdW7H2rWkAERjav.jpg", "http://pbs.twimg.com/media/DdW7H2rWkAERjav.jpg")</f>
        <v/>
      </c>
      <c r="G136" t="s"/>
      <c r="H136" t="s"/>
      <c r="I136" t="s"/>
      <c r="J136" t="n">
        <v>0</v>
      </c>
      <c r="K136" t="n">
        <v>0</v>
      </c>
      <c r="L136" t="n">
        <v>1</v>
      </c>
      <c r="M136" t="n">
        <v>0</v>
      </c>
    </row>
    <row r="137" spans="1:13">
      <c r="A137" s="1">
        <f>HYPERLINK("http://www.twitter.com/NathanBLawrence/status/996909757431676928", "996909757431676928")</f>
        <v/>
      </c>
      <c r="B137" s="2" t="n">
        <v>43237.01831018519</v>
      </c>
      <c r="C137" t="n">
        <v>12</v>
      </c>
      <c r="D137" t="n">
        <v>7</v>
      </c>
      <c r="E137" t="s">
        <v>143</v>
      </c>
      <c r="F137">
        <f>HYPERLINK("http://pbs.twimg.com/media/DdW8IrLX0AApRbB.jpg", "http://pbs.twimg.com/media/DdW8IrLX0AApRbB.jpg")</f>
        <v/>
      </c>
      <c r="G137" t="s"/>
      <c r="H137" t="s"/>
      <c r="I137" t="s"/>
      <c r="J137" t="n">
        <v>0.727</v>
      </c>
      <c r="K137" t="n">
        <v>0</v>
      </c>
      <c r="L137" t="n">
        <v>0.896</v>
      </c>
      <c r="M137" t="n">
        <v>0.104</v>
      </c>
    </row>
    <row r="138" spans="1:13">
      <c r="A138" s="1">
        <f>HYPERLINK("http://www.twitter.com/NathanBLawrence/status/996909023676035077", "996909023676035077")</f>
        <v/>
      </c>
      <c r="B138" s="2" t="n">
        <v>43237.01628472222</v>
      </c>
      <c r="C138" t="n">
        <v>0</v>
      </c>
      <c r="D138" t="n">
        <v>8</v>
      </c>
      <c r="E138" t="s">
        <v>144</v>
      </c>
      <c r="F138">
        <f>HYPERLINK("http://pbs.twimg.com/media/DdW3wMlX0AATztx.jpg", "http://pbs.twimg.com/media/DdW3wMlX0AATztx.jpg")</f>
        <v/>
      </c>
      <c r="G138" t="s"/>
      <c r="H138" t="s"/>
      <c r="I138" t="s"/>
      <c r="J138" t="n">
        <v>0</v>
      </c>
      <c r="K138" t="n">
        <v>0</v>
      </c>
      <c r="L138" t="n">
        <v>1</v>
      </c>
      <c r="M138" t="n">
        <v>0</v>
      </c>
    </row>
    <row r="139" spans="1:13">
      <c r="A139" s="1">
        <f>HYPERLINK("http://www.twitter.com/NathanBLawrence/status/996908916054331393", "996908916054331393")</f>
        <v/>
      </c>
      <c r="B139" s="2" t="n">
        <v>43237.01598379629</v>
      </c>
      <c r="C139" t="n">
        <v>0</v>
      </c>
      <c r="D139" t="n">
        <v>6</v>
      </c>
      <c r="E139" t="s">
        <v>145</v>
      </c>
      <c r="F139">
        <f>HYPERLINK("http://pbs.twimg.com/media/DdW4SquXcAEA4Ue.jpg", "http://pbs.twimg.com/media/DdW4SquXcAEA4Ue.jpg")</f>
        <v/>
      </c>
      <c r="G139" t="s"/>
      <c r="H139" t="s"/>
      <c r="I139" t="s"/>
      <c r="J139" t="n">
        <v>0</v>
      </c>
      <c r="K139" t="n">
        <v>0</v>
      </c>
      <c r="L139" t="n">
        <v>1</v>
      </c>
      <c r="M139" t="n">
        <v>0</v>
      </c>
    </row>
    <row r="140" spans="1:13">
      <c r="A140" s="1">
        <f>HYPERLINK("http://www.twitter.com/NathanBLawrence/status/996908618120335361", "996908618120335361")</f>
        <v/>
      </c>
      <c r="B140" s="2" t="n">
        <v>43237.01516203704</v>
      </c>
      <c r="C140" t="n">
        <v>4</v>
      </c>
      <c r="D140" t="n">
        <v>1</v>
      </c>
      <c r="E140" t="s">
        <v>146</v>
      </c>
      <c r="F140" t="s"/>
      <c r="G140" t="s"/>
      <c r="H140" t="s"/>
      <c r="I140" t="s"/>
      <c r="J140" t="n">
        <v>0</v>
      </c>
      <c r="K140" t="n">
        <v>0</v>
      </c>
      <c r="L140" t="n">
        <v>1</v>
      </c>
      <c r="M140" t="n">
        <v>0</v>
      </c>
    </row>
    <row r="141" spans="1:13">
      <c r="A141" s="1">
        <f>HYPERLINK("http://www.twitter.com/NathanBLawrence/status/996905267911507968", "996905267911507968")</f>
        <v/>
      </c>
      <c r="B141" s="2" t="n">
        <v>43237.00592592593</v>
      </c>
      <c r="C141" t="n">
        <v>0</v>
      </c>
      <c r="D141" t="n">
        <v>0</v>
      </c>
      <c r="E141" t="s">
        <v>147</v>
      </c>
      <c r="F141" t="s"/>
      <c r="G141" t="s"/>
      <c r="H141" t="s"/>
      <c r="I141" t="s"/>
      <c r="J141" t="n">
        <v>-0.974</v>
      </c>
      <c r="K141" t="n">
        <v>0.413</v>
      </c>
      <c r="L141" t="n">
        <v>0.587</v>
      </c>
      <c r="M141" t="n">
        <v>0</v>
      </c>
    </row>
    <row r="142" spans="1:13">
      <c r="A142" s="1">
        <f>HYPERLINK("http://www.twitter.com/NathanBLawrence/status/996903529821458432", "996903529821458432")</f>
        <v/>
      </c>
      <c r="B142" s="2" t="n">
        <v>43237.00112268519</v>
      </c>
      <c r="C142" t="n">
        <v>11</v>
      </c>
      <c r="D142" t="n">
        <v>10</v>
      </c>
      <c r="E142" t="s">
        <v>148</v>
      </c>
      <c r="F142">
        <f>HYPERLINK("http://pbs.twimg.com/media/DdW2eNpVAAAqYaJ.jpg", "http://pbs.twimg.com/media/DdW2eNpVAAAqYaJ.jpg")</f>
        <v/>
      </c>
      <c r="G142" t="s"/>
      <c r="H142" t="s"/>
      <c r="I142" t="s"/>
      <c r="J142" t="n">
        <v>0</v>
      </c>
      <c r="K142" t="n">
        <v>0</v>
      </c>
      <c r="L142" t="n">
        <v>1</v>
      </c>
      <c r="M142" t="n">
        <v>0</v>
      </c>
    </row>
    <row r="143" spans="1:13">
      <c r="A143" s="1">
        <f>HYPERLINK("http://www.twitter.com/NathanBLawrence/status/996899585258909696", "996899585258909696")</f>
        <v/>
      </c>
      <c r="B143" s="2" t="n">
        <v>43236.99024305555</v>
      </c>
      <c r="C143" t="n">
        <v>7</v>
      </c>
      <c r="D143" t="n">
        <v>5</v>
      </c>
      <c r="E143" t="s">
        <v>149</v>
      </c>
      <c r="F143">
        <f>HYPERLINK("http://pbs.twimg.com/media/DdWy4U1VQAA8U-m.jpg", "http://pbs.twimg.com/media/DdWy4U1VQAA8U-m.jpg")</f>
        <v/>
      </c>
      <c r="G143" t="s"/>
      <c r="H143" t="s"/>
      <c r="I143" t="s"/>
      <c r="J143" t="n">
        <v>-0.8689</v>
      </c>
      <c r="K143" t="n">
        <v>0.208</v>
      </c>
      <c r="L143" t="n">
        <v>0.742</v>
      </c>
      <c r="M143" t="n">
        <v>0.05</v>
      </c>
    </row>
    <row r="144" spans="1:13">
      <c r="A144" s="1">
        <f>HYPERLINK("http://www.twitter.com/NathanBLawrence/status/996889546485829634", "996889546485829634")</f>
        <v/>
      </c>
      <c r="B144" s="2" t="n">
        <v>43236.96253472222</v>
      </c>
      <c r="C144" t="n">
        <v>0</v>
      </c>
      <c r="D144" t="n">
        <v>1</v>
      </c>
      <c r="E144" t="s">
        <v>150</v>
      </c>
      <c r="F144" t="s"/>
      <c r="G144" t="s"/>
      <c r="H144" t="s"/>
      <c r="I144" t="s"/>
      <c r="J144" t="n">
        <v>-0.6767</v>
      </c>
      <c r="K144" t="n">
        <v>0.246</v>
      </c>
      <c r="L144" t="n">
        <v>0.754</v>
      </c>
      <c r="M144" t="n">
        <v>0</v>
      </c>
    </row>
    <row r="145" spans="1:13">
      <c r="A145" s="1">
        <f>HYPERLINK("http://www.twitter.com/NathanBLawrence/status/996881419958935552", "996881419958935552")</f>
        <v/>
      </c>
      <c r="B145" s="2" t="n">
        <v>43236.94011574074</v>
      </c>
      <c r="C145" t="n">
        <v>0</v>
      </c>
      <c r="D145" t="n">
        <v>2</v>
      </c>
      <c r="E145" t="s">
        <v>151</v>
      </c>
      <c r="F145" t="s"/>
      <c r="G145" t="s"/>
      <c r="H145" t="s"/>
      <c r="I145" t="s"/>
      <c r="J145" t="n">
        <v>-0.5266999999999999</v>
      </c>
      <c r="K145" t="n">
        <v>0.221</v>
      </c>
      <c r="L145" t="n">
        <v>0.779</v>
      </c>
      <c r="M145" t="n">
        <v>0</v>
      </c>
    </row>
    <row r="146" spans="1:13">
      <c r="A146" s="1">
        <f>HYPERLINK("http://www.twitter.com/NathanBLawrence/status/996881386442313728", "996881386442313728")</f>
        <v/>
      </c>
      <c r="B146" s="2" t="n">
        <v>43236.94002314815</v>
      </c>
      <c r="C146" t="n">
        <v>0</v>
      </c>
      <c r="D146" t="n">
        <v>2</v>
      </c>
      <c r="E146" t="s">
        <v>152</v>
      </c>
      <c r="F146" t="s"/>
      <c r="G146" t="s"/>
      <c r="H146" t="s"/>
      <c r="I146" t="s"/>
      <c r="J146" t="n">
        <v>-0.2732</v>
      </c>
      <c r="K146" t="n">
        <v>0.093</v>
      </c>
      <c r="L146" t="n">
        <v>0.855</v>
      </c>
      <c r="M146" t="n">
        <v>0.052</v>
      </c>
    </row>
    <row r="147" spans="1:13">
      <c r="A147" s="1">
        <f>HYPERLINK("http://www.twitter.com/NathanBLawrence/status/996881115246989318", "996881115246989318")</f>
        <v/>
      </c>
      <c r="B147" s="2" t="n">
        <v>43236.93927083333</v>
      </c>
      <c r="C147" t="n">
        <v>0</v>
      </c>
      <c r="D147" t="n">
        <v>1</v>
      </c>
      <c r="E147" t="s">
        <v>153</v>
      </c>
      <c r="F147" t="s"/>
      <c r="G147" t="s"/>
      <c r="H147" t="s"/>
      <c r="I147" t="s"/>
      <c r="J147" t="n">
        <v>0.2023</v>
      </c>
      <c r="K147" t="n">
        <v>0.122</v>
      </c>
      <c r="L147" t="n">
        <v>0.705</v>
      </c>
      <c r="M147" t="n">
        <v>0.173</v>
      </c>
    </row>
    <row r="148" spans="1:13">
      <c r="A148" s="1">
        <f>HYPERLINK("http://www.twitter.com/NathanBLawrence/status/996877901999104001", "996877901999104001")</f>
        <v/>
      </c>
      <c r="B148" s="2" t="n">
        <v>43236.93040509259</v>
      </c>
      <c r="C148" t="n">
        <v>4</v>
      </c>
      <c r="D148" t="n">
        <v>1</v>
      </c>
      <c r="E148" t="s">
        <v>154</v>
      </c>
      <c r="F148" t="s"/>
      <c r="G148" t="s"/>
      <c r="H148" t="s"/>
      <c r="I148" t="s"/>
      <c r="J148" t="n">
        <v>-0.6767</v>
      </c>
      <c r="K148" t="n">
        <v>0.275</v>
      </c>
      <c r="L148" t="n">
        <v>0.725</v>
      </c>
      <c r="M148" t="n">
        <v>0</v>
      </c>
    </row>
    <row r="149" spans="1:13">
      <c r="A149" s="1">
        <f>HYPERLINK("http://www.twitter.com/NathanBLawrence/status/996877470975627266", "996877470975627266")</f>
        <v/>
      </c>
      <c r="B149" s="2" t="n">
        <v>43236.92921296296</v>
      </c>
      <c r="C149" t="n">
        <v>0</v>
      </c>
      <c r="D149" t="n">
        <v>2</v>
      </c>
      <c r="E149" t="s">
        <v>155</v>
      </c>
      <c r="F149" t="s"/>
      <c r="G149" t="s"/>
      <c r="H149" t="s"/>
      <c r="I149" t="s"/>
      <c r="J149" t="n">
        <v>-0.5106000000000001</v>
      </c>
      <c r="K149" t="n">
        <v>0.13</v>
      </c>
      <c r="L149" t="n">
        <v>0.87</v>
      </c>
      <c r="M149" t="n">
        <v>0</v>
      </c>
    </row>
    <row r="150" spans="1:13">
      <c r="A150" s="1">
        <f>HYPERLINK("http://www.twitter.com/NathanBLawrence/status/996877225273253889", "996877225273253889")</f>
        <v/>
      </c>
      <c r="B150" s="2" t="n">
        <v>43236.92854166667</v>
      </c>
      <c r="C150" t="n">
        <v>0</v>
      </c>
      <c r="D150" t="n">
        <v>7</v>
      </c>
      <c r="E150" t="s">
        <v>156</v>
      </c>
      <c r="F150">
        <f>HYPERLINK("http://pbs.twimg.com/media/DdRYEQ-W0AAh-o0.jpg", "http://pbs.twimg.com/media/DdRYEQ-W0AAh-o0.jpg")</f>
        <v/>
      </c>
      <c r="G150" t="s"/>
      <c r="H150" t="s"/>
      <c r="I150" t="s"/>
      <c r="J150" t="n">
        <v>0.4939</v>
      </c>
      <c r="K150" t="n">
        <v>0</v>
      </c>
      <c r="L150" t="n">
        <v>0.8139999999999999</v>
      </c>
      <c r="M150" t="n">
        <v>0.186</v>
      </c>
    </row>
    <row r="151" spans="1:13">
      <c r="A151" s="1">
        <f>HYPERLINK("http://www.twitter.com/NathanBLawrence/status/996877149238976517", "996877149238976517")</f>
        <v/>
      </c>
      <c r="B151" s="2" t="n">
        <v>43236.92833333334</v>
      </c>
      <c r="C151" t="n">
        <v>0</v>
      </c>
      <c r="D151" t="n">
        <v>3</v>
      </c>
      <c r="E151" t="s">
        <v>157</v>
      </c>
      <c r="F151" t="s"/>
      <c r="G151" t="s"/>
      <c r="H151" t="s"/>
      <c r="I151" t="s"/>
      <c r="J151" t="n">
        <v>0</v>
      </c>
      <c r="K151" t="n">
        <v>0</v>
      </c>
      <c r="L151" t="n">
        <v>1</v>
      </c>
      <c r="M151" t="n">
        <v>0</v>
      </c>
    </row>
    <row r="152" spans="1:13">
      <c r="A152" s="1">
        <f>HYPERLINK("http://www.twitter.com/NathanBLawrence/status/996876960004542464", "996876960004542464")</f>
        <v/>
      </c>
      <c r="B152" s="2" t="n">
        <v>43236.9278125</v>
      </c>
      <c r="C152" t="n">
        <v>0</v>
      </c>
      <c r="D152" t="n">
        <v>9</v>
      </c>
      <c r="E152" t="s">
        <v>158</v>
      </c>
      <c r="F152" t="s"/>
      <c r="G152" t="s"/>
      <c r="H152" t="s"/>
      <c r="I152" t="s"/>
      <c r="J152" t="n">
        <v>0.2057</v>
      </c>
      <c r="K152" t="n">
        <v>0</v>
      </c>
      <c r="L152" t="n">
        <v>0.904</v>
      </c>
      <c r="M152" t="n">
        <v>0.096</v>
      </c>
    </row>
    <row r="153" spans="1:13">
      <c r="A153" s="1">
        <f>HYPERLINK("http://www.twitter.com/NathanBLawrence/status/996876787085922305", "996876787085922305")</f>
        <v/>
      </c>
      <c r="B153" s="2" t="n">
        <v>43236.92732638889</v>
      </c>
      <c r="C153" t="n">
        <v>0</v>
      </c>
      <c r="D153" t="n">
        <v>6</v>
      </c>
      <c r="E153" t="s">
        <v>159</v>
      </c>
      <c r="F153" t="s"/>
      <c r="G153" t="s"/>
      <c r="H153" t="s"/>
      <c r="I153" t="s"/>
      <c r="J153" t="n">
        <v>0.0258</v>
      </c>
      <c r="K153" t="n">
        <v>0.09</v>
      </c>
      <c r="L153" t="n">
        <v>0.8159999999999999</v>
      </c>
      <c r="M153" t="n">
        <v>0.094</v>
      </c>
    </row>
    <row r="154" spans="1:13">
      <c r="A154" s="1">
        <f>HYPERLINK("http://www.twitter.com/NathanBLawrence/status/996876695050293248", "996876695050293248")</f>
        <v/>
      </c>
      <c r="B154" s="2" t="n">
        <v>43236.92707175926</v>
      </c>
      <c r="C154" t="n">
        <v>0</v>
      </c>
      <c r="D154" t="n">
        <v>107</v>
      </c>
      <c r="E154" t="s">
        <v>160</v>
      </c>
      <c r="F154" t="s"/>
      <c r="G154" t="s"/>
      <c r="H154" t="s"/>
      <c r="I154" t="s"/>
      <c r="J154" t="n">
        <v>0.3612</v>
      </c>
      <c r="K154" t="n">
        <v>0</v>
      </c>
      <c r="L154" t="n">
        <v>0.898</v>
      </c>
      <c r="M154" t="n">
        <v>0.102</v>
      </c>
    </row>
    <row r="155" spans="1:13">
      <c r="A155" s="1">
        <f>HYPERLINK("http://www.twitter.com/NathanBLawrence/status/996876641547751424", "996876641547751424")</f>
        <v/>
      </c>
      <c r="B155" s="2" t="n">
        <v>43236.92693287037</v>
      </c>
      <c r="C155" t="n">
        <v>0</v>
      </c>
      <c r="D155" t="n">
        <v>1</v>
      </c>
      <c r="E155" t="s">
        <v>161</v>
      </c>
      <c r="F155" t="s"/>
      <c r="G155" t="s"/>
      <c r="H155" t="s"/>
      <c r="I155" t="s"/>
      <c r="J155" t="n">
        <v>0</v>
      </c>
      <c r="K155" t="n">
        <v>0</v>
      </c>
      <c r="L155" t="n">
        <v>1</v>
      </c>
      <c r="M155" t="n">
        <v>0</v>
      </c>
    </row>
    <row r="156" spans="1:13">
      <c r="A156" s="1">
        <f>HYPERLINK("http://www.twitter.com/NathanBLawrence/status/996874169626386432", "996874169626386432")</f>
        <v/>
      </c>
      <c r="B156" s="2" t="n">
        <v>43236.92010416667</v>
      </c>
      <c r="C156" t="n">
        <v>0</v>
      </c>
      <c r="D156" t="n">
        <v>0</v>
      </c>
      <c r="E156" t="s">
        <v>162</v>
      </c>
      <c r="F156" t="s"/>
      <c r="G156" t="s"/>
      <c r="H156" t="s"/>
      <c r="I156" t="s"/>
      <c r="J156" t="n">
        <v>-0.9666</v>
      </c>
      <c r="K156" t="n">
        <v>0.387</v>
      </c>
      <c r="L156" t="n">
        <v>0.5639999999999999</v>
      </c>
      <c r="M156" t="n">
        <v>0.049</v>
      </c>
    </row>
    <row r="157" spans="1:13">
      <c r="A157" s="1">
        <f>HYPERLINK("http://www.twitter.com/NathanBLawrence/status/996873325417783296", "996873325417783296")</f>
        <v/>
      </c>
      <c r="B157" s="2" t="n">
        <v>43236.91777777778</v>
      </c>
      <c r="C157" t="n">
        <v>0</v>
      </c>
      <c r="D157" t="n">
        <v>0</v>
      </c>
      <c r="E157" t="s">
        <v>163</v>
      </c>
      <c r="F157" t="s"/>
      <c r="G157" t="s"/>
      <c r="H157" t="s"/>
      <c r="I157" t="s"/>
      <c r="J157" t="n">
        <v>-0.6199</v>
      </c>
      <c r="K157" t="n">
        <v>0.143</v>
      </c>
      <c r="L157" t="n">
        <v>0.784</v>
      </c>
      <c r="M157" t="n">
        <v>0.073</v>
      </c>
    </row>
    <row r="158" spans="1:13">
      <c r="A158" s="1">
        <f>HYPERLINK("http://www.twitter.com/NathanBLawrence/status/996871687193931776", "996871687193931776")</f>
        <v/>
      </c>
      <c r="B158" s="2" t="n">
        <v>43236.91325231481</v>
      </c>
      <c r="C158" t="n">
        <v>1</v>
      </c>
      <c r="D158" t="n">
        <v>0</v>
      </c>
      <c r="E158" t="s">
        <v>164</v>
      </c>
      <c r="F158" t="s"/>
      <c r="G158" t="s"/>
      <c r="H158" t="s"/>
      <c r="I158" t="s"/>
      <c r="J158" t="n">
        <v>-0.8326</v>
      </c>
      <c r="K158" t="n">
        <v>0.147</v>
      </c>
      <c r="L158" t="n">
        <v>0.853</v>
      </c>
      <c r="M158" t="n">
        <v>0</v>
      </c>
    </row>
    <row r="159" spans="1:13">
      <c r="A159" s="1">
        <f>HYPERLINK("http://www.twitter.com/NathanBLawrence/status/996866494763077634", "996866494763077634")</f>
        <v/>
      </c>
      <c r="B159" s="2" t="n">
        <v>43236.89892361111</v>
      </c>
      <c r="C159" t="n">
        <v>0</v>
      </c>
      <c r="D159" t="n">
        <v>0</v>
      </c>
      <c r="E159" t="s">
        <v>165</v>
      </c>
      <c r="F159" t="s"/>
      <c r="G159" t="s"/>
      <c r="H159" t="s"/>
      <c r="I159" t="s"/>
      <c r="J159" t="n">
        <v>-0.4682</v>
      </c>
      <c r="K159" t="n">
        <v>0.144</v>
      </c>
      <c r="L159" t="n">
        <v>0.752</v>
      </c>
      <c r="M159" t="n">
        <v>0.104</v>
      </c>
    </row>
    <row r="160" spans="1:13">
      <c r="A160" s="1">
        <f>HYPERLINK("http://www.twitter.com/NathanBLawrence/status/996860507238912001", "996860507238912001")</f>
        <v/>
      </c>
      <c r="B160" s="2" t="n">
        <v>43236.88240740741</v>
      </c>
      <c r="C160" t="n">
        <v>1</v>
      </c>
      <c r="D160" t="n">
        <v>0</v>
      </c>
      <c r="E160" t="s">
        <v>166</v>
      </c>
      <c r="F160" t="s"/>
      <c r="G160" t="s"/>
      <c r="H160" t="s"/>
      <c r="I160" t="s"/>
      <c r="J160" t="n">
        <v>-0.4559</v>
      </c>
      <c r="K160" t="n">
        <v>0.187</v>
      </c>
      <c r="L160" t="n">
        <v>0.8129999999999999</v>
      </c>
      <c r="M160" t="n">
        <v>0</v>
      </c>
    </row>
    <row r="161" spans="1:13">
      <c r="A161" s="1">
        <f>HYPERLINK("http://www.twitter.com/NathanBLawrence/status/996860255618392064", "996860255618392064")</f>
        <v/>
      </c>
      <c r="B161" s="2" t="n">
        <v>43236.88171296296</v>
      </c>
      <c r="C161" t="n">
        <v>0</v>
      </c>
      <c r="D161" t="n">
        <v>1</v>
      </c>
      <c r="E161" t="s">
        <v>167</v>
      </c>
      <c r="F161">
        <f>HYPERLINK("http://pbs.twimg.com/media/DdWO-WlV0AAYgVi.jpg", "http://pbs.twimg.com/media/DdWO-WlV0AAYgVi.jpg")</f>
        <v/>
      </c>
      <c r="G161" t="s"/>
      <c r="H161" t="s"/>
      <c r="I161" t="s"/>
      <c r="J161" t="n">
        <v>0</v>
      </c>
      <c r="K161" t="n">
        <v>0</v>
      </c>
      <c r="L161" t="n">
        <v>1</v>
      </c>
      <c r="M161" t="n">
        <v>0</v>
      </c>
    </row>
    <row r="162" spans="1:13">
      <c r="A162" s="1">
        <f>HYPERLINK("http://www.twitter.com/NathanBLawrence/status/996834642484482048", "996834642484482048")</f>
        <v/>
      </c>
      <c r="B162" s="2" t="n">
        <v>43236.81103009259</v>
      </c>
      <c r="C162" t="n">
        <v>1</v>
      </c>
      <c r="D162" t="n">
        <v>0</v>
      </c>
      <c r="E162" t="s">
        <v>168</v>
      </c>
      <c r="F162">
        <f>HYPERLINK("http://pbs.twimg.com/media/DdV30jGVAAATXT9.jpg", "http://pbs.twimg.com/media/DdV30jGVAAATXT9.jpg")</f>
        <v/>
      </c>
      <c r="G162" t="s"/>
      <c r="H162" t="s"/>
      <c r="I162" t="s"/>
      <c r="J162" t="n">
        <v>0.6062</v>
      </c>
      <c r="K162" t="n">
        <v>0</v>
      </c>
      <c r="L162" t="n">
        <v>0.916</v>
      </c>
      <c r="M162" t="n">
        <v>0.08400000000000001</v>
      </c>
    </row>
    <row r="163" spans="1:13">
      <c r="A163" s="1">
        <f>HYPERLINK("http://www.twitter.com/NathanBLawrence/status/996831048775413760", "996831048775413760")</f>
        <v/>
      </c>
      <c r="B163" s="2" t="n">
        <v>43236.80111111111</v>
      </c>
      <c r="C163" t="n">
        <v>0</v>
      </c>
      <c r="D163" t="n">
        <v>8</v>
      </c>
      <c r="E163" t="s">
        <v>169</v>
      </c>
      <c r="F163" t="s"/>
      <c r="G163" t="s"/>
      <c r="H163" t="s"/>
      <c r="I163" t="s"/>
      <c r="J163" t="n">
        <v>0</v>
      </c>
      <c r="K163" t="n">
        <v>0</v>
      </c>
      <c r="L163" t="n">
        <v>1</v>
      </c>
      <c r="M163" t="n">
        <v>0</v>
      </c>
    </row>
    <row r="164" spans="1:13">
      <c r="A164" s="1">
        <f>HYPERLINK("http://www.twitter.com/NathanBLawrence/status/996831039938023425", "996831039938023425")</f>
        <v/>
      </c>
      <c r="B164" s="2" t="n">
        <v>43236.80108796297</v>
      </c>
      <c r="C164" t="n">
        <v>4</v>
      </c>
      <c r="D164" t="n">
        <v>1</v>
      </c>
      <c r="E164" t="s">
        <v>170</v>
      </c>
      <c r="F164">
        <f>HYPERLINK("http://pbs.twimg.com/media/DdV0iz0V0AATBTZ.jpg", "http://pbs.twimg.com/media/DdV0iz0V0AATBTZ.jpg")</f>
        <v/>
      </c>
      <c r="G164" t="s"/>
      <c r="H164" t="s"/>
      <c r="I164" t="s"/>
      <c r="J164" t="n">
        <v>0</v>
      </c>
      <c r="K164" t="n">
        <v>0</v>
      </c>
      <c r="L164" t="n">
        <v>1</v>
      </c>
      <c r="M164" t="n">
        <v>0</v>
      </c>
    </row>
    <row r="165" spans="1:13">
      <c r="A165" s="1">
        <f>HYPERLINK("http://www.twitter.com/NathanBLawrence/status/996827369628422145", "996827369628422145")</f>
        <v/>
      </c>
      <c r="B165" s="2" t="n">
        <v>43236.79096064815</v>
      </c>
      <c r="C165" t="n">
        <v>0</v>
      </c>
      <c r="D165" t="n">
        <v>8</v>
      </c>
      <c r="E165" t="s">
        <v>171</v>
      </c>
      <c r="F165" t="s"/>
      <c r="G165" t="s"/>
      <c r="H165" t="s"/>
      <c r="I165" t="s"/>
      <c r="J165" t="n">
        <v>0</v>
      </c>
      <c r="K165" t="n">
        <v>0</v>
      </c>
      <c r="L165" t="n">
        <v>1</v>
      </c>
      <c r="M165" t="n">
        <v>0</v>
      </c>
    </row>
    <row r="166" spans="1:13">
      <c r="A166" s="1">
        <f>HYPERLINK("http://www.twitter.com/NathanBLawrence/status/996820312225386496", "996820312225386496")</f>
        <v/>
      </c>
      <c r="B166" s="2" t="n">
        <v>43236.77149305555</v>
      </c>
      <c r="C166" t="n">
        <v>0</v>
      </c>
      <c r="D166" t="n">
        <v>16</v>
      </c>
      <c r="E166" t="s">
        <v>172</v>
      </c>
      <c r="F166">
        <f>HYPERLINK("http://pbs.twimg.com/media/DdVoL0IXcAAr1Ph.jpg", "http://pbs.twimg.com/media/DdVoL0IXcAAr1Ph.jpg")</f>
        <v/>
      </c>
      <c r="G166" t="s"/>
      <c r="H166" t="s"/>
      <c r="I166" t="s"/>
      <c r="J166" t="n">
        <v>-0.6114000000000001</v>
      </c>
      <c r="K166" t="n">
        <v>0.192</v>
      </c>
      <c r="L166" t="n">
        <v>0.8080000000000001</v>
      </c>
      <c r="M166" t="n">
        <v>0</v>
      </c>
    </row>
    <row r="167" spans="1:13">
      <c r="A167" s="1">
        <f>HYPERLINK("http://www.twitter.com/NathanBLawrence/status/996815200832671744", "996815200832671744")</f>
        <v/>
      </c>
      <c r="B167" s="2" t="n">
        <v>43236.75738425926</v>
      </c>
      <c r="C167" t="n">
        <v>6</v>
      </c>
      <c r="D167" t="n">
        <v>1</v>
      </c>
      <c r="E167" t="s">
        <v>173</v>
      </c>
      <c r="F167" t="s"/>
      <c r="G167" t="s"/>
      <c r="H167" t="s"/>
      <c r="I167" t="s"/>
      <c r="J167" t="n">
        <v>0</v>
      </c>
      <c r="K167" t="n">
        <v>0</v>
      </c>
      <c r="L167" t="n">
        <v>1</v>
      </c>
      <c r="M167" t="n">
        <v>0</v>
      </c>
    </row>
    <row r="168" spans="1:13">
      <c r="A168" s="1">
        <f>HYPERLINK("http://www.twitter.com/NathanBLawrence/status/996814673130475520", "996814673130475520")</f>
        <v/>
      </c>
      <c r="B168" s="2" t="n">
        <v>43236.75592592593</v>
      </c>
      <c r="C168" t="n">
        <v>0</v>
      </c>
      <c r="D168" t="n">
        <v>1</v>
      </c>
      <c r="E168" t="s">
        <v>174</v>
      </c>
      <c r="F168" t="s"/>
      <c r="G168" t="s"/>
      <c r="H168" t="s"/>
      <c r="I168" t="s"/>
      <c r="J168" t="n">
        <v>0</v>
      </c>
      <c r="K168" t="n">
        <v>0</v>
      </c>
      <c r="L168" t="n">
        <v>1</v>
      </c>
      <c r="M168" t="n">
        <v>0</v>
      </c>
    </row>
    <row r="169" spans="1:13">
      <c r="A169" s="1">
        <f>HYPERLINK("http://www.twitter.com/NathanBLawrence/status/996813242977718272", "996813242977718272")</f>
        <v/>
      </c>
      <c r="B169" s="2" t="n">
        <v>43236.75197916666</v>
      </c>
      <c r="C169" t="n">
        <v>1</v>
      </c>
      <c r="D169" t="n">
        <v>0</v>
      </c>
      <c r="E169" t="s">
        <v>175</v>
      </c>
      <c r="F169" t="s"/>
      <c r="G169" t="s"/>
      <c r="H169" t="s"/>
      <c r="I169" t="s"/>
      <c r="J169" t="n">
        <v>0</v>
      </c>
      <c r="K169" t="n">
        <v>0</v>
      </c>
      <c r="L169" t="n">
        <v>1</v>
      </c>
      <c r="M169" t="n">
        <v>0</v>
      </c>
    </row>
    <row r="170" spans="1:13">
      <c r="A170" s="1">
        <f>HYPERLINK("http://www.twitter.com/NathanBLawrence/status/996813183137566720", "996813183137566720")</f>
        <v/>
      </c>
      <c r="B170" s="2" t="n">
        <v>43236.75181712963</v>
      </c>
      <c r="C170" t="n">
        <v>0</v>
      </c>
      <c r="D170" t="n">
        <v>16</v>
      </c>
      <c r="E170" t="s">
        <v>176</v>
      </c>
      <c r="F170" t="s"/>
      <c r="G170" t="s"/>
      <c r="H170" t="s"/>
      <c r="I170" t="s"/>
      <c r="J170" t="n">
        <v>-0.2732</v>
      </c>
      <c r="K170" t="n">
        <v>0.13</v>
      </c>
      <c r="L170" t="n">
        <v>0.87</v>
      </c>
      <c r="M170" t="n">
        <v>0</v>
      </c>
    </row>
    <row r="171" spans="1:13">
      <c r="A171" s="1">
        <f>HYPERLINK("http://www.twitter.com/NathanBLawrence/status/996810483725471744", "996810483725471744")</f>
        <v/>
      </c>
      <c r="B171" s="2" t="n">
        <v>43236.74436342593</v>
      </c>
      <c r="C171" t="n">
        <v>0</v>
      </c>
      <c r="D171" t="n">
        <v>3</v>
      </c>
      <c r="E171" t="s">
        <v>177</v>
      </c>
      <c r="F171" t="s"/>
      <c r="G171" t="s"/>
      <c r="H171" t="s"/>
      <c r="I171" t="s"/>
      <c r="J171" t="n">
        <v>0.2263</v>
      </c>
      <c r="K171" t="n">
        <v>0.128</v>
      </c>
      <c r="L171" t="n">
        <v>0.712</v>
      </c>
      <c r="M171" t="n">
        <v>0.16</v>
      </c>
    </row>
    <row r="172" spans="1:13">
      <c r="A172" s="1">
        <f>HYPERLINK("http://www.twitter.com/NathanBLawrence/status/996809923110539264", "996809923110539264")</f>
        <v/>
      </c>
      <c r="B172" s="2" t="n">
        <v>43236.74282407408</v>
      </c>
      <c r="C172" t="n">
        <v>0</v>
      </c>
      <c r="D172" t="n">
        <v>6</v>
      </c>
      <c r="E172" t="s">
        <v>178</v>
      </c>
      <c r="F172" t="s"/>
      <c r="G172" t="s"/>
      <c r="H172" t="s"/>
      <c r="I172" t="s"/>
      <c r="J172" t="n">
        <v>-0.296</v>
      </c>
      <c r="K172" t="n">
        <v>0.196</v>
      </c>
      <c r="L172" t="n">
        <v>0.804</v>
      </c>
      <c r="M172" t="n">
        <v>0</v>
      </c>
    </row>
    <row r="173" spans="1:13">
      <c r="A173" s="1">
        <f>HYPERLINK("http://www.twitter.com/NathanBLawrence/status/996809903829381120", "996809903829381120")</f>
        <v/>
      </c>
      <c r="B173" s="2" t="n">
        <v>43236.7427662037</v>
      </c>
      <c r="C173" t="n">
        <v>0</v>
      </c>
      <c r="D173" t="n">
        <v>1</v>
      </c>
      <c r="E173" t="s">
        <v>179</v>
      </c>
      <c r="F173" t="s"/>
      <c r="G173" t="s"/>
      <c r="H173" t="s"/>
      <c r="I173" t="s"/>
      <c r="J173" t="n">
        <v>-0.7832</v>
      </c>
      <c r="K173" t="n">
        <v>0.33</v>
      </c>
      <c r="L173" t="n">
        <v>0.67</v>
      </c>
      <c r="M173" t="n">
        <v>0</v>
      </c>
    </row>
    <row r="174" spans="1:13">
      <c r="A174" s="1">
        <f>HYPERLINK("http://www.twitter.com/NathanBLawrence/status/996809887836459008", "996809887836459008")</f>
        <v/>
      </c>
      <c r="B174" s="2" t="n">
        <v>43236.74271990741</v>
      </c>
      <c r="C174" t="n">
        <v>0</v>
      </c>
      <c r="D174" t="n">
        <v>2</v>
      </c>
      <c r="E174" t="s">
        <v>180</v>
      </c>
      <c r="F174" t="s"/>
      <c r="G174" t="s"/>
      <c r="H174" t="s"/>
      <c r="I174" t="s"/>
      <c r="J174" t="n">
        <v>-0.5106000000000001</v>
      </c>
      <c r="K174" t="n">
        <v>0.142</v>
      </c>
      <c r="L174" t="n">
        <v>0.858</v>
      </c>
      <c r="M174" t="n">
        <v>0</v>
      </c>
    </row>
    <row r="175" spans="1:13">
      <c r="A175" s="1">
        <f>HYPERLINK("http://www.twitter.com/NathanBLawrence/status/996801946546819072", "996801946546819072")</f>
        <v/>
      </c>
      <c r="B175" s="2" t="n">
        <v>43236.72081018519</v>
      </c>
      <c r="C175" t="n">
        <v>0</v>
      </c>
      <c r="D175" t="n">
        <v>1461</v>
      </c>
      <c r="E175" t="s">
        <v>181</v>
      </c>
      <c r="F175" t="s"/>
      <c r="G175" t="s"/>
      <c r="H175" t="s"/>
      <c r="I175" t="s"/>
      <c r="J175" t="n">
        <v>0.126</v>
      </c>
      <c r="K175" t="n">
        <v>0.129</v>
      </c>
      <c r="L175" t="n">
        <v>0.67</v>
      </c>
      <c r="M175" t="n">
        <v>0.201</v>
      </c>
    </row>
    <row r="176" spans="1:13">
      <c r="A176" s="1">
        <f>HYPERLINK("http://www.twitter.com/NathanBLawrence/status/996801693898731526", "996801693898731526")</f>
        <v/>
      </c>
      <c r="B176" s="2" t="n">
        <v>43236.72011574074</v>
      </c>
      <c r="C176" t="n">
        <v>0</v>
      </c>
      <c r="D176" t="n">
        <v>85</v>
      </c>
      <c r="E176" t="s">
        <v>182</v>
      </c>
      <c r="F176" t="s"/>
      <c r="G176" t="s"/>
      <c r="H176" t="s"/>
      <c r="I176" t="s"/>
      <c r="J176" t="n">
        <v>0.5719</v>
      </c>
      <c r="K176" t="n">
        <v>0</v>
      </c>
      <c r="L176" t="n">
        <v>0.734</v>
      </c>
      <c r="M176" t="n">
        <v>0.266</v>
      </c>
    </row>
    <row r="177" spans="1:13">
      <c r="A177" s="1">
        <f>HYPERLINK("http://www.twitter.com/NathanBLawrence/status/996785796618313730", "996785796618313730")</f>
        <v/>
      </c>
      <c r="B177" s="2" t="n">
        <v>43236.67623842593</v>
      </c>
      <c r="C177" t="n">
        <v>0</v>
      </c>
      <c r="D177" t="n">
        <v>3</v>
      </c>
      <c r="E177" t="s">
        <v>183</v>
      </c>
      <c r="F177" t="s"/>
      <c r="G177" t="s"/>
      <c r="H177" t="s"/>
      <c r="I177" t="s"/>
      <c r="J177" t="n">
        <v>0.6369</v>
      </c>
      <c r="K177" t="n">
        <v>0</v>
      </c>
      <c r="L177" t="n">
        <v>0.819</v>
      </c>
      <c r="M177" t="n">
        <v>0.181</v>
      </c>
    </row>
    <row r="178" spans="1:13">
      <c r="A178" s="1">
        <f>HYPERLINK("http://www.twitter.com/NathanBLawrence/status/996785759205109761", "996785759205109761")</f>
        <v/>
      </c>
      <c r="B178" s="2" t="n">
        <v>43236.67614583333</v>
      </c>
      <c r="C178" t="n">
        <v>0</v>
      </c>
      <c r="D178" t="n">
        <v>9</v>
      </c>
      <c r="E178" t="s">
        <v>184</v>
      </c>
      <c r="F178">
        <f>HYPERLINK("http://pbs.twimg.com/media/DdVAbpjU0AEI-Nd.jpg", "http://pbs.twimg.com/media/DdVAbpjU0AEI-Nd.jpg")</f>
        <v/>
      </c>
      <c r="G178" t="s"/>
      <c r="H178" t="s"/>
      <c r="I178" t="s"/>
      <c r="J178" t="n">
        <v>0.3818</v>
      </c>
      <c r="K178" t="n">
        <v>0</v>
      </c>
      <c r="L178" t="n">
        <v>0.885</v>
      </c>
      <c r="M178" t="n">
        <v>0.115</v>
      </c>
    </row>
    <row r="179" spans="1:13">
      <c r="A179" s="1">
        <f>HYPERLINK("http://www.twitter.com/NathanBLawrence/status/996785744873222144", "996785744873222144")</f>
        <v/>
      </c>
      <c r="B179" s="2" t="n">
        <v>43236.67609953704</v>
      </c>
      <c r="C179" t="n">
        <v>0</v>
      </c>
      <c r="D179" t="n">
        <v>9</v>
      </c>
      <c r="E179" t="s">
        <v>185</v>
      </c>
      <c r="F179">
        <f>HYPERLINK("http://pbs.twimg.com/media/DdVBM6jU8AEnQVJ.jpg", "http://pbs.twimg.com/media/DdVBM6jU8AEnQVJ.jpg")</f>
        <v/>
      </c>
      <c r="G179" t="s"/>
      <c r="H179" t="s"/>
      <c r="I179" t="s"/>
      <c r="J179" t="n">
        <v>0</v>
      </c>
      <c r="K179" t="n">
        <v>0</v>
      </c>
      <c r="L179" t="n">
        <v>1</v>
      </c>
      <c r="M179" t="n">
        <v>0</v>
      </c>
    </row>
    <row r="180" spans="1:13">
      <c r="A180" s="1">
        <f>HYPERLINK("http://www.twitter.com/NathanBLawrence/status/996785727672287232", "996785727672287232")</f>
        <v/>
      </c>
      <c r="B180" s="2" t="n">
        <v>43236.67605324074</v>
      </c>
      <c r="C180" t="n">
        <v>0</v>
      </c>
      <c r="D180" t="n">
        <v>6</v>
      </c>
      <c r="E180" t="s">
        <v>186</v>
      </c>
      <c r="F180">
        <f>HYPERLINK("http://pbs.twimg.com/media/DdVB4qHVwAAbVAC.jpg", "http://pbs.twimg.com/media/DdVB4qHVwAAbVAC.jpg")</f>
        <v/>
      </c>
      <c r="G180" t="s"/>
      <c r="H180" t="s"/>
      <c r="I180" t="s"/>
      <c r="J180" t="n">
        <v>-0.5106000000000001</v>
      </c>
      <c r="K180" t="n">
        <v>0.223</v>
      </c>
      <c r="L180" t="n">
        <v>0.679</v>
      </c>
      <c r="M180" t="n">
        <v>0.098</v>
      </c>
    </row>
    <row r="181" spans="1:13">
      <c r="A181" s="1">
        <f>HYPERLINK("http://www.twitter.com/NathanBLawrence/status/996783334331224064", "996783334331224064")</f>
        <v/>
      </c>
      <c r="B181" s="2" t="n">
        <v>43236.66944444444</v>
      </c>
      <c r="C181" t="n">
        <v>7</v>
      </c>
      <c r="D181" t="n">
        <v>5</v>
      </c>
      <c r="E181" t="s">
        <v>187</v>
      </c>
      <c r="F181">
        <f>HYPERLINK("http://pbs.twimg.com/media/DdVJJv8V0AAXRop.jpg", "http://pbs.twimg.com/media/DdVJJv8V0AAXRop.jpg")</f>
        <v/>
      </c>
      <c r="G181" t="s"/>
      <c r="H181" t="s"/>
      <c r="I181" t="s"/>
      <c r="J181" t="n">
        <v>-0.7815</v>
      </c>
      <c r="K181" t="n">
        <v>0.151</v>
      </c>
      <c r="L181" t="n">
        <v>0.8070000000000001</v>
      </c>
      <c r="M181" t="n">
        <v>0.041</v>
      </c>
    </row>
    <row r="182" spans="1:13">
      <c r="A182" s="1">
        <f>HYPERLINK("http://www.twitter.com/NathanBLawrence/status/996782244172877824", "996782244172877824")</f>
        <v/>
      </c>
      <c r="B182" s="2" t="n">
        <v>43236.66643518519</v>
      </c>
      <c r="C182" t="n">
        <v>0</v>
      </c>
      <c r="D182" t="n">
        <v>0</v>
      </c>
      <c r="E182" t="s">
        <v>188</v>
      </c>
      <c r="F182" t="s"/>
      <c r="G182" t="s"/>
      <c r="H182" t="s"/>
      <c r="I182" t="s"/>
      <c r="J182" t="n">
        <v>-0.5574</v>
      </c>
      <c r="K182" t="n">
        <v>0.644</v>
      </c>
      <c r="L182" t="n">
        <v>0.111</v>
      </c>
      <c r="M182" t="n">
        <v>0.244</v>
      </c>
    </row>
    <row r="183" spans="1:13">
      <c r="A183" s="1">
        <f>HYPERLINK("http://www.twitter.com/NathanBLawrence/status/996781965805223936", "996781965805223936")</f>
        <v/>
      </c>
      <c r="B183" s="2" t="n">
        <v>43236.66567129629</v>
      </c>
      <c r="C183" t="n">
        <v>0</v>
      </c>
      <c r="D183" t="n">
        <v>1</v>
      </c>
      <c r="E183" t="s">
        <v>189</v>
      </c>
      <c r="F183" t="s"/>
      <c r="G183" t="s"/>
      <c r="H183" t="s"/>
      <c r="I183" t="s"/>
      <c r="J183" t="n">
        <v>-0.5719</v>
      </c>
      <c r="K183" t="n">
        <v>0.252</v>
      </c>
      <c r="L183" t="n">
        <v>0.748</v>
      </c>
      <c r="M183" t="n">
        <v>0</v>
      </c>
    </row>
    <row r="184" spans="1:13">
      <c r="A184" s="1">
        <f>HYPERLINK("http://www.twitter.com/NathanBLawrence/status/996781060062052352", "996781060062052352")</f>
        <v/>
      </c>
      <c r="B184" s="2" t="n">
        <v>43236.6631712963</v>
      </c>
      <c r="C184" t="n">
        <v>0</v>
      </c>
      <c r="D184" t="n">
        <v>31</v>
      </c>
      <c r="E184" t="s">
        <v>190</v>
      </c>
      <c r="F184" t="s"/>
      <c r="G184" t="s"/>
      <c r="H184" t="s"/>
      <c r="I184" t="s"/>
      <c r="J184" t="n">
        <v>-0.5994</v>
      </c>
      <c r="K184" t="n">
        <v>0.281</v>
      </c>
      <c r="L184" t="n">
        <v>0.719</v>
      </c>
      <c r="M184" t="n">
        <v>0</v>
      </c>
    </row>
    <row r="185" spans="1:13">
      <c r="A185" s="1">
        <f>HYPERLINK("http://www.twitter.com/NathanBLawrence/status/996780941132562432", "996780941132562432")</f>
        <v/>
      </c>
      <c r="B185" s="2" t="n">
        <v>43236.66284722222</v>
      </c>
      <c r="C185" t="n">
        <v>0</v>
      </c>
      <c r="D185" t="n">
        <v>1</v>
      </c>
      <c r="E185" t="s">
        <v>191</v>
      </c>
      <c r="F185" t="s"/>
      <c r="G185" t="s"/>
      <c r="H185" t="s"/>
      <c r="I185" t="s"/>
      <c r="J185" t="n">
        <v>-0.5266999999999999</v>
      </c>
      <c r="K185" t="n">
        <v>0.175</v>
      </c>
      <c r="L185" t="n">
        <v>0.825</v>
      </c>
      <c r="M185" t="n">
        <v>0</v>
      </c>
    </row>
    <row r="186" spans="1:13">
      <c r="A186" s="1">
        <f>HYPERLINK("http://www.twitter.com/NathanBLawrence/status/996776473611653120", "996776473611653120")</f>
        <v/>
      </c>
      <c r="B186" s="2" t="n">
        <v>43236.65052083333</v>
      </c>
      <c r="C186" t="n">
        <v>0</v>
      </c>
      <c r="D186" t="n">
        <v>5</v>
      </c>
      <c r="E186" t="s">
        <v>192</v>
      </c>
      <c r="F186">
        <f>HYPERLINK("http://pbs.twimg.com/media/DdUfcmjVMAAppQH.jpg", "http://pbs.twimg.com/media/DdUfcmjVMAAppQH.jpg")</f>
        <v/>
      </c>
      <c r="G186" t="s"/>
      <c r="H186" t="s"/>
      <c r="I186" t="s"/>
      <c r="J186" t="n">
        <v>-0.6597</v>
      </c>
      <c r="K186" t="n">
        <v>0.283</v>
      </c>
      <c r="L186" t="n">
        <v>0.637</v>
      </c>
      <c r="M186" t="n">
        <v>0.08</v>
      </c>
    </row>
    <row r="187" spans="1:13">
      <c r="A187" s="1">
        <f>HYPERLINK("http://www.twitter.com/NathanBLawrence/status/996776458986115072", "996776458986115072")</f>
        <v/>
      </c>
      <c r="B187" s="2" t="n">
        <v>43236.65047453704</v>
      </c>
      <c r="C187" t="n">
        <v>0</v>
      </c>
      <c r="D187" t="n">
        <v>15</v>
      </c>
      <c r="E187" t="s">
        <v>193</v>
      </c>
      <c r="F187" t="s"/>
      <c r="G187" t="s"/>
      <c r="H187" t="s"/>
      <c r="I187" t="s"/>
      <c r="J187" t="n">
        <v>-0.0516</v>
      </c>
      <c r="K187" t="n">
        <v>0.081</v>
      </c>
      <c r="L187" t="n">
        <v>0.846</v>
      </c>
      <c r="M187" t="n">
        <v>0.073</v>
      </c>
    </row>
    <row r="188" spans="1:13">
      <c r="A188" s="1">
        <f>HYPERLINK("http://www.twitter.com/NathanBLawrence/status/996775346937745409", "996775346937745409")</f>
        <v/>
      </c>
      <c r="B188" s="2" t="n">
        <v>43236.64740740741</v>
      </c>
      <c r="C188" t="n">
        <v>6</v>
      </c>
      <c r="D188" t="n">
        <v>6</v>
      </c>
      <c r="E188" t="s">
        <v>194</v>
      </c>
      <c r="F188">
        <f>HYPERLINK("http://pbs.twimg.com/media/DdVB4qHVwAAbVAC.jpg", "http://pbs.twimg.com/media/DdVB4qHVwAAbVAC.jpg")</f>
        <v/>
      </c>
      <c r="G188" t="s"/>
      <c r="H188" t="s"/>
      <c r="I188" t="s"/>
      <c r="J188" t="n">
        <v>-0.7184</v>
      </c>
      <c r="K188" t="n">
        <v>0.162</v>
      </c>
      <c r="L188" t="n">
        <v>0.789</v>
      </c>
      <c r="M188" t="n">
        <v>0.049</v>
      </c>
    </row>
    <row r="189" spans="1:13">
      <c r="A189" s="1">
        <f>HYPERLINK("http://www.twitter.com/NathanBLawrence/status/996774589337399296", "996774589337399296")</f>
        <v/>
      </c>
      <c r="B189" s="2" t="n">
        <v>43236.6453125</v>
      </c>
      <c r="C189" t="n">
        <v>9</v>
      </c>
      <c r="D189" t="n">
        <v>9</v>
      </c>
      <c r="E189" t="s">
        <v>195</v>
      </c>
      <c r="F189">
        <f>HYPERLINK("http://pbs.twimg.com/media/DdVBM6jU8AEnQVJ.jpg", "http://pbs.twimg.com/media/DdVBM6jU8AEnQVJ.jpg")</f>
        <v/>
      </c>
      <c r="G189" t="s"/>
      <c r="H189" t="s"/>
      <c r="I189" t="s"/>
      <c r="J189" t="n">
        <v>-0.3612</v>
      </c>
      <c r="K189" t="n">
        <v>0.056</v>
      </c>
      <c r="L189" t="n">
        <v>0.944</v>
      </c>
      <c r="M189" t="n">
        <v>0</v>
      </c>
    </row>
    <row r="190" spans="1:13">
      <c r="A190" s="1">
        <f>HYPERLINK("http://www.twitter.com/NathanBLawrence/status/996773742306086912", "996773742306086912")</f>
        <v/>
      </c>
      <c r="B190" s="2" t="n">
        <v>43236.64297453704</v>
      </c>
      <c r="C190" t="n">
        <v>10</v>
      </c>
      <c r="D190" t="n">
        <v>9</v>
      </c>
      <c r="E190" t="s">
        <v>196</v>
      </c>
      <c r="F190">
        <f>HYPERLINK("http://pbs.twimg.com/media/DdVAbpjU0AEI-Nd.jpg", "http://pbs.twimg.com/media/DdVAbpjU0AEI-Nd.jpg")</f>
        <v/>
      </c>
      <c r="G190" t="s"/>
      <c r="H190" t="s"/>
      <c r="I190" t="s"/>
      <c r="J190" t="n">
        <v>0.7096</v>
      </c>
      <c r="K190" t="n">
        <v>0</v>
      </c>
      <c r="L190" t="n">
        <v>0.843</v>
      </c>
      <c r="M190" t="n">
        <v>0.157</v>
      </c>
    </row>
    <row r="191" spans="1:13">
      <c r="A191" s="1">
        <f>HYPERLINK("http://www.twitter.com/NathanBLawrence/status/996735297957302272", "996735297957302272")</f>
        <v/>
      </c>
      <c r="B191" s="2" t="n">
        <v>43236.53689814815</v>
      </c>
      <c r="C191" t="n">
        <v>7</v>
      </c>
      <c r="D191" t="n">
        <v>3</v>
      </c>
      <c r="E191" t="s">
        <v>197</v>
      </c>
      <c r="F191" t="s"/>
      <c r="G191" t="s"/>
      <c r="H191" t="s"/>
      <c r="I191" t="s"/>
      <c r="J191" t="n">
        <v>0.168</v>
      </c>
      <c r="K191" t="n">
        <v>0.12</v>
      </c>
      <c r="L191" t="n">
        <v>0.749</v>
      </c>
      <c r="M191" t="n">
        <v>0.131</v>
      </c>
    </row>
    <row r="192" spans="1:13">
      <c r="A192" s="1">
        <f>HYPERLINK("http://www.twitter.com/NathanBLawrence/status/996732949432324098", "996732949432324098")</f>
        <v/>
      </c>
      <c r="B192" s="2" t="n">
        <v>43236.53041666667</v>
      </c>
      <c r="C192" t="n">
        <v>0</v>
      </c>
      <c r="D192" t="n">
        <v>1</v>
      </c>
      <c r="E192" t="s">
        <v>198</v>
      </c>
      <c r="F192" t="s"/>
      <c r="G192" t="s"/>
      <c r="H192" t="s"/>
      <c r="I192" t="s"/>
      <c r="J192" t="n">
        <v>-0.2023</v>
      </c>
      <c r="K192" t="n">
        <v>0.148</v>
      </c>
      <c r="L192" t="n">
        <v>0.739</v>
      </c>
      <c r="M192" t="n">
        <v>0.113</v>
      </c>
    </row>
    <row r="193" spans="1:13">
      <c r="A193" s="1">
        <f>HYPERLINK("http://www.twitter.com/NathanBLawrence/status/996611345922568192", "996611345922568192")</f>
        <v/>
      </c>
      <c r="B193" s="2" t="n">
        <v>43236.19484953704</v>
      </c>
      <c r="C193" t="n">
        <v>2</v>
      </c>
      <c r="D193" t="n">
        <v>1</v>
      </c>
      <c r="E193" t="s">
        <v>199</v>
      </c>
      <c r="F193" t="s"/>
      <c r="G193" t="s"/>
      <c r="H193" t="s"/>
      <c r="I193" t="s"/>
      <c r="J193" t="n">
        <v>0.765</v>
      </c>
      <c r="K193" t="n">
        <v>0.097</v>
      </c>
      <c r="L193" t="n">
        <v>0.723</v>
      </c>
      <c r="M193" t="n">
        <v>0.18</v>
      </c>
    </row>
    <row r="194" spans="1:13">
      <c r="A194" s="1">
        <f>HYPERLINK("http://www.twitter.com/NathanBLawrence/status/996607443932188672", "996607443932188672")</f>
        <v/>
      </c>
      <c r="B194" s="2" t="n">
        <v>43236.18408564815</v>
      </c>
      <c r="C194" t="n">
        <v>0</v>
      </c>
      <c r="D194" t="n">
        <v>3</v>
      </c>
      <c r="E194" t="s">
        <v>200</v>
      </c>
      <c r="F194" t="s"/>
      <c r="G194" t="s"/>
      <c r="H194" t="s"/>
      <c r="I194" t="s"/>
      <c r="J194" t="n">
        <v>0</v>
      </c>
      <c r="K194" t="n">
        <v>0</v>
      </c>
      <c r="L194" t="n">
        <v>1</v>
      </c>
      <c r="M194" t="n">
        <v>0</v>
      </c>
    </row>
    <row r="195" spans="1:13">
      <c r="A195" s="1">
        <f>HYPERLINK("http://www.twitter.com/NathanBLawrence/status/996594997058293760", "996594997058293760")</f>
        <v/>
      </c>
      <c r="B195" s="2" t="n">
        <v>43236.14973379629</v>
      </c>
      <c r="C195" t="n">
        <v>0</v>
      </c>
      <c r="D195" t="n">
        <v>0</v>
      </c>
      <c r="E195" t="s">
        <v>201</v>
      </c>
      <c r="F195" t="s"/>
      <c r="G195" t="s"/>
      <c r="H195" t="s"/>
      <c r="I195" t="s"/>
      <c r="J195" t="n">
        <v>0.3818</v>
      </c>
      <c r="K195" t="n">
        <v>0.188</v>
      </c>
      <c r="L195" t="n">
        <v>0.484</v>
      </c>
      <c r="M195" t="n">
        <v>0.328</v>
      </c>
    </row>
    <row r="196" spans="1:13">
      <c r="A196" s="1">
        <f>HYPERLINK("http://www.twitter.com/NathanBLawrence/status/996585564798443520", "996585564798443520")</f>
        <v/>
      </c>
      <c r="B196" s="2" t="n">
        <v>43236.12370370371</v>
      </c>
      <c r="C196" t="n">
        <v>0</v>
      </c>
      <c r="D196" t="n">
        <v>15</v>
      </c>
      <c r="E196" t="s">
        <v>202</v>
      </c>
      <c r="F196" t="s"/>
      <c r="G196" t="s"/>
      <c r="H196" t="s"/>
      <c r="I196" t="s"/>
      <c r="J196" t="n">
        <v>0.1779</v>
      </c>
      <c r="K196" t="n">
        <v>0.08799999999999999</v>
      </c>
      <c r="L196" t="n">
        <v>0.797</v>
      </c>
      <c r="M196" t="n">
        <v>0.116</v>
      </c>
    </row>
    <row r="197" spans="1:13">
      <c r="A197" s="1">
        <f>HYPERLINK("http://www.twitter.com/NathanBLawrence/status/996554786047741953", "996554786047741953")</f>
        <v/>
      </c>
      <c r="B197" s="2" t="n">
        <v>43236.03877314815</v>
      </c>
      <c r="C197" t="n">
        <v>3</v>
      </c>
      <c r="D197" t="n">
        <v>0</v>
      </c>
      <c r="E197" t="s">
        <v>203</v>
      </c>
      <c r="F197" t="s"/>
      <c r="G197" t="s"/>
      <c r="H197" t="s"/>
      <c r="I197" t="s"/>
      <c r="J197" t="n">
        <v>0.6124000000000001</v>
      </c>
      <c r="K197" t="n">
        <v>0.048</v>
      </c>
      <c r="L197" t="n">
        <v>0.774</v>
      </c>
      <c r="M197" t="n">
        <v>0.177</v>
      </c>
    </row>
    <row r="198" spans="1:13">
      <c r="A198" s="1">
        <f>HYPERLINK("http://www.twitter.com/NathanBLawrence/status/996516047296614406", "996516047296614406")</f>
        <v/>
      </c>
      <c r="B198" s="2" t="n">
        <v>43235.931875</v>
      </c>
      <c r="C198" t="n">
        <v>0</v>
      </c>
      <c r="D198" t="n">
        <v>29</v>
      </c>
      <c r="E198" t="s">
        <v>204</v>
      </c>
      <c r="F198" t="s"/>
      <c r="G198" t="s"/>
      <c r="H198" t="s"/>
      <c r="I198" t="s"/>
      <c r="J198" t="n">
        <v>-0.5994</v>
      </c>
      <c r="K198" t="n">
        <v>0.237</v>
      </c>
      <c r="L198" t="n">
        <v>0.763</v>
      </c>
      <c r="M198" t="n">
        <v>0</v>
      </c>
    </row>
    <row r="199" spans="1:13">
      <c r="A199" s="1">
        <f>HYPERLINK("http://www.twitter.com/NathanBLawrence/status/996515989704626178", "996515989704626178")</f>
        <v/>
      </c>
      <c r="B199" s="2" t="n">
        <v>43235.93171296296</v>
      </c>
      <c r="C199" t="n">
        <v>0</v>
      </c>
      <c r="D199" t="n">
        <v>12</v>
      </c>
      <c r="E199" t="s">
        <v>205</v>
      </c>
      <c r="F199">
        <f>HYPERLINK("http://pbs.twimg.com/media/DdRS4JJWsAAuP3O.jpg", "http://pbs.twimg.com/media/DdRS4JJWsAAuP3O.jpg")</f>
        <v/>
      </c>
      <c r="G199" t="s"/>
      <c r="H199" t="s"/>
      <c r="I199" t="s"/>
      <c r="J199" t="n">
        <v>0.6249</v>
      </c>
      <c r="K199" t="n">
        <v>0</v>
      </c>
      <c r="L199" t="n">
        <v>0.854</v>
      </c>
      <c r="M199" t="n">
        <v>0.146</v>
      </c>
    </row>
    <row r="200" spans="1:13">
      <c r="A200" s="1">
        <f>HYPERLINK("http://www.twitter.com/NathanBLawrence/status/996515935900102656", "996515935900102656")</f>
        <v/>
      </c>
      <c r="B200" s="2" t="n">
        <v>43235.93157407407</v>
      </c>
      <c r="C200" t="n">
        <v>0</v>
      </c>
      <c r="D200" t="n">
        <v>10</v>
      </c>
      <c r="E200" t="s">
        <v>206</v>
      </c>
      <c r="F200" t="s"/>
      <c r="G200" t="s"/>
      <c r="H200" t="s"/>
      <c r="I200" t="s"/>
      <c r="J200" t="n">
        <v>0.4215</v>
      </c>
      <c r="K200" t="n">
        <v>0</v>
      </c>
      <c r="L200" t="n">
        <v>0.833</v>
      </c>
      <c r="M200" t="n">
        <v>0.167</v>
      </c>
    </row>
    <row r="201" spans="1:13">
      <c r="A201" s="1">
        <f>HYPERLINK("http://www.twitter.com/NathanBLawrence/status/996498762376892418", "996498762376892418")</f>
        <v/>
      </c>
      <c r="B201" s="2" t="n">
        <v>43235.88417824074</v>
      </c>
      <c r="C201" t="n">
        <v>0</v>
      </c>
      <c r="D201" t="n">
        <v>4</v>
      </c>
      <c r="E201" t="s">
        <v>207</v>
      </c>
      <c r="F201" t="s"/>
      <c r="G201" t="s"/>
      <c r="H201" t="s"/>
      <c r="I201" t="s"/>
      <c r="J201" t="n">
        <v>0</v>
      </c>
      <c r="K201" t="n">
        <v>0</v>
      </c>
      <c r="L201" t="n">
        <v>1</v>
      </c>
      <c r="M201" t="n">
        <v>0</v>
      </c>
    </row>
    <row r="202" spans="1:13">
      <c r="A202" s="1">
        <f>HYPERLINK("http://www.twitter.com/NathanBLawrence/status/996495961731031040", "996495961731031040")</f>
        <v/>
      </c>
      <c r="B202" s="2" t="n">
        <v>43235.87644675926</v>
      </c>
      <c r="C202" t="n">
        <v>1</v>
      </c>
      <c r="D202" t="n">
        <v>0</v>
      </c>
      <c r="E202" t="s">
        <v>208</v>
      </c>
      <c r="F202">
        <f>HYPERLINK("http://pbs.twimg.com/media/DdRDrBKWsAEEfhO.jpg", "http://pbs.twimg.com/media/DdRDrBKWsAEEfhO.jpg")</f>
        <v/>
      </c>
      <c r="G202" t="s"/>
      <c r="H202" t="s"/>
      <c r="I202" t="s"/>
      <c r="J202" t="n">
        <v>0.8016</v>
      </c>
      <c r="K202" t="n">
        <v>0</v>
      </c>
      <c r="L202" t="n">
        <v>0.746</v>
      </c>
      <c r="M202" t="n">
        <v>0.254</v>
      </c>
    </row>
    <row r="203" spans="1:13">
      <c r="A203" s="1">
        <f>HYPERLINK("http://www.twitter.com/NathanBLawrence/status/996495247080394752", "996495247080394752")</f>
        <v/>
      </c>
      <c r="B203" s="2" t="n">
        <v>43235.87447916667</v>
      </c>
      <c r="C203" t="n">
        <v>1</v>
      </c>
      <c r="D203" t="n">
        <v>0</v>
      </c>
      <c r="E203" t="s">
        <v>209</v>
      </c>
      <c r="F203">
        <f>HYPERLINK("http://pbs.twimg.com/media/DdRC9MAW0AcFq2D.jpg", "http://pbs.twimg.com/media/DdRC9MAW0AcFq2D.jpg")</f>
        <v/>
      </c>
      <c r="G203" t="s"/>
      <c r="H203" t="s"/>
      <c r="I203" t="s"/>
      <c r="J203" t="n">
        <v>0.6371</v>
      </c>
      <c r="K203" t="n">
        <v>0.073</v>
      </c>
      <c r="L203" t="n">
        <v>0.765</v>
      </c>
      <c r="M203" t="n">
        <v>0.162</v>
      </c>
    </row>
    <row r="204" spans="1:13">
      <c r="A204" s="1">
        <f>HYPERLINK("http://www.twitter.com/NathanBLawrence/status/996495088527314950", "996495088527314950")</f>
        <v/>
      </c>
      <c r="B204" s="2" t="n">
        <v>43235.87403935185</v>
      </c>
      <c r="C204" t="n">
        <v>0</v>
      </c>
      <c r="D204" t="n">
        <v>12</v>
      </c>
      <c r="E204" t="s">
        <v>210</v>
      </c>
      <c r="F204" t="s"/>
      <c r="G204" t="s"/>
      <c r="H204" t="s"/>
      <c r="I204" t="s"/>
      <c r="J204" t="n">
        <v>-0.7096</v>
      </c>
      <c r="K204" t="n">
        <v>0.197</v>
      </c>
      <c r="L204" t="n">
        <v>0.803</v>
      </c>
      <c r="M204" t="n">
        <v>0</v>
      </c>
    </row>
    <row r="205" spans="1:13">
      <c r="A205" s="1">
        <f>HYPERLINK("http://www.twitter.com/NathanBLawrence/status/996494811841679365", "996494811841679365")</f>
        <v/>
      </c>
      <c r="B205" s="2" t="n">
        <v>43235.87327546296</v>
      </c>
      <c r="C205" t="n">
        <v>0</v>
      </c>
      <c r="D205" t="n">
        <v>11</v>
      </c>
      <c r="E205" t="s">
        <v>211</v>
      </c>
      <c r="F205">
        <f>HYPERLINK("http://pbs.twimg.com/media/DdNlnVZVMAEyrTh.jpg", "http://pbs.twimg.com/media/DdNlnVZVMAEyrTh.jpg")</f>
        <v/>
      </c>
      <c r="G205" t="s"/>
      <c r="H205" t="s"/>
      <c r="I205" t="s"/>
      <c r="J205" t="n">
        <v>-0.1027</v>
      </c>
      <c r="K205" t="n">
        <v>0.055</v>
      </c>
      <c r="L205" t="n">
        <v>0.945</v>
      </c>
      <c r="M205" t="n">
        <v>0</v>
      </c>
    </row>
    <row r="206" spans="1:13">
      <c r="A206" s="1">
        <f>HYPERLINK("http://www.twitter.com/NathanBLawrence/status/996494445938868225", "996494445938868225")</f>
        <v/>
      </c>
      <c r="B206" s="2" t="n">
        <v>43235.87226851852</v>
      </c>
      <c r="C206" t="n">
        <v>0</v>
      </c>
      <c r="D206" t="n">
        <v>10</v>
      </c>
      <c r="E206" t="s">
        <v>212</v>
      </c>
      <c r="F206" t="s"/>
      <c r="G206" t="s"/>
      <c r="H206" t="s"/>
      <c r="I206" t="s"/>
      <c r="J206" t="n">
        <v>0.4939</v>
      </c>
      <c r="K206" t="n">
        <v>0</v>
      </c>
      <c r="L206" t="n">
        <v>0.824</v>
      </c>
      <c r="M206" t="n">
        <v>0.176</v>
      </c>
    </row>
    <row r="207" spans="1:13">
      <c r="A207" s="1">
        <f>HYPERLINK("http://www.twitter.com/NathanBLawrence/status/996489427378757634", "996489427378757634")</f>
        <v/>
      </c>
      <c r="B207" s="2" t="n">
        <v>43235.85842592592</v>
      </c>
      <c r="C207" t="n">
        <v>1</v>
      </c>
      <c r="D207" t="n">
        <v>0</v>
      </c>
      <c r="E207" t="s">
        <v>213</v>
      </c>
      <c r="F207">
        <f>HYPERLINK("http://pbs.twimg.com/media/DdQ9zJQWkAA_VdB.jpg", "http://pbs.twimg.com/media/DdQ9zJQWkAA_VdB.jpg")</f>
        <v/>
      </c>
      <c r="G207" t="s"/>
      <c r="H207" t="s"/>
      <c r="I207" t="s"/>
      <c r="J207" t="n">
        <v>-0.3753</v>
      </c>
      <c r="K207" t="n">
        <v>0.137</v>
      </c>
      <c r="L207" t="n">
        <v>0.773</v>
      </c>
      <c r="M207" t="n">
        <v>0.09</v>
      </c>
    </row>
    <row r="208" spans="1:13">
      <c r="A208" s="1">
        <f>HYPERLINK("http://www.twitter.com/NathanBLawrence/status/996489226396028928", "996489226396028928")</f>
        <v/>
      </c>
      <c r="B208" s="2" t="n">
        <v>43235.85787037037</v>
      </c>
      <c r="C208" t="n">
        <v>0</v>
      </c>
      <c r="D208" t="n">
        <v>4</v>
      </c>
      <c r="E208" t="s">
        <v>214</v>
      </c>
      <c r="F208" t="s"/>
      <c r="G208" t="s"/>
      <c r="H208" t="s"/>
      <c r="I208" t="s"/>
      <c r="J208" t="n">
        <v>0</v>
      </c>
      <c r="K208" t="n">
        <v>0</v>
      </c>
      <c r="L208" t="n">
        <v>1</v>
      </c>
      <c r="M208" t="n">
        <v>0</v>
      </c>
    </row>
    <row r="209" spans="1:13">
      <c r="A209" s="1">
        <f>HYPERLINK("http://www.twitter.com/NathanBLawrence/status/996489181529489408", "996489181529489408")</f>
        <v/>
      </c>
      <c r="B209" s="2" t="n">
        <v>43235.85774305555</v>
      </c>
      <c r="C209" t="n">
        <v>0</v>
      </c>
      <c r="D209" t="n">
        <v>7</v>
      </c>
      <c r="E209" t="s">
        <v>215</v>
      </c>
      <c r="F209" t="s"/>
      <c r="G209" t="s"/>
      <c r="H209" t="s"/>
      <c r="I209" t="s"/>
      <c r="J209" t="n">
        <v>0.7269</v>
      </c>
      <c r="K209" t="n">
        <v>0</v>
      </c>
      <c r="L209" t="n">
        <v>0.756</v>
      </c>
      <c r="M209" t="n">
        <v>0.244</v>
      </c>
    </row>
    <row r="210" spans="1:13">
      <c r="A210" s="1">
        <f>HYPERLINK("http://www.twitter.com/NathanBLawrence/status/996489115565772804", "996489115565772804")</f>
        <v/>
      </c>
      <c r="B210" s="2" t="n">
        <v>43235.85755787037</v>
      </c>
      <c r="C210" t="n">
        <v>0</v>
      </c>
      <c r="D210" t="n">
        <v>3</v>
      </c>
      <c r="E210" t="s">
        <v>216</v>
      </c>
      <c r="F210" t="s"/>
      <c r="G210" t="s"/>
      <c r="H210" t="s"/>
      <c r="I210" t="s"/>
      <c r="J210" t="n">
        <v>0</v>
      </c>
      <c r="K210" t="n">
        <v>0</v>
      </c>
      <c r="L210" t="n">
        <v>1</v>
      </c>
      <c r="M210" t="n">
        <v>0</v>
      </c>
    </row>
    <row r="211" spans="1:13">
      <c r="A211" s="1">
        <f>HYPERLINK("http://www.twitter.com/NathanBLawrence/status/996489022645198848", "996489022645198848")</f>
        <v/>
      </c>
      <c r="B211" s="2" t="n">
        <v>43235.85730324074</v>
      </c>
      <c r="C211" t="n">
        <v>0</v>
      </c>
      <c r="D211" t="n">
        <v>15</v>
      </c>
      <c r="E211" t="s">
        <v>217</v>
      </c>
      <c r="F211" t="s"/>
      <c r="G211" t="s"/>
      <c r="H211" t="s"/>
      <c r="I211" t="s"/>
      <c r="J211" t="n">
        <v>-0.4404</v>
      </c>
      <c r="K211" t="n">
        <v>0.132</v>
      </c>
      <c r="L211" t="n">
        <v>0.868</v>
      </c>
      <c r="M211" t="n">
        <v>0</v>
      </c>
    </row>
    <row r="212" spans="1:13">
      <c r="A212" s="1">
        <f>HYPERLINK("http://www.twitter.com/NathanBLawrence/status/996488982711107586", "996488982711107586")</f>
        <v/>
      </c>
      <c r="B212" s="2" t="n">
        <v>43235.85719907407</v>
      </c>
      <c r="C212" t="n">
        <v>0</v>
      </c>
      <c r="D212" t="n">
        <v>13</v>
      </c>
      <c r="E212" t="s">
        <v>218</v>
      </c>
      <c r="F212">
        <f>HYPERLINK("http://pbs.twimg.com/media/DdQ5iLMUQAAPKSP.jpg", "http://pbs.twimg.com/media/DdQ5iLMUQAAPKSP.jpg")</f>
        <v/>
      </c>
      <c r="G212" t="s"/>
      <c r="H212" t="s"/>
      <c r="I212" t="s"/>
      <c r="J212" t="n">
        <v>0.4926</v>
      </c>
      <c r="K212" t="n">
        <v>0</v>
      </c>
      <c r="L212" t="n">
        <v>0.862</v>
      </c>
      <c r="M212" t="n">
        <v>0.138</v>
      </c>
    </row>
    <row r="213" spans="1:13">
      <c r="A213" s="1">
        <f>HYPERLINK("http://www.twitter.com/NathanBLawrence/status/996488959004938247", "996488959004938247")</f>
        <v/>
      </c>
      <c r="B213" s="2" t="n">
        <v>43235.85712962963</v>
      </c>
      <c r="C213" t="n">
        <v>0</v>
      </c>
      <c r="D213" t="n">
        <v>1</v>
      </c>
      <c r="E213" t="s">
        <v>219</v>
      </c>
      <c r="F213" t="s"/>
      <c r="G213" t="s"/>
      <c r="H213" t="s"/>
      <c r="I213" t="s"/>
      <c r="J213" t="n">
        <v>0</v>
      </c>
      <c r="K213" t="n">
        <v>0</v>
      </c>
      <c r="L213" t="n">
        <v>1</v>
      </c>
      <c r="M213" t="n">
        <v>0</v>
      </c>
    </row>
    <row r="214" spans="1:13">
      <c r="A214" s="1">
        <f>HYPERLINK("http://www.twitter.com/NathanBLawrence/status/996488834694205441", "996488834694205441")</f>
        <v/>
      </c>
      <c r="B214" s="2" t="n">
        <v>43235.85678240741</v>
      </c>
      <c r="C214" t="n">
        <v>0</v>
      </c>
      <c r="D214" t="n">
        <v>115</v>
      </c>
      <c r="E214" t="s">
        <v>220</v>
      </c>
      <c r="F214" t="s"/>
      <c r="G214" t="s"/>
      <c r="H214" t="s"/>
      <c r="I214" t="s"/>
      <c r="J214" t="n">
        <v>-0.5849</v>
      </c>
      <c r="K214" t="n">
        <v>0.166</v>
      </c>
      <c r="L214" t="n">
        <v>0.834</v>
      </c>
      <c r="M214" t="n">
        <v>0</v>
      </c>
    </row>
    <row r="215" spans="1:13">
      <c r="A215" s="1">
        <f>HYPERLINK("http://www.twitter.com/NathanBLawrence/status/996488834677428225", "996488834677428225")</f>
        <v/>
      </c>
      <c r="B215" s="2" t="n">
        <v>43235.85678240741</v>
      </c>
      <c r="C215" t="n">
        <v>0</v>
      </c>
      <c r="D215" t="n">
        <v>4</v>
      </c>
      <c r="E215" t="s">
        <v>221</v>
      </c>
      <c r="F215" t="s"/>
      <c r="G215" t="s"/>
      <c r="H215" t="s"/>
      <c r="I215" t="s"/>
      <c r="J215" t="n">
        <v>-0.4201</v>
      </c>
      <c r="K215" t="n">
        <v>0.175</v>
      </c>
      <c r="L215" t="n">
        <v>0.702</v>
      </c>
      <c r="M215" t="n">
        <v>0.123</v>
      </c>
    </row>
    <row r="216" spans="1:13">
      <c r="A216" s="1">
        <f>HYPERLINK("http://www.twitter.com/NathanBLawrence/status/996488544221835264", "996488544221835264")</f>
        <v/>
      </c>
      <c r="B216" s="2" t="n">
        <v>43235.8559837963</v>
      </c>
      <c r="C216" t="n">
        <v>0</v>
      </c>
      <c r="D216" t="n">
        <v>0</v>
      </c>
      <c r="E216" t="s">
        <v>222</v>
      </c>
      <c r="F216" t="s"/>
      <c r="G216" t="s"/>
      <c r="H216" t="s"/>
      <c r="I216" t="s"/>
      <c r="J216" t="n">
        <v>-0.2263</v>
      </c>
      <c r="K216" t="n">
        <v>0.101</v>
      </c>
      <c r="L216" t="n">
        <v>0.899</v>
      </c>
      <c r="M216" t="n">
        <v>0</v>
      </c>
    </row>
    <row r="217" spans="1:13">
      <c r="A217" s="1">
        <f>HYPERLINK("http://www.twitter.com/NathanBLawrence/status/996488308946595841", "996488308946595841")</f>
        <v/>
      </c>
      <c r="B217" s="2" t="n">
        <v>43235.85533564815</v>
      </c>
      <c r="C217" t="n">
        <v>0</v>
      </c>
      <c r="D217" t="n">
        <v>40</v>
      </c>
      <c r="E217" t="s">
        <v>223</v>
      </c>
      <c r="F217" t="s"/>
      <c r="G217" t="s"/>
      <c r="H217" t="s"/>
      <c r="I217" t="s"/>
      <c r="J217" t="n">
        <v>0.128</v>
      </c>
      <c r="K217" t="n">
        <v>0</v>
      </c>
      <c r="L217" t="n">
        <v>0.93</v>
      </c>
      <c r="M217" t="n">
        <v>0.07000000000000001</v>
      </c>
    </row>
    <row r="218" spans="1:13">
      <c r="A218" s="1">
        <f>HYPERLINK("http://www.twitter.com/NathanBLawrence/status/996481449682460672", "996481449682460672")</f>
        <v/>
      </c>
      <c r="B218" s="2" t="n">
        <v>43235.83640046296</v>
      </c>
      <c r="C218" t="n">
        <v>0</v>
      </c>
      <c r="D218" t="n">
        <v>1</v>
      </c>
      <c r="E218" t="s">
        <v>224</v>
      </c>
      <c r="F218" t="s"/>
      <c r="G218" t="s"/>
      <c r="H218" t="s"/>
      <c r="I218" t="s"/>
      <c r="J218" t="n">
        <v>0</v>
      </c>
      <c r="K218" t="n">
        <v>0</v>
      </c>
      <c r="L218" t="n">
        <v>1</v>
      </c>
      <c r="M218" t="n">
        <v>0</v>
      </c>
    </row>
    <row r="219" spans="1:13">
      <c r="A219" s="1">
        <f>HYPERLINK("http://www.twitter.com/NathanBLawrence/status/996481404786696193", "996481404786696193")</f>
        <v/>
      </c>
      <c r="B219" s="2" t="n">
        <v>43235.83628472222</v>
      </c>
      <c r="C219" t="n">
        <v>0</v>
      </c>
      <c r="D219" t="n">
        <v>4</v>
      </c>
      <c r="E219" t="s">
        <v>225</v>
      </c>
      <c r="F219" t="s"/>
      <c r="G219" t="s"/>
      <c r="H219" t="s"/>
      <c r="I219" t="s"/>
      <c r="J219" t="n">
        <v>0.4168</v>
      </c>
      <c r="K219" t="n">
        <v>0.123</v>
      </c>
      <c r="L219" t="n">
        <v>0.664</v>
      </c>
      <c r="M219" t="n">
        <v>0.213</v>
      </c>
    </row>
    <row r="220" spans="1:13">
      <c r="A220" s="1">
        <f>HYPERLINK("http://www.twitter.com/NathanBLawrence/status/996481381608906752", "996481381608906752")</f>
        <v/>
      </c>
      <c r="B220" s="2" t="n">
        <v>43235.83621527778</v>
      </c>
      <c r="C220" t="n">
        <v>0</v>
      </c>
      <c r="D220" t="n">
        <v>3</v>
      </c>
      <c r="E220" t="s">
        <v>226</v>
      </c>
      <c r="F220" t="s"/>
      <c r="G220" t="s"/>
      <c r="H220" t="s"/>
      <c r="I220" t="s"/>
      <c r="J220" t="n">
        <v>0</v>
      </c>
      <c r="K220" t="n">
        <v>0</v>
      </c>
      <c r="L220" t="n">
        <v>1</v>
      </c>
      <c r="M220" t="n">
        <v>0</v>
      </c>
    </row>
    <row r="221" spans="1:13">
      <c r="A221" s="1">
        <f>HYPERLINK("http://www.twitter.com/NathanBLawrence/status/996481277044850689", "996481277044850689")</f>
        <v/>
      </c>
      <c r="B221" s="2" t="n">
        <v>43235.83592592592</v>
      </c>
      <c r="C221" t="n">
        <v>0</v>
      </c>
      <c r="D221" t="n">
        <v>6</v>
      </c>
      <c r="E221" t="s">
        <v>227</v>
      </c>
      <c r="F221">
        <f>HYPERLINK("http://pbs.twimg.com/media/DdQb67tVMAA_mh6.jpg", "http://pbs.twimg.com/media/DdQb67tVMAA_mh6.jpg")</f>
        <v/>
      </c>
      <c r="G221" t="s"/>
      <c r="H221" t="s"/>
      <c r="I221" t="s"/>
      <c r="J221" t="n">
        <v>0.3612</v>
      </c>
      <c r="K221" t="n">
        <v>0</v>
      </c>
      <c r="L221" t="n">
        <v>0.889</v>
      </c>
      <c r="M221" t="n">
        <v>0.111</v>
      </c>
    </row>
    <row r="222" spans="1:13">
      <c r="A222" s="1">
        <f>HYPERLINK("http://www.twitter.com/NathanBLawrence/status/996481212691644416", "996481212691644416")</f>
        <v/>
      </c>
      <c r="B222" s="2" t="n">
        <v>43235.83575231482</v>
      </c>
      <c r="C222" t="n">
        <v>0</v>
      </c>
      <c r="D222" t="n">
        <v>5</v>
      </c>
      <c r="E222" t="s">
        <v>228</v>
      </c>
      <c r="F222" t="s"/>
      <c r="G222" t="s"/>
      <c r="H222" t="s"/>
      <c r="I222" t="s"/>
      <c r="J222" t="n">
        <v>-0.1027</v>
      </c>
      <c r="K222" t="n">
        <v>0.076</v>
      </c>
      <c r="L222" t="n">
        <v>0.924</v>
      </c>
      <c r="M222" t="n">
        <v>0</v>
      </c>
    </row>
    <row r="223" spans="1:13">
      <c r="A223" s="1">
        <f>HYPERLINK("http://www.twitter.com/NathanBLawrence/status/996481102180159488", "996481102180159488")</f>
        <v/>
      </c>
      <c r="B223" s="2" t="n">
        <v>43235.83545138889</v>
      </c>
      <c r="C223" t="n">
        <v>0</v>
      </c>
      <c r="D223" t="n">
        <v>10</v>
      </c>
      <c r="E223" t="s">
        <v>229</v>
      </c>
      <c r="F223" t="s"/>
      <c r="G223" t="s"/>
      <c r="H223" t="s"/>
      <c r="I223" t="s"/>
      <c r="J223" t="n">
        <v>0.3818</v>
      </c>
      <c r="K223" t="n">
        <v>0</v>
      </c>
      <c r="L223" t="n">
        <v>0.89</v>
      </c>
      <c r="M223" t="n">
        <v>0.11</v>
      </c>
    </row>
    <row r="224" spans="1:13">
      <c r="A224" s="1">
        <f>HYPERLINK("http://www.twitter.com/NathanBLawrence/status/996480988275466240", "996480988275466240")</f>
        <v/>
      </c>
      <c r="B224" s="2" t="n">
        <v>43235.83512731481</v>
      </c>
      <c r="C224" t="n">
        <v>0</v>
      </c>
      <c r="D224" t="n">
        <v>9</v>
      </c>
      <c r="E224" t="s">
        <v>230</v>
      </c>
      <c r="F224" t="s"/>
      <c r="G224" t="s"/>
      <c r="H224" t="s"/>
      <c r="I224" t="s"/>
      <c r="J224" t="n">
        <v>-0.2263</v>
      </c>
      <c r="K224" t="n">
        <v>0.091</v>
      </c>
      <c r="L224" t="n">
        <v>0.909</v>
      </c>
      <c r="M224" t="n">
        <v>0</v>
      </c>
    </row>
    <row r="225" spans="1:13">
      <c r="A225" s="1">
        <f>HYPERLINK("http://www.twitter.com/NathanBLawrence/status/996480953760526337", "996480953760526337")</f>
        <v/>
      </c>
      <c r="B225" s="2" t="n">
        <v>43235.83503472222</v>
      </c>
      <c r="C225" t="n">
        <v>0</v>
      </c>
      <c r="D225" t="n">
        <v>7</v>
      </c>
      <c r="E225" t="s">
        <v>231</v>
      </c>
      <c r="F225" t="s"/>
      <c r="G225" t="s"/>
      <c r="H225" t="s"/>
      <c r="I225" t="s"/>
      <c r="J225" t="n">
        <v>-0.534</v>
      </c>
      <c r="K225" t="n">
        <v>0.206</v>
      </c>
      <c r="L225" t="n">
        <v>0.794</v>
      </c>
      <c r="M225" t="n">
        <v>0</v>
      </c>
    </row>
    <row r="226" spans="1:13">
      <c r="A226" s="1">
        <f>HYPERLINK("http://www.twitter.com/NathanBLawrence/status/996480927890059265", "996480927890059265")</f>
        <v/>
      </c>
      <c r="B226" s="2" t="n">
        <v>43235.83496527778</v>
      </c>
      <c r="C226" t="n">
        <v>0</v>
      </c>
      <c r="D226" t="n">
        <v>6</v>
      </c>
      <c r="E226" t="s">
        <v>232</v>
      </c>
      <c r="F226" t="s"/>
      <c r="G226" t="s"/>
      <c r="H226" t="s"/>
      <c r="I226" t="s"/>
      <c r="J226" t="n">
        <v>0.2732</v>
      </c>
      <c r="K226" t="n">
        <v>0</v>
      </c>
      <c r="L226" t="n">
        <v>0.884</v>
      </c>
      <c r="M226" t="n">
        <v>0.116</v>
      </c>
    </row>
    <row r="227" spans="1:13">
      <c r="A227" s="1">
        <f>HYPERLINK("http://www.twitter.com/NathanBLawrence/status/996480904355897345", "996480904355897345")</f>
        <v/>
      </c>
      <c r="B227" s="2" t="n">
        <v>43235.83489583333</v>
      </c>
      <c r="C227" t="n">
        <v>0</v>
      </c>
      <c r="D227" t="n">
        <v>1</v>
      </c>
      <c r="E227" t="s">
        <v>233</v>
      </c>
      <c r="F227" t="s"/>
      <c r="G227" t="s"/>
      <c r="H227" t="s"/>
      <c r="I227" t="s"/>
      <c r="J227" t="n">
        <v>-0.7964</v>
      </c>
      <c r="K227" t="n">
        <v>0.339</v>
      </c>
      <c r="L227" t="n">
        <v>0.586</v>
      </c>
      <c r="M227" t="n">
        <v>0.075</v>
      </c>
    </row>
    <row r="228" spans="1:13">
      <c r="A228" s="1">
        <f>HYPERLINK("http://www.twitter.com/NathanBLawrence/status/996480867248824321", "996480867248824321")</f>
        <v/>
      </c>
      <c r="B228" s="2" t="n">
        <v>43235.83480324074</v>
      </c>
      <c r="C228" t="n">
        <v>0</v>
      </c>
      <c r="D228" t="n">
        <v>7</v>
      </c>
      <c r="E228" t="s">
        <v>234</v>
      </c>
      <c r="F228" t="s"/>
      <c r="G228" t="s"/>
      <c r="H228" t="s"/>
      <c r="I228" t="s"/>
      <c r="J228" t="n">
        <v>-0.4588</v>
      </c>
      <c r="K228" t="n">
        <v>0.125</v>
      </c>
      <c r="L228" t="n">
        <v>0.875</v>
      </c>
      <c r="M228" t="n">
        <v>0</v>
      </c>
    </row>
    <row r="229" spans="1:13">
      <c r="A229" s="1">
        <f>HYPERLINK("http://www.twitter.com/NathanBLawrence/status/996458104475799552", "996458104475799552")</f>
        <v/>
      </c>
      <c r="B229" s="2" t="n">
        <v>43235.77199074074</v>
      </c>
      <c r="C229" t="n">
        <v>0</v>
      </c>
      <c r="D229" t="n">
        <v>1</v>
      </c>
      <c r="E229" t="s">
        <v>235</v>
      </c>
      <c r="F229">
        <f>HYPERLINK("http://pbs.twimg.com/media/DdPg6LzX4AAw07e.jpg", "http://pbs.twimg.com/media/DdPg6LzX4AAw07e.jpg")</f>
        <v/>
      </c>
      <c r="G229" t="s"/>
      <c r="H229" t="s"/>
      <c r="I229" t="s"/>
      <c r="J229" t="n">
        <v>0.296</v>
      </c>
      <c r="K229" t="n">
        <v>0</v>
      </c>
      <c r="L229" t="n">
        <v>0.872</v>
      </c>
      <c r="M229" t="n">
        <v>0.128</v>
      </c>
    </row>
    <row r="230" spans="1:13">
      <c r="A230" s="1">
        <f>HYPERLINK("http://www.twitter.com/NathanBLawrence/status/996457818311090182", "996457818311090182")</f>
        <v/>
      </c>
      <c r="B230" s="2" t="n">
        <v>43235.77119212963</v>
      </c>
      <c r="C230" t="n">
        <v>0</v>
      </c>
      <c r="D230" t="n">
        <v>1</v>
      </c>
      <c r="E230" t="s">
        <v>236</v>
      </c>
      <c r="F230">
        <f>HYPERLINK("http://pbs.twimg.com/media/DdP74TtVAAEf89c.jpg", "http://pbs.twimg.com/media/DdP74TtVAAEf89c.jpg")</f>
        <v/>
      </c>
      <c r="G230" t="s"/>
      <c r="H230" t="s"/>
      <c r="I230" t="s"/>
      <c r="J230" t="n">
        <v>0.6249</v>
      </c>
      <c r="K230" t="n">
        <v>0</v>
      </c>
      <c r="L230" t="n">
        <v>0.724</v>
      </c>
      <c r="M230" t="n">
        <v>0.276</v>
      </c>
    </row>
    <row r="231" spans="1:13">
      <c r="A231" s="1">
        <f>HYPERLINK("http://www.twitter.com/NathanBLawrence/status/996457799222808577", "996457799222808577")</f>
        <v/>
      </c>
      <c r="B231" s="2" t="n">
        <v>43235.77114583334</v>
      </c>
      <c r="C231" t="n">
        <v>0</v>
      </c>
      <c r="D231" t="n">
        <v>1</v>
      </c>
      <c r="E231" t="s">
        <v>237</v>
      </c>
      <c r="F231">
        <f>HYPERLINK("http://pbs.twimg.com/media/DdP8Fa7V0AE4Wx_.jpg", "http://pbs.twimg.com/media/DdP8Fa7V0AE4Wx_.jpg")</f>
        <v/>
      </c>
      <c r="G231" t="s"/>
      <c r="H231" t="s"/>
      <c r="I231" t="s"/>
      <c r="J231" t="n">
        <v>0</v>
      </c>
      <c r="K231" t="n">
        <v>0</v>
      </c>
      <c r="L231" t="n">
        <v>1</v>
      </c>
      <c r="M231" t="n">
        <v>0</v>
      </c>
    </row>
    <row r="232" spans="1:13">
      <c r="A232" s="1">
        <f>HYPERLINK("http://www.twitter.com/NathanBLawrence/status/996457780772069377", "996457780772069377")</f>
        <v/>
      </c>
      <c r="B232" s="2" t="n">
        <v>43235.77108796296</v>
      </c>
      <c r="C232" t="n">
        <v>0</v>
      </c>
      <c r="D232" t="n">
        <v>1</v>
      </c>
      <c r="E232" t="s">
        <v>238</v>
      </c>
      <c r="F232">
        <f>HYPERLINK("http://pbs.twimg.com/media/DdP8S2wUwAEpVx-.jpg", "http://pbs.twimg.com/media/DdP8S2wUwAEpVx-.jpg")</f>
        <v/>
      </c>
      <c r="G232" t="s"/>
      <c r="H232" t="s"/>
      <c r="I232" t="s"/>
      <c r="J232" t="n">
        <v>0</v>
      </c>
      <c r="K232" t="n">
        <v>0.194</v>
      </c>
      <c r="L232" t="n">
        <v>0.612</v>
      </c>
      <c r="M232" t="n">
        <v>0.194</v>
      </c>
    </row>
    <row r="233" spans="1:13">
      <c r="A233" s="1">
        <f>HYPERLINK("http://www.twitter.com/NathanBLawrence/status/996457670197596160", "996457670197596160")</f>
        <v/>
      </c>
      <c r="B233" s="2" t="n">
        <v>43235.77078703704</v>
      </c>
      <c r="C233" t="n">
        <v>0</v>
      </c>
      <c r="D233" t="n">
        <v>1</v>
      </c>
      <c r="E233" t="s">
        <v>239</v>
      </c>
      <c r="F233">
        <f>HYPERLINK("http://pbs.twimg.com/media/DdP_8wfXcAItiXs.jpg", "http://pbs.twimg.com/media/DdP_8wfXcAItiXs.jpg")</f>
        <v/>
      </c>
      <c r="G233" t="s"/>
      <c r="H233" t="s"/>
      <c r="I233" t="s"/>
      <c r="J233" t="n">
        <v>-0.7667</v>
      </c>
      <c r="K233" t="n">
        <v>0.22</v>
      </c>
      <c r="L233" t="n">
        <v>0.78</v>
      </c>
      <c r="M233" t="n">
        <v>0</v>
      </c>
    </row>
    <row r="234" spans="1:13">
      <c r="A234" s="1">
        <f>HYPERLINK("http://www.twitter.com/NathanBLawrence/status/996457573539827712", "996457573539827712")</f>
        <v/>
      </c>
      <c r="B234" s="2" t="n">
        <v>43235.77052083334</v>
      </c>
      <c r="C234" t="n">
        <v>0</v>
      </c>
      <c r="D234" t="n">
        <v>1</v>
      </c>
      <c r="E234" t="s">
        <v>240</v>
      </c>
      <c r="F234">
        <f>HYPERLINK("http://pbs.twimg.com/media/DdQKWdrX0AAJtgU.jpg", "http://pbs.twimg.com/media/DdQKWdrX0AAJtgU.jpg")</f>
        <v/>
      </c>
      <c r="G234" t="s"/>
      <c r="H234" t="s"/>
      <c r="I234" t="s"/>
      <c r="J234" t="n">
        <v>-0.8583</v>
      </c>
      <c r="K234" t="n">
        <v>0.333</v>
      </c>
      <c r="L234" t="n">
        <v>0.667</v>
      </c>
      <c r="M234" t="n">
        <v>0</v>
      </c>
    </row>
    <row r="235" spans="1:13">
      <c r="A235" s="1">
        <f>HYPERLINK("http://www.twitter.com/NathanBLawrence/status/996457497841020931", "996457497841020931")</f>
        <v/>
      </c>
      <c r="B235" s="2" t="n">
        <v>43235.7703125</v>
      </c>
      <c r="C235" t="n">
        <v>0</v>
      </c>
      <c r="D235" t="n">
        <v>1</v>
      </c>
      <c r="E235" t="s">
        <v>241</v>
      </c>
      <c r="F235">
        <f>HYPERLINK("http://pbs.twimg.com/media/DdQLIjdX4AA4Hy0.jpg", "http://pbs.twimg.com/media/DdQLIjdX4AA4Hy0.jpg")</f>
        <v/>
      </c>
      <c r="G235" t="s"/>
      <c r="H235" t="s"/>
      <c r="I235" t="s"/>
      <c r="J235" t="n">
        <v>-0.6486</v>
      </c>
      <c r="K235" t="n">
        <v>0.17</v>
      </c>
      <c r="L235" t="n">
        <v>0.83</v>
      </c>
      <c r="M235" t="n">
        <v>0</v>
      </c>
    </row>
    <row r="236" spans="1:13">
      <c r="A236" s="1">
        <f>HYPERLINK("http://www.twitter.com/NathanBLawrence/status/996457472213880834", "996457472213880834")</f>
        <v/>
      </c>
      <c r="B236" s="2" t="n">
        <v>43235.77024305556</v>
      </c>
      <c r="C236" t="n">
        <v>0</v>
      </c>
      <c r="D236" t="n">
        <v>1</v>
      </c>
      <c r="E236" t="s">
        <v>242</v>
      </c>
      <c r="F236">
        <f>HYPERLINK("http://pbs.twimg.com/media/DdQLZXdWsAAynyF.jpg", "http://pbs.twimg.com/media/DdQLZXdWsAAynyF.jpg")</f>
        <v/>
      </c>
      <c r="G236" t="s"/>
      <c r="H236" t="s"/>
      <c r="I236" t="s"/>
      <c r="J236" t="n">
        <v>0</v>
      </c>
      <c r="K236" t="n">
        <v>0</v>
      </c>
      <c r="L236" t="n">
        <v>1</v>
      </c>
      <c r="M236" t="n">
        <v>0</v>
      </c>
    </row>
    <row r="237" spans="1:13">
      <c r="A237" s="1">
        <f>HYPERLINK("http://www.twitter.com/NathanBLawrence/status/996457431411646465", "996457431411646465")</f>
        <v/>
      </c>
      <c r="B237" s="2" t="n">
        <v>43235.77012731481</v>
      </c>
      <c r="C237" t="n">
        <v>0</v>
      </c>
      <c r="D237" t="n">
        <v>1</v>
      </c>
      <c r="E237" t="s">
        <v>243</v>
      </c>
      <c r="F237">
        <f>HYPERLINK("http://pbs.twimg.com/media/DdQUoqaWAAENVp0.jpg", "http://pbs.twimg.com/media/DdQUoqaWAAENVp0.jpg")</f>
        <v/>
      </c>
      <c r="G237" t="s"/>
      <c r="H237" t="s"/>
      <c r="I237" t="s"/>
      <c r="J237" t="n">
        <v>-0.6808999999999999</v>
      </c>
      <c r="K237" t="n">
        <v>0.213</v>
      </c>
      <c r="L237" t="n">
        <v>0.787</v>
      </c>
      <c r="M237" t="n">
        <v>0</v>
      </c>
    </row>
    <row r="238" spans="1:13">
      <c r="A238" s="1">
        <f>HYPERLINK("http://www.twitter.com/NathanBLawrence/status/996457411564228618", "996457411564228618")</f>
        <v/>
      </c>
      <c r="B238" s="2" t="n">
        <v>43235.77006944444</v>
      </c>
      <c r="C238" t="n">
        <v>0</v>
      </c>
      <c r="D238" t="n">
        <v>1</v>
      </c>
      <c r="E238" t="s">
        <v>244</v>
      </c>
      <c r="F238">
        <f>HYPERLINK("http://pbs.twimg.com/media/DdQVBJrWsAAs86E.jpg", "http://pbs.twimg.com/media/DdQVBJrWsAAs86E.jpg")</f>
        <v/>
      </c>
      <c r="G238" t="s"/>
      <c r="H238" t="s"/>
      <c r="I238" t="s"/>
      <c r="J238" t="n">
        <v>-0.2462</v>
      </c>
      <c r="K238" t="n">
        <v>0.167</v>
      </c>
      <c r="L238" t="n">
        <v>0.707</v>
      </c>
      <c r="M238" t="n">
        <v>0.126</v>
      </c>
    </row>
    <row r="239" spans="1:13">
      <c r="A239" s="1">
        <f>HYPERLINK("http://www.twitter.com/NathanBLawrence/status/996457380820017153", "996457380820017153")</f>
        <v/>
      </c>
      <c r="B239" s="2" t="n">
        <v>43235.76998842593</v>
      </c>
      <c r="C239" t="n">
        <v>0</v>
      </c>
      <c r="D239" t="n">
        <v>1</v>
      </c>
      <c r="E239" t="s">
        <v>245</v>
      </c>
      <c r="F239">
        <f>HYPERLINK("http://pbs.twimg.com/media/DdQVSHAXUAUE-xv.jpg", "http://pbs.twimg.com/media/DdQVSHAXUAUE-xv.jpg")</f>
        <v/>
      </c>
      <c r="G239" t="s"/>
      <c r="H239" t="s"/>
      <c r="I239" t="s"/>
      <c r="J239" t="n">
        <v>0.5147</v>
      </c>
      <c r="K239" t="n">
        <v>0</v>
      </c>
      <c r="L239" t="n">
        <v>0.857</v>
      </c>
      <c r="M239" t="n">
        <v>0.143</v>
      </c>
    </row>
    <row r="240" spans="1:13">
      <c r="A240" s="1">
        <f>HYPERLINK("http://www.twitter.com/NathanBLawrence/status/996457365204623361", "996457365204623361")</f>
        <v/>
      </c>
      <c r="B240" s="2" t="n">
        <v>43235.76994212963</v>
      </c>
      <c r="C240" t="n">
        <v>0</v>
      </c>
      <c r="D240" t="n">
        <v>1</v>
      </c>
      <c r="E240" t="s">
        <v>246</v>
      </c>
      <c r="F240" t="s"/>
      <c r="G240" t="s"/>
      <c r="H240" t="s"/>
      <c r="I240" t="s"/>
      <c r="J240" t="n">
        <v>0</v>
      </c>
      <c r="K240" t="n">
        <v>0</v>
      </c>
      <c r="L240" t="n">
        <v>1</v>
      </c>
      <c r="M240" t="n">
        <v>0</v>
      </c>
    </row>
    <row r="241" spans="1:13">
      <c r="A241" s="1">
        <f>HYPERLINK("http://www.twitter.com/NathanBLawrence/status/996457345977905152", "996457345977905152")</f>
        <v/>
      </c>
      <c r="B241" s="2" t="n">
        <v>43235.76989583333</v>
      </c>
      <c r="C241" t="n">
        <v>0</v>
      </c>
      <c r="D241" t="n">
        <v>1</v>
      </c>
      <c r="E241" t="s">
        <v>247</v>
      </c>
      <c r="F241">
        <f>HYPERLINK("http://pbs.twimg.com/media/DdQVxetX0AEXwNk.jpg", "http://pbs.twimg.com/media/DdQVxetX0AEXwNk.jpg")</f>
        <v/>
      </c>
      <c r="G241" t="s"/>
      <c r="H241" t="s"/>
      <c r="I241" t="s"/>
      <c r="J241" t="n">
        <v>-0.7097</v>
      </c>
      <c r="K241" t="n">
        <v>0.294</v>
      </c>
      <c r="L241" t="n">
        <v>0.593</v>
      </c>
      <c r="M241" t="n">
        <v>0.112</v>
      </c>
    </row>
    <row r="242" spans="1:13">
      <c r="A242" s="1">
        <f>HYPERLINK("http://www.twitter.com/NathanBLawrence/status/996457310850568192", "996457310850568192")</f>
        <v/>
      </c>
      <c r="B242" s="2" t="n">
        <v>43235.76979166667</v>
      </c>
      <c r="C242" t="n">
        <v>0</v>
      </c>
      <c r="D242" t="n">
        <v>2</v>
      </c>
      <c r="E242" t="s">
        <v>248</v>
      </c>
      <c r="F242" t="s"/>
      <c r="G242" t="s"/>
      <c r="H242" t="s"/>
      <c r="I242" t="s"/>
      <c r="J242" t="n">
        <v>-0.6808</v>
      </c>
      <c r="K242" t="n">
        <v>0.318</v>
      </c>
      <c r="L242" t="n">
        <v>0.6820000000000001</v>
      </c>
      <c r="M242" t="n">
        <v>0</v>
      </c>
    </row>
    <row r="243" spans="1:13">
      <c r="A243" s="1">
        <f>HYPERLINK("http://www.twitter.com/NathanBLawrence/status/996457257578696704", "996457257578696704")</f>
        <v/>
      </c>
      <c r="B243" s="2" t="n">
        <v>43235.76965277778</v>
      </c>
      <c r="C243" t="n">
        <v>0</v>
      </c>
      <c r="D243" t="n">
        <v>1</v>
      </c>
      <c r="E243" t="s">
        <v>249</v>
      </c>
      <c r="F243">
        <f>HYPERLINK("http://pbs.twimg.com/media/DdQge-ZWAAA11z0.jpg", "http://pbs.twimg.com/media/DdQge-ZWAAA11z0.jpg")</f>
        <v/>
      </c>
      <c r="G243" t="s"/>
      <c r="H243" t="s"/>
      <c r="I243" t="s"/>
      <c r="J243" t="n">
        <v>-0.802</v>
      </c>
      <c r="K243" t="n">
        <v>0.281</v>
      </c>
      <c r="L243" t="n">
        <v>0.719</v>
      </c>
      <c r="M243" t="n">
        <v>0</v>
      </c>
    </row>
    <row r="244" spans="1:13">
      <c r="A244" s="1">
        <f>HYPERLINK("http://www.twitter.com/NathanBLawrence/status/996457179774423040", "996457179774423040")</f>
        <v/>
      </c>
      <c r="B244" s="2" t="n">
        <v>43235.76943287037</v>
      </c>
      <c r="C244" t="n">
        <v>1</v>
      </c>
      <c r="D244" t="n">
        <v>1</v>
      </c>
      <c r="E244" t="s">
        <v>250</v>
      </c>
      <c r="F244">
        <f>HYPERLINK("http://pbs.twimg.com/media/DdQge-ZWAAA11z0.jpg", "http://pbs.twimg.com/media/DdQge-ZWAAA11z0.jpg")</f>
        <v/>
      </c>
      <c r="G244" t="s"/>
      <c r="H244" t="s"/>
      <c r="I244" t="s"/>
      <c r="J244" t="n">
        <v>-0.802</v>
      </c>
      <c r="K244" t="n">
        <v>0.291</v>
      </c>
      <c r="L244" t="n">
        <v>0.709</v>
      </c>
      <c r="M244" t="n">
        <v>0</v>
      </c>
    </row>
    <row r="245" spans="1:13">
      <c r="A245" s="1">
        <f>HYPERLINK("http://www.twitter.com/NathanBLawrence/status/996449997523685378", "996449997523685378")</f>
        <v/>
      </c>
      <c r="B245" s="2" t="n">
        <v>43235.74961805555</v>
      </c>
      <c r="C245" t="n">
        <v>0</v>
      </c>
      <c r="D245" t="n">
        <v>2</v>
      </c>
      <c r="E245" t="s">
        <v>251</v>
      </c>
      <c r="F245">
        <f>HYPERLINK("http://pbs.twimg.com/media/DdQYlinUQAAv5CF.jpg", "http://pbs.twimg.com/media/DdQYlinUQAAv5CF.jpg")</f>
        <v/>
      </c>
      <c r="G245" t="s"/>
      <c r="H245" t="s"/>
      <c r="I245" t="s"/>
      <c r="J245" t="n">
        <v>0</v>
      </c>
      <c r="K245" t="n">
        <v>0</v>
      </c>
      <c r="L245" t="n">
        <v>1</v>
      </c>
      <c r="M245" t="n">
        <v>0</v>
      </c>
    </row>
    <row r="246" spans="1:13">
      <c r="A246" s="1">
        <f>HYPERLINK("http://www.twitter.com/NathanBLawrence/status/996449909619544064", "996449909619544064")</f>
        <v/>
      </c>
      <c r="B246" s="2" t="n">
        <v>43235.749375</v>
      </c>
      <c r="C246" t="n">
        <v>0</v>
      </c>
      <c r="D246" t="n">
        <v>2</v>
      </c>
      <c r="E246" t="s">
        <v>252</v>
      </c>
      <c r="F246" t="s"/>
      <c r="G246" t="s"/>
      <c r="H246" t="s"/>
      <c r="I246" t="s"/>
      <c r="J246" t="n">
        <v>0.6124000000000001</v>
      </c>
      <c r="K246" t="n">
        <v>0</v>
      </c>
      <c r="L246" t="n">
        <v>0.429</v>
      </c>
      <c r="M246" t="n">
        <v>0.571</v>
      </c>
    </row>
    <row r="247" spans="1:13">
      <c r="A247" s="1">
        <f>HYPERLINK("http://www.twitter.com/NathanBLawrence/status/996449845647900672", "996449845647900672")</f>
        <v/>
      </c>
      <c r="B247" s="2" t="n">
        <v>43235.74920138889</v>
      </c>
      <c r="C247" t="n">
        <v>4</v>
      </c>
      <c r="D247" t="n">
        <v>2</v>
      </c>
      <c r="E247" t="s">
        <v>253</v>
      </c>
      <c r="F247" t="s"/>
      <c r="G247" t="s"/>
      <c r="H247" t="s"/>
      <c r="I247" t="s"/>
      <c r="J247" t="n">
        <v>-0.6808</v>
      </c>
      <c r="K247" t="n">
        <v>0.359</v>
      </c>
      <c r="L247" t="n">
        <v>0.641</v>
      </c>
      <c r="M247" t="n">
        <v>0</v>
      </c>
    </row>
    <row r="248" spans="1:13">
      <c r="A248" s="1">
        <f>HYPERLINK("http://www.twitter.com/NathanBLawrence/status/996449543205113858", "996449543205113858")</f>
        <v/>
      </c>
      <c r="B248" s="2" t="n">
        <v>43235.74835648148</v>
      </c>
      <c r="C248" t="n">
        <v>0</v>
      </c>
      <c r="D248" t="n">
        <v>4</v>
      </c>
      <c r="E248" t="s">
        <v>254</v>
      </c>
      <c r="F248" t="s"/>
      <c r="G248" t="s"/>
      <c r="H248" t="s"/>
      <c r="I248" t="s"/>
      <c r="J248" t="n">
        <v>0</v>
      </c>
      <c r="K248" t="n">
        <v>0</v>
      </c>
      <c r="L248" t="n">
        <v>1</v>
      </c>
      <c r="M248" t="n">
        <v>0</v>
      </c>
    </row>
    <row r="249" spans="1:13">
      <c r="A249" s="1">
        <f>HYPERLINK("http://www.twitter.com/NathanBLawrence/status/996449527824568320", "996449527824568320")</f>
        <v/>
      </c>
      <c r="B249" s="2" t="n">
        <v>43235.74832175926</v>
      </c>
      <c r="C249" t="n">
        <v>0</v>
      </c>
      <c r="D249" t="n">
        <v>7</v>
      </c>
      <c r="E249" t="s">
        <v>255</v>
      </c>
      <c r="F249" t="s"/>
      <c r="G249" t="s"/>
      <c r="H249" t="s"/>
      <c r="I249" t="s"/>
      <c r="J249" t="n">
        <v>-0.3987</v>
      </c>
      <c r="K249" t="n">
        <v>0.25</v>
      </c>
      <c r="L249" t="n">
        <v>0.581</v>
      </c>
      <c r="M249" t="n">
        <v>0.168</v>
      </c>
    </row>
    <row r="250" spans="1:13">
      <c r="A250" s="1">
        <f>HYPERLINK("http://www.twitter.com/NathanBLawrence/status/996449488456822786", "996449488456822786")</f>
        <v/>
      </c>
      <c r="B250" s="2" t="n">
        <v>43235.74820601852</v>
      </c>
      <c r="C250" t="n">
        <v>0</v>
      </c>
      <c r="D250" t="n">
        <v>2</v>
      </c>
      <c r="E250" t="s">
        <v>256</v>
      </c>
      <c r="F250" t="s"/>
      <c r="G250" t="s"/>
      <c r="H250" t="s"/>
      <c r="I250" t="s"/>
      <c r="J250" t="n">
        <v>0.3612</v>
      </c>
      <c r="K250" t="n">
        <v>0</v>
      </c>
      <c r="L250" t="n">
        <v>0.884</v>
      </c>
      <c r="M250" t="n">
        <v>0.116</v>
      </c>
    </row>
    <row r="251" spans="1:13">
      <c r="A251" s="1">
        <f>HYPERLINK("http://www.twitter.com/NathanBLawrence/status/996448958229737479", "996448958229737479")</f>
        <v/>
      </c>
      <c r="B251" s="2" t="n">
        <v>43235.74674768518</v>
      </c>
      <c r="C251" t="n">
        <v>0</v>
      </c>
      <c r="D251" t="n">
        <v>2</v>
      </c>
      <c r="E251" t="s">
        <v>257</v>
      </c>
      <c r="F251" t="s"/>
      <c r="G251" t="s"/>
      <c r="H251" t="s"/>
      <c r="I251" t="s"/>
      <c r="J251" t="n">
        <v>-0.2732</v>
      </c>
      <c r="K251" t="n">
        <v>0.11</v>
      </c>
      <c r="L251" t="n">
        <v>0.89</v>
      </c>
      <c r="M251" t="n">
        <v>0</v>
      </c>
    </row>
    <row r="252" spans="1:13">
      <c r="A252" s="1">
        <f>HYPERLINK("http://www.twitter.com/NathanBLawrence/status/996445526819328000", "996445526819328000")</f>
        <v/>
      </c>
      <c r="B252" s="2" t="n">
        <v>43235.7372800926</v>
      </c>
      <c r="C252" t="n">
        <v>3</v>
      </c>
      <c r="D252" t="n">
        <v>1</v>
      </c>
      <c r="E252" t="s">
        <v>258</v>
      </c>
      <c r="F252">
        <f>HYPERLINK("http://pbs.twimg.com/media/DdQVxetX0AEXwNk.jpg", "http://pbs.twimg.com/media/DdQVxetX0AEXwNk.jpg")</f>
        <v/>
      </c>
      <c r="G252" t="s"/>
      <c r="H252" t="s"/>
      <c r="I252" t="s"/>
      <c r="J252" t="n">
        <v>-0.7097</v>
      </c>
      <c r="K252" t="n">
        <v>0.294</v>
      </c>
      <c r="L252" t="n">
        <v>0.593</v>
      </c>
      <c r="M252" t="n">
        <v>0.112</v>
      </c>
    </row>
    <row r="253" spans="1:13">
      <c r="A253" s="1">
        <f>HYPERLINK("http://www.twitter.com/NathanBLawrence/status/996444996210511872", "996444996210511872")</f>
        <v/>
      </c>
      <c r="B253" s="2" t="n">
        <v>43235.73581018519</v>
      </c>
      <c r="C253" t="n">
        <v>1</v>
      </c>
      <c r="D253" t="n">
        <v>1</v>
      </c>
      <c r="E253" t="s">
        <v>259</v>
      </c>
      <c r="F253" t="s"/>
      <c r="G253" t="s"/>
      <c r="H253" t="s"/>
      <c r="I253" t="s"/>
      <c r="J253" t="n">
        <v>0</v>
      </c>
      <c r="K253" t="n">
        <v>0</v>
      </c>
      <c r="L253" t="n">
        <v>1</v>
      </c>
      <c r="M253" t="n">
        <v>0</v>
      </c>
    </row>
    <row r="254" spans="1:13">
      <c r="A254" s="1">
        <f>HYPERLINK("http://www.twitter.com/NathanBLawrence/status/996444952937758726", "996444952937758726")</f>
        <v/>
      </c>
      <c r="B254" s="2" t="n">
        <v>43235.73569444445</v>
      </c>
      <c r="C254" t="n">
        <v>1</v>
      </c>
      <c r="D254" t="n">
        <v>1</v>
      </c>
      <c r="E254" t="s">
        <v>260</v>
      </c>
      <c r="F254">
        <f>HYPERLINK("http://pbs.twimg.com/media/DdQVSHAXUAUE-xv.jpg", "http://pbs.twimg.com/media/DdQVSHAXUAUE-xv.jpg")</f>
        <v/>
      </c>
      <c r="G254" t="s"/>
      <c r="H254" t="s"/>
      <c r="I254" t="s"/>
      <c r="J254" t="n">
        <v>-0.3753</v>
      </c>
      <c r="K254" t="n">
        <v>0.108</v>
      </c>
      <c r="L254" t="n">
        <v>0.821</v>
      </c>
      <c r="M254" t="n">
        <v>0.07099999999999999</v>
      </c>
    </row>
    <row r="255" spans="1:13">
      <c r="A255" s="1">
        <f>HYPERLINK("http://www.twitter.com/NathanBLawrence/status/996444947044864001", "996444947044864001")</f>
        <v/>
      </c>
      <c r="B255" s="2" t="n">
        <v>43235.73568287037</v>
      </c>
      <c r="C255" t="n">
        <v>0</v>
      </c>
      <c r="D255" t="n">
        <v>24</v>
      </c>
      <c r="E255" t="s">
        <v>261</v>
      </c>
      <c r="F255">
        <f>HYPERLINK("http://pbs.twimg.com/media/DdQOBynV0AAO_wj.jpg", "http://pbs.twimg.com/media/DdQOBynV0AAO_wj.jpg")</f>
        <v/>
      </c>
      <c r="G255" t="s"/>
      <c r="H255" t="s"/>
      <c r="I255" t="s"/>
      <c r="J255" t="n">
        <v>0</v>
      </c>
      <c r="K255" t="n">
        <v>0</v>
      </c>
      <c r="L255" t="n">
        <v>1</v>
      </c>
      <c r="M255" t="n">
        <v>0</v>
      </c>
    </row>
    <row r="256" spans="1:13">
      <c r="A256" s="1">
        <f>HYPERLINK("http://www.twitter.com/NathanBLawrence/status/996444870481989632", "996444870481989632")</f>
        <v/>
      </c>
      <c r="B256" s="2" t="n">
        <v>43235.73546296296</v>
      </c>
      <c r="C256" t="n">
        <v>0</v>
      </c>
      <c r="D256" t="n">
        <v>49</v>
      </c>
      <c r="E256" t="s">
        <v>262</v>
      </c>
      <c r="F256" t="s"/>
      <c r="G256" t="s"/>
      <c r="H256" t="s"/>
      <c r="I256" t="s"/>
      <c r="J256" t="n">
        <v>-0.7184</v>
      </c>
      <c r="K256" t="n">
        <v>0.24</v>
      </c>
      <c r="L256" t="n">
        <v>0.76</v>
      </c>
      <c r="M256" t="n">
        <v>0</v>
      </c>
    </row>
    <row r="257" spans="1:13">
      <c r="A257" s="1">
        <f>HYPERLINK("http://www.twitter.com/NathanBLawrence/status/996444698305859589", "996444698305859589")</f>
        <v/>
      </c>
      <c r="B257" s="2" t="n">
        <v>43235.73498842592</v>
      </c>
      <c r="C257" t="n">
        <v>1</v>
      </c>
      <c r="D257" t="n">
        <v>1</v>
      </c>
      <c r="E257" t="s">
        <v>263</v>
      </c>
      <c r="F257">
        <f>HYPERLINK("http://pbs.twimg.com/media/DdQVBJrWsAAs86E.jpg", "http://pbs.twimg.com/media/DdQVBJrWsAAs86E.jpg")</f>
        <v/>
      </c>
      <c r="G257" t="s"/>
      <c r="H257" t="s"/>
      <c r="I257" t="s"/>
      <c r="J257" t="n">
        <v>-0.3753</v>
      </c>
      <c r="K257" t="n">
        <v>0.145</v>
      </c>
      <c r="L257" t="n">
        <v>0.759</v>
      </c>
      <c r="M257" t="n">
        <v>0.096</v>
      </c>
    </row>
    <row r="258" spans="1:13">
      <c r="A258" s="1">
        <f>HYPERLINK("http://www.twitter.com/NathanBLawrence/status/996444587832107008", "996444587832107008")</f>
        <v/>
      </c>
      <c r="B258" s="2" t="n">
        <v>43235.7346875</v>
      </c>
      <c r="C258" t="n">
        <v>0</v>
      </c>
      <c r="D258" t="n">
        <v>40</v>
      </c>
      <c r="E258" t="s">
        <v>264</v>
      </c>
      <c r="F258" t="s"/>
      <c r="G258" t="s"/>
      <c r="H258" t="s"/>
      <c r="I258" t="s"/>
      <c r="J258" t="n">
        <v>-0.0516</v>
      </c>
      <c r="K258" t="n">
        <v>0.192</v>
      </c>
      <c r="L258" t="n">
        <v>0.625</v>
      </c>
      <c r="M258" t="n">
        <v>0.183</v>
      </c>
    </row>
    <row r="259" spans="1:13">
      <c r="A259" s="1">
        <f>HYPERLINK("http://www.twitter.com/NathanBLawrence/status/996444292871835650", "996444292871835650")</f>
        <v/>
      </c>
      <c r="B259" s="2" t="n">
        <v>43235.73387731481</v>
      </c>
      <c r="C259" t="n">
        <v>1</v>
      </c>
      <c r="D259" t="n">
        <v>1</v>
      </c>
      <c r="E259" t="s">
        <v>265</v>
      </c>
      <c r="F259">
        <f>HYPERLINK("http://pbs.twimg.com/media/DdQUoqaWAAENVp0.jpg", "http://pbs.twimg.com/media/DdQUoqaWAAENVp0.jpg")</f>
        <v/>
      </c>
      <c r="G259" t="s"/>
      <c r="H259" t="s"/>
      <c r="I259" t="s"/>
      <c r="J259" t="n">
        <v>-0.6808999999999999</v>
      </c>
      <c r="K259" t="n">
        <v>0.173</v>
      </c>
      <c r="L259" t="n">
        <v>0.827</v>
      </c>
      <c r="M259" t="n">
        <v>0</v>
      </c>
    </row>
    <row r="260" spans="1:13">
      <c r="A260" s="1">
        <f>HYPERLINK("http://www.twitter.com/NathanBLawrence/status/996443734811316226", "996443734811316226")</f>
        <v/>
      </c>
      <c r="B260" s="2" t="n">
        <v>43235.73233796296</v>
      </c>
      <c r="C260" t="n">
        <v>0</v>
      </c>
      <c r="D260" t="n">
        <v>3</v>
      </c>
      <c r="E260" t="s">
        <v>266</v>
      </c>
      <c r="F260" t="s"/>
      <c r="G260" t="s"/>
      <c r="H260" t="s"/>
      <c r="I260" t="s"/>
      <c r="J260" t="n">
        <v>0.4939</v>
      </c>
      <c r="K260" t="n">
        <v>0.125</v>
      </c>
      <c r="L260" t="n">
        <v>0.5679999999999999</v>
      </c>
      <c r="M260" t="n">
        <v>0.307</v>
      </c>
    </row>
    <row r="261" spans="1:13">
      <c r="A261" s="1">
        <f>HYPERLINK("http://www.twitter.com/NathanBLawrence/status/996443716905775104", "996443716905775104")</f>
        <v/>
      </c>
      <c r="B261" s="2" t="n">
        <v>43235.73228009259</v>
      </c>
      <c r="C261" t="n">
        <v>0</v>
      </c>
      <c r="D261" t="n">
        <v>3</v>
      </c>
      <c r="E261" t="s">
        <v>267</v>
      </c>
      <c r="F261" t="s"/>
      <c r="G261" t="s"/>
      <c r="H261" t="s"/>
      <c r="I261" t="s"/>
      <c r="J261" t="n">
        <v>0.5411</v>
      </c>
      <c r="K261" t="n">
        <v>0.123</v>
      </c>
      <c r="L261" t="n">
        <v>0.5590000000000001</v>
      </c>
      <c r="M261" t="n">
        <v>0.318</v>
      </c>
    </row>
    <row r="262" spans="1:13">
      <c r="A262" s="1">
        <f>HYPERLINK("http://www.twitter.com/NathanBLawrence/status/996443692524277760", "996443692524277760")</f>
        <v/>
      </c>
      <c r="B262" s="2" t="n">
        <v>43235.73221064815</v>
      </c>
      <c r="C262" t="n">
        <v>0</v>
      </c>
      <c r="D262" t="n">
        <v>1</v>
      </c>
      <c r="E262" t="s">
        <v>268</v>
      </c>
      <c r="F262" t="s"/>
      <c r="G262" t="s"/>
      <c r="H262" t="s"/>
      <c r="I262" t="s"/>
      <c r="J262" t="n">
        <v>0.3818</v>
      </c>
      <c r="K262" t="n">
        <v>0</v>
      </c>
      <c r="L262" t="n">
        <v>0.8090000000000001</v>
      </c>
      <c r="M262" t="n">
        <v>0.191</v>
      </c>
    </row>
    <row r="263" spans="1:13">
      <c r="A263" s="1">
        <f>HYPERLINK("http://www.twitter.com/NathanBLawrence/status/996443613121925120", "996443613121925120")</f>
        <v/>
      </c>
      <c r="B263" s="2" t="n">
        <v>43235.73200231481</v>
      </c>
      <c r="C263" t="n">
        <v>0</v>
      </c>
      <c r="D263" t="n">
        <v>14</v>
      </c>
      <c r="E263" t="s">
        <v>269</v>
      </c>
      <c r="F263">
        <f>HYPERLINK("http://pbs.twimg.com/media/DdQMA5lV4AAMNfv.jpg", "http://pbs.twimg.com/media/DdQMA5lV4AAMNfv.jpg")</f>
        <v/>
      </c>
      <c r="G263" t="s"/>
      <c r="H263" t="s"/>
      <c r="I263" t="s"/>
      <c r="J263" t="n">
        <v>0</v>
      </c>
      <c r="K263" t="n">
        <v>0</v>
      </c>
      <c r="L263" t="n">
        <v>1</v>
      </c>
      <c r="M263" t="n">
        <v>0</v>
      </c>
    </row>
    <row r="264" spans="1:13">
      <c r="A264" s="1">
        <f>HYPERLINK("http://www.twitter.com/NathanBLawrence/status/996440046390665216", "996440046390665216")</f>
        <v/>
      </c>
      <c r="B264" s="2" t="n">
        <v>43235.72215277778</v>
      </c>
      <c r="C264" t="n">
        <v>0</v>
      </c>
      <c r="D264" t="n">
        <v>0</v>
      </c>
      <c r="E264" t="s">
        <v>270</v>
      </c>
      <c r="F264" t="s"/>
      <c r="G264" t="s"/>
      <c r="H264" t="s"/>
      <c r="I264" t="s"/>
      <c r="J264" t="n">
        <v>0.4215</v>
      </c>
      <c r="K264" t="n">
        <v>0</v>
      </c>
      <c r="L264" t="n">
        <v>0.263</v>
      </c>
      <c r="M264" t="n">
        <v>0.737</v>
      </c>
    </row>
    <row r="265" spans="1:13">
      <c r="A265" s="1">
        <f>HYPERLINK("http://www.twitter.com/NathanBLawrence/status/996433988658089986", "996433988658089986")</f>
        <v/>
      </c>
      <c r="B265" s="2" t="n">
        <v>43235.70543981482</v>
      </c>
      <c r="C265" t="n">
        <v>2</v>
      </c>
      <c r="D265" t="n">
        <v>1</v>
      </c>
      <c r="E265" t="s">
        <v>271</v>
      </c>
      <c r="F265">
        <f>HYPERLINK("http://pbs.twimg.com/media/DdQLZXdWsAAynyF.jpg", "http://pbs.twimg.com/media/DdQLZXdWsAAynyF.jpg")</f>
        <v/>
      </c>
      <c r="G265" t="s"/>
      <c r="H265" t="s"/>
      <c r="I265" t="s"/>
      <c r="J265" t="n">
        <v>-0.9393</v>
      </c>
      <c r="K265" t="n">
        <v>0.305</v>
      </c>
      <c r="L265" t="n">
        <v>0.695</v>
      </c>
      <c r="M265" t="n">
        <v>0</v>
      </c>
    </row>
    <row r="266" spans="1:13">
      <c r="A266" s="1">
        <f>HYPERLINK("http://www.twitter.com/NathanBLawrence/status/996433751566667778", "996433751566667778")</f>
        <v/>
      </c>
      <c r="B266" s="2" t="n">
        <v>43235.70478009259</v>
      </c>
      <c r="C266" t="n">
        <v>1</v>
      </c>
      <c r="D266" t="n">
        <v>1</v>
      </c>
      <c r="E266" t="s">
        <v>272</v>
      </c>
      <c r="F266">
        <f>HYPERLINK("http://pbs.twimg.com/media/DdQLIjdX4AA4Hy0.jpg", "http://pbs.twimg.com/media/DdQLIjdX4AA4Hy0.jpg")</f>
        <v/>
      </c>
      <c r="G266" t="s"/>
      <c r="H266" t="s"/>
      <c r="I266" t="s"/>
      <c r="J266" t="n">
        <v>-0.8074</v>
      </c>
      <c r="K266" t="n">
        <v>0.16</v>
      </c>
      <c r="L266" t="n">
        <v>0.793</v>
      </c>
      <c r="M266" t="n">
        <v>0.047</v>
      </c>
    </row>
    <row r="267" spans="1:13">
      <c r="A267" s="1">
        <f>HYPERLINK("http://www.twitter.com/NathanBLawrence/status/996433734797848577", "996433734797848577")</f>
        <v/>
      </c>
      <c r="B267" s="2" t="n">
        <v>43235.70473379629</v>
      </c>
      <c r="C267" t="n">
        <v>0</v>
      </c>
      <c r="D267" t="n">
        <v>5</v>
      </c>
      <c r="E267" t="s">
        <v>273</v>
      </c>
      <c r="F267">
        <f>HYPERLINK("http://pbs.twimg.com/media/DdP7hcEWkAEuUqP.jpg", "http://pbs.twimg.com/media/DdP7hcEWkAEuUqP.jpg")</f>
        <v/>
      </c>
      <c r="G267" t="s"/>
      <c r="H267" t="s"/>
      <c r="I267" t="s"/>
      <c r="J267" t="n">
        <v>0</v>
      </c>
      <c r="K267" t="n">
        <v>0</v>
      </c>
      <c r="L267" t="n">
        <v>1</v>
      </c>
      <c r="M267" t="n">
        <v>0</v>
      </c>
    </row>
    <row r="268" spans="1:13">
      <c r="A268" s="1">
        <f>HYPERLINK("http://www.twitter.com/NathanBLawrence/status/996432961330434049", "996432961330434049")</f>
        <v/>
      </c>
      <c r="B268" s="2" t="n">
        <v>43235.70260416667</v>
      </c>
      <c r="C268" t="n">
        <v>0</v>
      </c>
      <c r="D268" t="n">
        <v>4</v>
      </c>
      <c r="E268" t="s">
        <v>274</v>
      </c>
      <c r="F268" t="s"/>
      <c r="G268" t="s"/>
      <c r="H268" t="s"/>
      <c r="I268" t="s"/>
      <c r="J268" t="n">
        <v>-0.7678</v>
      </c>
      <c r="K268" t="n">
        <v>0.354</v>
      </c>
      <c r="L268" t="n">
        <v>0.5590000000000001</v>
      </c>
      <c r="M268" t="n">
        <v>0.08699999999999999</v>
      </c>
    </row>
    <row r="269" spans="1:13">
      <c r="A269" s="1">
        <f>HYPERLINK("http://www.twitter.com/NathanBLawrence/status/996432896146763778", "996432896146763778")</f>
        <v/>
      </c>
      <c r="B269" s="2" t="n">
        <v>43235.70241898148</v>
      </c>
      <c r="C269" t="n">
        <v>0</v>
      </c>
      <c r="D269" t="n">
        <v>2</v>
      </c>
      <c r="E269" t="s">
        <v>275</v>
      </c>
      <c r="F269" t="s"/>
      <c r="G269" t="s"/>
      <c r="H269" t="s"/>
      <c r="I269" t="s"/>
      <c r="J269" t="n">
        <v>0</v>
      </c>
      <c r="K269" t="n">
        <v>0</v>
      </c>
      <c r="L269" t="n">
        <v>1</v>
      </c>
      <c r="M269" t="n">
        <v>0</v>
      </c>
    </row>
    <row r="270" spans="1:13">
      <c r="A270" s="1">
        <f>HYPERLINK("http://www.twitter.com/NathanBLawrence/status/996432895429566464", "996432895429566464")</f>
        <v/>
      </c>
      <c r="B270" s="2" t="n">
        <v>43235.70241898148</v>
      </c>
      <c r="C270" t="n">
        <v>2</v>
      </c>
      <c r="D270" t="n">
        <v>1</v>
      </c>
      <c r="E270" t="s">
        <v>276</v>
      </c>
      <c r="F270">
        <f>HYPERLINK("http://pbs.twimg.com/media/DdQKWdrX0AAJtgU.jpg", "http://pbs.twimg.com/media/DdQKWdrX0AAJtgU.jpg")</f>
        <v/>
      </c>
      <c r="G270" t="s"/>
      <c r="H270" t="s"/>
      <c r="I270" t="s"/>
      <c r="J270" t="n">
        <v>-0.8744</v>
      </c>
      <c r="K270" t="n">
        <v>0.246</v>
      </c>
      <c r="L270" t="n">
        <v>0.662</v>
      </c>
      <c r="M270" t="n">
        <v>0.092</v>
      </c>
    </row>
    <row r="271" spans="1:13">
      <c r="A271" s="1">
        <f>HYPERLINK("http://www.twitter.com/NathanBLawrence/status/996431893431291904", "996431893431291904")</f>
        <v/>
      </c>
      <c r="B271" s="2" t="n">
        <v>43235.69965277778</v>
      </c>
      <c r="C271" t="n">
        <v>0</v>
      </c>
      <c r="D271" t="n">
        <v>4</v>
      </c>
      <c r="E271" t="s">
        <v>277</v>
      </c>
      <c r="F271" t="s"/>
      <c r="G271" t="s"/>
      <c r="H271" t="s"/>
      <c r="I271" t="s"/>
      <c r="J271" t="n">
        <v>-0.5868</v>
      </c>
      <c r="K271" t="n">
        <v>0.203</v>
      </c>
      <c r="L271" t="n">
        <v>0.719</v>
      </c>
      <c r="M271" t="n">
        <v>0.078</v>
      </c>
    </row>
    <row r="272" spans="1:13">
      <c r="A272" s="1">
        <f>HYPERLINK("http://www.twitter.com/NathanBLawrence/status/996431768831102976", "996431768831102976")</f>
        <v/>
      </c>
      <c r="B272" s="2" t="n">
        <v>43235.69931712963</v>
      </c>
      <c r="C272" t="n">
        <v>0</v>
      </c>
      <c r="D272" t="n">
        <v>12</v>
      </c>
      <c r="E272" t="s">
        <v>278</v>
      </c>
      <c r="F272">
        <f>HYPERLINK("http://pbs.twimg.com/media/DdP8mRCX4AEykXX.jpg", "http://pbs.twimg.com/media/DdP8mRCX4AEykXX.jpg")</f>
        <v/>
      </c>
      <c r="G272" t="s"/>
      <c r="H272" t="s"/>
      <c r="I272" t="s"/>
      <c r="J272" t="n">
        <v>-0.1027</v>
      </c>
      <c r="K272" t="n">
        <v>0.06</v>
      </c>
      <c r="L272" t="n">
        <v>0.9399999999999999</v>
      </c>
      <c r="M272" t="n">
        <v>0</v>
      </c>
    </row>
    <row r="273" spans="1:13">
      <c r="A273" s="1">
        <f>HYPERLINK("http://www.twitter.com/NathanBLawrence/status/996431753983221760", "996431753983221760")</f>
        <v/>
      </c>
      <c r="B273" s="2" t="n">
        <v>43235.69927083333</v>
      </c>
      <c r="C273" t="n">
        <v>0</v>
      </c>
      <c r="D273" t="n">
        <v>13</v>
      </c>
      <c r="E273" t="s">
        <v>279</v>
      </c>
      <c r="F273">
        <f>HYPERLINK("http://pbs.twimg.com/media/DdP19WSW0AIpwmF.jpg", "http://pbs.twimg.com/media/DdP19WSW0AIpwmF.jpg")</f>
        <v/>
      </c>
      <c r="G273" t="s"/>
      <c r="H273" t="s"/>
      <c r="I273" t="s"/>
      <c r="J273" t="n">
        <v>-0.1027</v>
      </c>
      <c r="K273" t="n">
        <v>0.055</v>
      </c>
      <c r="L273" t="n">
        <v>0.945</v>
      </c>
      <c r="M273" t="n">
        <v>0</v>
      </c>
    </row>
    <row r="274" spans="1:13">
      <c r="A274" s="1">
        <f>HYPERLINK("http://www.twitter.com/NathanBLawrence/status/996431739240280064", "996431739240280064")</f>
        <v/>
      </c>
      <c r="B274" s="2" t="n">
        <v>43235.69923611111</v>
      </c>
      <c r="C274" t="n">
        <v>0</v>
      </c>
      <c r="D274" t="n">
        <v>13</v>
      </c>
      <c r="E274" t="s">
        <v>280</v>
      </c>
      <c r="F274">
        <f>HYPERLINK("http://pbs.twimg.com/media/DdPsE9kX4AANtB5.jpg", "http://pbs.twimg.com/media/DdPsE9kX4AANtB5.jpg")</f>
        <v/>
      </c>
      <c r="G274" t="s"/>
      <c r="H274" t="s"/>
      <c r="I274" t="s"/>
      <c r="J274" t="n">
        <v>-0.1027</v>
      </c>
      <c r="K274" t="n">
        <v>0.057</v>
      </c>
      <c r="L274" t="n">
        <v>0.9429999999999999</v>
      </c>
      <c r="M274" t="n">
        <v>0</v>
      </c>
    </row>
    <row r="275" spans="1:13">
      <c r="A275" s="1">
        <f>HYPERLINK("http://www.twitter.com/NathanBLawrence/status/996431722957942790", "996431722957942790")</f>
        <v/>
      </c>
      <c r="B275" s="2" t="n">
        <v>43235.69918981481</v>
      </c>
      <c r="C275" t="n">
        <v>0</v>
      </c>
      <c r="D275" t="n">
        <v>11</v>
      </c>
      <c r="E275" t="s">
        <v>281</v>
      </c>
      <c r="F275">
        <f>HYPERLINK("http://pbs.twimg.com/media/DdPla3WXkAAPWcQ.jpg", "http://pbs.twimg.com/media/DdPla3WXkAAPWcQ.jpg")</f>
        <v/>
      </c>
      <c r="G275" t="s"/>
      <c r="H275" t="s"/>
      <c r="I275" t="s"/>
      <c r="J275" t="n">
        <v>-0.1027</v>
      </c>
      <c r="K275" t="n">
        <v>0.057</v>
      </c>
      <c r="L275" t="n">
        <v>0.9429999999999999</v>
      </c>
      <c r="M275" t="n">
        <v>0</v>
      </c>
    </row>
    <row r="276" spans="1:13">
      <c r="A276" s="1">
        <f>HYPERLINK("http://www.twitter.com/NathanBLawrence/status/996431703966175235", "996431703966175235")</f>
        <v/>
      </c>
      <c r="B276" s="2" t="n">
        <v>43235.69913194444</v>
      </c>
      <c r="C276" t="n">
        <v>0</v>
      </c>
      <c r="D276" t="n">
        <v>12</v>
      </c>
      <c r="E276" t="s">
        <v>282</v>
      </c>
      <c r="F276">
        <f>HYPERLINK("http://pbs.twimg.com/media/DdPkGvmW4AUceFf.jpg", "http://pbs.twimg.com/media/DdPkGvmW4AUceFf.jpg")</f>
        <v/>
      </c>
      <c r="G276" t="s"/>
      <c r="H276" t="s"/>
      <c r="I276" t="s"/>
      <c r="J276" t="n">
        <v>-0.1027</v>
      </c>
      <c r="K276" t="n">
        <v>0.055</v>
      </c>
      <c r="L276" t="n">
        <v>0.945</v>
      </c>
      <c r="M276" t="n">
        <v>0</v>
      </c>
    </row>
    <row r="277" spans="1:13">
      <c r="A277" s="1">
        <f>HYPERLINK("http://www.twitter.com/NathanBLawrence/status/996421397936332800", "996421397936332800")</f>
        <v/>
      </c>
      <c r="B277" s="2" t="n">
        <v>43235.67069444444</v>
      </c>
      <c r="C277" t="n">
        <v>2</v>
      </c>
      <c r="D277" t="n">
        <v>1</v>
      </c>
      <c r="E277" t="s">
        <v>283</v>
      </c>
      <c r="F277">
        <f>HYPERLINK("http://pbs.twimg.com/media/DdP_8wfXcAItiXs.jpg", "http://pbs.twimg.com/media/DdP_8wfXcAItiXs.jpg")</f>
        <v/>
      </c>
      <c r="G277" t="s"/>
      <c r="H277" t="s"/>
      <c r="I277" t="s"/>
      <c r="J277" t="n">
        <v>-0.8643999999999999</v>
      </c>
      <c r="K277" t="n">
        <v>0.313</v>
      </c>
      <c r="L277" t="n">
        <v>0.6870000000000001</v>
      </c>
      <c r="M277" t="n">
        <v>0</v>
      </c>
    </row>
    <row r="278" spans="1:13">
      <c r="A278" s="1">
        <f>HYPERLINK("http://www.twitter.com/NathanBLawrence/status/996417951136931841", "996417951136931841")</f>
        <v/>
      </c>
      <c r="B278" s="2" t="n">
        <v>43235.66118055556</v>
      </c>
      <c r="C278" t="n">
        <v>0</v>
      </c>
      <c r="D278" t="n">
        <v>0</v>
      </c>
      <c r="E278" t="s">
        <v>284</v>
      </c>
      <c r="F278">
        <f>HYPERLINK("http://pbs.twimg.com/media/DdP8zftVQAAfw05.jpg", "http://pbs.twimg.com/media/DdP8zftVQAAfw05.jpg")</f>
        <v/>
      </c>
      <c r="G278" t="s"/>
      <c r="H278" t="s"/>
      <c r="I278" t="s"/>
      <c r="J278" t="n">
        <v>-0.8591</v>
      </c>
      <c r="K278" t="n">
        <v>0.182</v>
      </c>
      <c r="L278" t="n">
        <v>0.785</v>
      </c>
      <c r="M278" t="n">
        <v>0.033</v>
      </c>
    </row>
    <row r="279" spans="1:13">
      <c r="A279" s="1">
        <f>HYPERLINK("http://www.twitter.com/NathanBLawrence/status/996417482717040641", "996417482717040641")</f>
        <v/>
      </c>
      <c r="B279" s="2" t="n">
        <v>43235.65989583333</v>
      </c>
      <c r="C279" t="n">
        <v>0</v>
      </c>
      <c r="D279" t="n">
        <v>1</v>
      </c>
      <c r="E279" t="s">
        <v>285</v>
      </c>
      <c r="F279" t="s"/>
      <c r="G279" t="s"/>
      <c r="H279" t="s"/>
      <c r="I279" t="s"/>
      <c r="J279" t="n">
        <v>0</v>
      </c>
      <c r="K279" t="n">
        <v>0</v>
      </c>
      <c r="L279" t="n">
        <v>1</v>
      </c>
      <c r="M279" t="n">
        <v>0</v>
      </c>
    </row>
    <row r="280" spans="1:13">
      <c r="A280" s="1">
        <f>HYPERLINK("http://www.twitter.com/NathanBLawrence/status/996417424898523136", "996417424898523136")</f>
        <v/>
      </c>
      <c r="B280" s="2" t="n">
        <v>43235.6597337963</v>
      </c>
      <c r="C280" t="n">
        <v>1</v>
      </c>
      <c r="D280" t="n">
        <v>1</v>
      </c>
      <c r="E280" t="s">
        <v>286</v>
      </c>
      <c r="F280">
        <f>HYPERLINK("http://pbs.twimg.com/media/DdP8S2wUwAEpVx-.jpg", "http://pbs.twimg.com/media/DdP8S2wUwAEpVx-.jpg")</f>
        <v/>
      </c>
      <c r="G280" t="s"/>
      <c r="H280" t="s"/>
      <c r="I280" t="s"/>
      <c r="J280" t="n">
        <v>0</v>
      </c>
      <c r="K280" t="n">
        <v>0.16</v>
      </c>
      <c r="L280" t="n">
        <v>0.68</v>
      </c>
      <c r="M280" t="n">
        <v>0.16</v>
      </c>
    </row>
    <row r="281" spans="1:13">
      <c r="A281" s="1">
        <f>HYPERLINK("http://www.twitter.com/NathanBLawrence/status/996417163635429376", "996417163635429376")</f>
        <v/>
      </c>
      <c r="B281" s="2" t="n">
        <v>43235.6590162037</v>
      </c>
      <c r="C281" t="n">
        <v>1</v>
      </c>
      <c r="D281" t="n">
        <v>1</v>
      </c>
      <c r="E281" t="s">
        <v>287</v>
      </c>
      <c r="F281">
        <f>HYPERLINK("http://pbs.twimg.com/media/DdP8Fa7V0AE4Wx_.jpg", "http://pbs.twimg.com/media/DdP8Fa7V0AE4Wx_.jpg")</f>
        <v/>
      </c>
      <c r="G281" t="s"/>
      <c r="H281" t="s"/>
      <c r="I281" t="s"/>
      <c r="J281" t="n">
        <v>0</v>
      </c>
      <c r="K281" t="n">
        <v>0</v>
      </c>
      <c r="L281" t="n">
        <v>1</v>
      </c>
      <c r="M281" t="n">
        <v>0</v>
      </c>
    </row>
    <row r="282" spans="1:13">
      <c r="A282" s="1">
        <f>HYPERLINK("http://www.twitter.com/NathanBLawrence/status/996417008244789252", "996417008244789252")</f>
        <v/>
      </c>
      <c r="B282" s="2" t="n">
        <v>43235.65857638889</v>
      </c>
      <c r="C282" t="n">
        <v>1</v>
      </c>
      <c r="D282" t="n">
        <v>1</v>
      </c>
      <c r="E282" t="s">
        <v>288</v>
      </c>
      <c r="F282">
        <f>HYPERLINK("http://pbs.twimg.com/media/DdP74TtVAAEf89c.jpg", "http://pbs.twimg.com/media/DdP74TtVAAEf89c.jpg")</f>
        <v/>
      </c>
      <c r="G282" t="s"/>
      <c r="H282" t="s"/>
      <c r="I282" t="s"/>
      <c r="J282" t="n">
        <v>0.8074</v>
      </c>
      <c r="K282" t="n">
        <v>0</v>
      </c>
      <c r="L282" t="n">
        <v>0.751</v>
      </c>
      <c r="M282" t="n">
        <v>0.249</v>
      </c>
    </row>
    <row r="283" spans="1:13">
      <c r="A283" s="1">
        <f>HYPERLINK("http://www.twitter.com/NathanBLawrence/status/996416970793906176", "996416970793906176")</f>
        <v/>
      </c>
      <c r="B283" s="2" t="n">
        <v>43235.65848379629</v>
      </c>
      <c r="C283" t="n">
        <v>0</v>
      </c>
      <c r="D283" t="n">
        <v>79</v>
      </c>
      <c r="E283" t="s">
        <v>289</v>
      </c>
      <c r="F283" t="s"/>
      <c r="G283" t="s"/>
      <c r="H283" t="s"/>
      <c r="I283" t="s"/>
      <c r="J283" t="n">
        <v>-0.7906</v>
      </c>
      <c r="K283" t="n">
        <v>0.333</v>
      </c>
      <c r="L283" t="n">
        <v>0.667</v>
      </c>
      <c r="M283" t="n">
        <v>0</v>
      </c>
    </row>
    <row r="284" spans="1:13">
      <c r="A284" s="1">
        <f>HYPERLINK("http://www.twitter.com/NathanBLawrence/status/996415894204092416", "996415894204092416")</f>
        <v/>
      </c>
      <c r="B284" s="2" t="n">
        <v>43235.65550925926</v>
      </c>
      <c r="C284" t="n">
        <v>0</v>
      </c>
      <c r="D284" t="n">
        <v>1</v>
      </c>
      <c r="E284" t="s">
        <v>290</v>
      </c>
      <c r="F284">
        <f>HYPERLINK("http://pbs.twimg.com/media/DdPbb9HX0AApPAK.jpg", "http://pbs.twimg.com/media/DdPbb9HX0AApPAK.jpg")</f>
        <v/>
      </c>
      <c r="G284" t="s"/>
      <c r="H284" t="s"/>
      <c r="I284" t="s"/>
      <c r="J284" t="n">
        <v>0</v>
      </c>
      <c r="K284" t="n">
        <v>0</v>
      </c>
      <c r="L284" t="n">
        <v>1</v>
      </c>
      <c r="M284" t="n">
        <v>0</v>
      </c>
    </row>
    <row r="285" spans="1:13">
      <c r="A285" s="1">
        <f>HYPERLINK("http://www.twitter.com/NathanBLawrence/status/996387240380166144", "996387240380166144")</f>
        <v/>
      </c>
      <c r="B285" s="2" t="n">
        <v>43235.57643518518</v>
      </c>
      <c r="C285" t="n">
        <v>1</v>
      </c>
      <c r="D285" t="n">
        <v>1</v>
      </c>
      <c r="E285" t="s">
        <v>291</v>
      </c>
      <c r="F285">
        <f>HYPERLINK("http://pbs.twimg.com/media/DdPg6LzX4AAw07e.jpg", "http://pbs.twimg.com/media/DdPg6LzX4AAw07e.jpg")</f>
        <v/>
      </c>
      <c r="G285" t="s"/>
      <c r="H285" t="s"/>
      <c r="I285" t="s"/>
      <c r="J285" t="n">
        <v>0.3365</v>
      </c>
      <c r="K285" t="n">
        <v>0.046</v>
      </c>
      <c r="L285" t="n">
        <v>0.853</v>
      </c>
      <c r="M285" t="n">
        <v>0.101</v>
      </c>
    </row>
    <row r="286" spans="1:13">
      <c r="A286" s="1">
        <f>HYPERLINK("http://www.twitter.com/NathanBLawrence/status/996386547808325637", "996386547808325637")</f>
        <v/>
      </c>
      <c r="B286" s="2" t="n">
        <v>43235.57452546297</v>
      </c>
      <c r="C286" t="n">
        <v>0</v>
      </c>
      <c r="D286" t="n">
        <v>0</v>
      </c>
      <c r="E286" t="s">
        <v>292</v>
      </c>
      <c r="F286">
        <f>HYPERLINK("http://pbs.twimg.com/media/DdPgR-xWsAALdDG.jpg", "http://pbs.twimg.com/media/DdPgR-xWsAALdDG.jpg")</f>
        <v/>
      </c>
      <c r="G286" t="s"/>
      <c r="H286" t="s"/>
      <c r="I286" t="s"/>
      <c r="J286" t="n">
        <v>0</v>
      </c>
      <c r="K286" t="n">
        <v>0</v>
      </c>
      <c r="L286" t="n">
        <v>1</v>
      </c>
      <c r="M286" t="n">
        <v>0</v>
      </c>
    </row>
    <row r="287" spans="1:13">
      <c r="A287" s="1">
        <f>HYPERLINK("http://www.twitter.com/NathanBLawrence/status/996386366371041281", "996386366371041281")</f>
        <v/>
      </c>
      <c r="B287" s="2" t="n">
        <v>43235.57402777778</v>
      </c>
      <c r="C287" t="n">
        <v>0</v>
      </c>
      <c r="D287" t="n">
        <v>0</v>
      </c>
      <c r="E287" t="s">
        <v>293</v>
      </c>
      <c r="F287">
        <f>HYPERLINK("http://pbs.twimg.com/media/DdPgHgHW4AA_94C.jpg", "http://pbs.twimg.com/media/DdPgHgHW4AA_94C.jpg")</f>
        <v/>
      </c>
      <c r="G287" t="s"/>
      <c r="H287" t="s"/>
      <c r="I287" t="s"/>
      <c r="J287" t="n">
        <v>-0.7579</v>
      </c>
      <c r="K287" t="n">
        <v>0.243</v>
      </c>
      <c r="L287" t="n">
        <v>0.702</v>
      </c>
      <c r="M287" t="n">
        <v>0.055</v>
      </c>
    </row>
    <row r="288" spans="1:13">
      <c r="A288" s="1">
        <f>HYPERLINK("http://www.twitter.com/NathanBLawrence/status/996385467254956032", "996385467254956032")</f>
        <v/>
      </c>
      <c r="B288" s="2" t="n">
        <v>43235.57153935185</v>
      </c>
      <c r="C288" t="n">
        <v>0</v>
      </c>
      <c r="D288" t="n">
        <v>0</v>
      </c>
      <c r="E288" t="s">
        <v>294</v>
      </c>
      <c r="F288">
        <f>HYPERLINK("http://pbs.twimg.com/media/DdPfTENXUAE8gWC.jpg", "http://pbs.twimg.com/media/DdPfTENXUAE8gWC.jpg")</f>
        <v/>
      </c>
      <c r="G288" t="s"/>
      <c r="H288" t="s"/>
      <c r="I288" t="s"/>
      <c r="J288" t="n">
        <v>0</v>
      </c>
      <c r="K288" t="n">
        <v>0</v>
      </c>
      <c r="L288" t="n">
        <v>1</v>
      </c>
      <c r="M288" t="n">
        <v>0</v>
      </c>
    </row>
    <row r="289" spans="1:13">
      <c r="A289" s="1">
        <f>HYPERLINK("http://www.twitter.com/NathanBLawrence/status/996385406018080775", "996385406018080775")</f>
        <v/>
      </c>
      <c r="B289" s="2" t="n">
        <v>43235.57137731482</v>
      </c>
      <c r="C289" t="n">
        <v>0</v>
      </c>
      <c r="D289" t="n">
        <v>10</v>
      </c>
      <c r="E289" t="s">
        <v>295</v>
      </c>
      <c r="F289">
        <f>HYPERLINK("http://pbs.twimg.com/media/DdPc57lVwAI5mAQ.jpg", "http://pbs.twimg.com/media/DdPc57lVwAI5mAQ.jpg")</f>
        <v/>
      </c>
      <c r="G289" t="s"/>
      <c r="H289" t="s"/>
      <c r="I289" t="s"/>
      <c r="J289" t="n">
        <v>-0.296</v>
      </c>
      <c r="K289" t="n">
        <v>0.08699999999999999</v>
      </c>
      <c r="L289" t="n">
        <v>0.913</v>
      </c>
      <c r="M289" t="n">
        <v>0</v>
      </c>
    </row>
    <row r="290" spans="1:13">
      <c r="A290" s="1">
        <f>HYPERLINK("http://www.twitter.com/NathanBLawrence/status/996385392885751808", "996385392885751808")</f>
        <v/>
      </c>
      <c r="B290" s="2" t="n">
        <v>43235.57134259259</v>
      </c>
      <c r="C290" t="n">
        <v>4</v>
      </c>
      <c r="D290" t="n">
        <v>2</v>
      </c>
      <c r="E290" t="s">
        <v>296</v>
      </c>
      <c r="F290">
        <f>HYPERLINK("http://pbs.twimg.com/media/DdPfOzDW4AE9LZp.jpg", "http://pbs.twimg.com/media/DdPfOzDW4AE9LZp.jpg")</f>
        <v/>
      </c>
      <c r="G290" t="s"/>
      <c r="H290" t="s"/>
      <c r="I290" t="s"/>
      <c r="J290" t="n">
        <v>-0.3818</v>
      </c>
      <c r="K290" t="n">
        <v>0.12</v>
      </c>
      <c r="L290" t="n">
        <v>0.88</v>
      </c>
      <c r="M290" t="n">
        <v>0</v>
      </c>
    </row>
    <row r="291" spans="1:13">
      <c r="A291" s="1">
        <f>HYPERLINK("http://www.twitter.com/NathanBLawrence/status/996385205211619328", "996385205211619328")</f>
        <v/>
      </c>
      <c r="B291" s="2" t="n">
        <v>43235.57082175926</v>
      </c>
      <c r="C291" t="n">
        <v>0</v>
      </c>
      <c r="D291" t="n">
        <v>32</v>
      </c>
      <c r="E291" t="s">
        <v>297</v>
      </c>
      <c r="F291">
        <f>HYPERLINK("http://pbs.twimg.com/media/DdPbtMgV0AEH44-.jpg", "http://pbs.twimg.com/media/DdPbtMgV0AEH44-.jpg")</f>
        <v/>
      </c>
      <c r="G291" t="s"/>
      <c r="H291" t="s"/>
      <c r="I291" t="s"/>
      <c r="J291" t="n">
        <v>-0.7783</v>
      </c>
      <c r="K291" t="n">
        <v>0.315</v>
      </c>
      <c r="L291" t="n">
        <v>0.6850000000000001</v>
      </c>
      <c r="M291" t="n">
        <v>0</v>
      </c>
    </row>
    <row r="292" spans="1:13">
      <c r="A292" s="1">
        <f>HYPERLINK("http://www.twitter.com/NathanBLawrence/status/996382409393360896", "996382409393360896")</f>
        <v/>
      </c>
      <c r="B292" s="2" t="n">
        <v>43235.56310185185</v>
      </c>
      <c r="C292" t="n">
        <v>0</v>
      </c>
      <c r="D292" t="n">
        <v>0</v>
      </c>
      <c r="E292" t="s">
        <v>298</v>
      </c>
      <c r="F292">
        <f>HYPERLINK("http://pbs.twimg.com/media/DdPchDYWsAItnDt.jpg", "http://pbs.twimg.com/media/DdPchDYWsAItnDt.jpg")</f>
        <v/>
      </c>
      <c r="G292" t="s"/>
      <c r="H292" t="s"/>
      <c r="I292" t="s"/>
      <c r="J292" t="n">
        <v>0</v>
      </c>
      <c r="K292" t="n">
        <v>0</v>
      </c>
      <c r="L292" t="n">
        <v>1</v>
      </c>
      <c r="M292" t="n">
        <v>0</v>
      </c>
    </row>
    <row r="293" spans="1:13">
      <c r="A293" s="1">
        <f>HYPERLINK("http://www.twitter.com/NathanBLawrence/status/996382356503134213", "996382356503134213")</f>
        <v/>
      </c>
      <c r="B293" s="2" t="n">
        <v>43235.56296296296</v>
      </c>
      <c r="C293" t="n">
        <v>0</v>
      </c>
      <c r="D293" t="n">
        <v>20</v>
      </c>
      <c r="E293" t="s">
        <v>299</v>
      </c>
      <c r="F293">
        <f>HYPERLINK("http://pbs.twimg.com/media/DdPVGVJW0AUY99u.jpg", "http://pbs.twimg.com/media/DdPVGVJW0AUY99u.jpg")</f>
        <v/>
      </c>
      <c r="G293" t="s"/>
      <c r="H293" t="s"/>
      <c r="I293" t="s"/>
      <c r="J293" t="n">
        <v>-0.2732</v>
      </c>
      <c r="K293" t="n">
        <v>0.26</v>
      </c>
      <c r="L293" t="n">
        <v>0.554</v>
      </c>
      <c r="M293" t="n">
        <v>0.187</v>
      </c>
    </row>
    <row r="294" spans="1:13">
      <c r="A294" s="1">
        <f>HYPERLINK("http://www.twitter.com/NathanBLawrence/status/996382318624493573", "996382318624493573")</f>
        <v/>
      </c>
      <c r="B294" s="2" t="n">
        <v>43235.56285879629</v>
      </c>
      <c r="C294" t="n">
        <v>0</v>
      </c>
      <c r="D294" t="n">
        <v>1</v>
      </c>
      <c r="E294" t="s">
        <v>300</v>
      </c>
      <c r="F294" t="s"/>
      <c r="G294" t="s"/>
      <c r="H294" t="s"/>
      <c r="I294" t="s"/>
      <c r="J294" t="n">
        <v>0</v>
      </c>
      <c r="K294" t="n">
        <v>0</v>
      </c>
      <c r="L294" t="n">
        <v>1</v>
      </c>
      <c r="M294" t="n">
        <v>0</v>
      </c>
    </row>
    <row r="295" spans="1:13">
      <c r="A295" s="1">
        <f>HYPERLINK("http://www.twitter.com/NathanBLawrence/status/996382007738413056", "996382007738413056")</f>
        <v/>
      </c>
      <c r="B295" s="2" t="n">
        <v>43235.56200231481</v>
      </c>
      <c r="C295" t="n">
        <v>0</v>
      </c>
      <c r="D295" t="n">
        <v>0</v>
      </c>
      <c r="E295" t="s">
        <v>301</v>
      </c>
      <c r="F295">
        <f>HYPERLINK("http://pbs.twimg.com/media/DdPcJo2W4AEubqt.jpg", "http://pbs.twimg.com/media/DdPcJo2W4AEubqt.jpg")</f>
        <v/>
      </c>
      <c r="G295" t="s"/>
      <c r="H295" t="s"/>
      <c r="I295" t="s"/>
      <c r="J295" t="n">
        <v>0</v>
      </c>
      <c r="K295" t="n">
        <v>0</v>
      </c>
      <c r="L295" t="n">
        <v>1</v>
      </c>
      <c r="M295" t="n">
        <v>0</v>
      </c>
    </row>
    <row r="296" spans="1:13">
      <c r="A296" s="1">
        <f>HYPERLINK("http://www.twitter.com/NathanBLawrence/status/996381773054570496", "996381773054570496")</f>
        <v/>
      </c>
      <c r="B296" s="2" t="n">
        <v>43235.56135416667</v>
      </c>
      <c r="C296" t="n">
        <v>0</v>
      </c>
      <c r="D296" t="n">
        <v>3</v>
      </c>
      <c r="E296" t="s">
        <v>302</v>
      </c>
      <c r="F296" t="s"/>
      <c r="G296" t="s"/>
      <c r="H296" t="s"/>
      <c r="I296" t="s"/>
      <c r="J296" t="n">
        <v>0.6239</v>
      </c>
      <c r="K296" t="n">
        <v>0</v>
      </c>
      <c r="L296" t="n">
        <v>0.55</v>
      </c>
      <c r="M296" t="n">
        <v>0.45</v>
      </c>
    </row>
    <row r="297" spans="1:13">
      <c r="A297" s="1">
        <f>HYPERLINK("http://www.twitter.com/NathanBLawrence/status/996381564773773312", "996381564773773312")</f>
        <v/>
      </c>
      <c r="B297" s="2" t="n">
        <v>43235.56077546296</v>
      </c>
      <c r="C297" t="n">
        <v>1</v>
      </c>
      <c r="D297" t="n">
        <v>1</v>
      </c>
      <c r="E297" t="s">
        <v>303</v>
      </c>
      <c r="F297">
        <f>HYPERLINK("http://pbs.twimg.com/media/DdPbvzEWsAAPFpY.jpg", "http://pbs.twimg.com/media/DdPbvzEWsAAPFpY.jpg")</f>
        <v/>
      </c>
      <c r="G297" t="s"/>
      <c r="H297" t="s"/>
      <c r="I297" t="s"/>
      <c r="J297" t="n">
        <v>0</v>
      </c>
      <c r="K297" t="n">
        <v>0</v>
      </c>
      <c r="L297" t="n">
        <v>1</v>
      </c>
      <c r="M297" t="n">
        <v>0</v>
      </c>
    </row>
    <row r="298" spans="1:13">
      <c r="A298" s="1">
        <f>HYPERLINK("http://www.twitter.com/NathanBLawrence/status/996381486260670464", "996381486260670464")</f>
        <v/>
      </c>
      <c r="B298" s="2" t="n">
        <v>43235.56055555555</v>
      </c>
      <c r="C298" t="n">
        <v>1</v>
      </c>
      <c r="D298" t="n">
        <v>0</v>
      </c>
      <c r="E298" t="s">
        <v>304</v>
      </c>
      <c r="F298">
        <f>HYPERLINK("http://pbs.twimg.com/media/DdPbrAnX4AAEfY5.jpg", "http://pbs.twimg.com/media/DdPbrAnX4AAEfY5.jpg")</f>
        <v/>
      </c>
      <c r="G298" t="s"/>
      <c r="H298" t="s"/>
      <c r="I298" t="s"/>
      <c r="J298" t="n">
        <v>0</v>
      </c>
      <c r="K298" t="n">
        <v>0</v>
      </c>
      <c r="L298" t="n">
        <v>1</v>
      </c>
      <c r="M298" t="n">
        <v>0</v>
      </c>
    </row>
    <row r="299" spans="1:13">
      <c r="A299" s="1">
        <f>HYPERLINK("http://www.twitter.com/NathanBLawrence/status/996381394979971072", "996381394979971072")</f>
        <v/>
      </c>
      <c r="B299" s="2" t="n">
        <v>43235.5603125</v>
      </c>
      <c r="C299" t="n">
        <v>0</v>
      </c>
      <c r="D299" t="n">
        <v>5</v>
      </c>
      <c r="E299" t="s">
        <v>305</v>
      </c>
      <c r="F299" t="s"/>
      <c r="G299" t="s"/>
      <c r="H299" t="s"/>
      <c r="I299" t="s"/>
      <c r="J299" t="n">
        <v>0.0772</v>
      </c>
      <c r="K299" t="n">
        <v>0</v>
      </c>
      <c r="L299" t="n">
        <v>0.9419999999999999</v>
      </c>
      <c r="M299" t="n">
        <v>0.058</v>
      </c>
    </row>
    <row r="300" spans="1:13">
      <c r="A300" s="1">
        <f>HYPERLINK("http://www.twitter.com/NathanBLawrence/status/996381314004783106", "996381314004783106")</f>
        <v/>
      </c>
      <c r="B300" s="2" t="n">
        <v>43235.56008101852</v>
      </c>
      <c r="C300" t="n">
        <v>0</v>
      </c>
      <c r="D300" t="n">
        <v>4</v>
      </c>
      <c r="E300" t="s">
        <v>306</v>
      </c>
      <c r="F300" t="s"/>
      <c r="G300" t="s"/>
      <c r="H300" t="s"/>
      <c r="I300" t="s"/>
      <c r="J300" t="n">
        <v>0</v>
      </c>
      <c r="K300" t="n">
        <v>0</v>
      </c>
      <c r="L300" t="n">
        <v>1</v>
      </c>
      <c r="M300" t="n">
        <v>0</v>
      </c>
    </row>
    <row r="301" spans="1:13">
      <c r="A301" s="1">
        <f>HYPERLINK("http://www.twitter.com/NathanBLawrence/status/996381292710199297", "996381292710199297")</f>
        <v/>
      </c>
      <c r="B301" s="2" t="n">
        <v>43235.56002314815</v>
      </c>
      <c r="C301" t="n">
        <v>0</v>
      </c>
      <c r="D301" t="n">
        <v>6</v>
      </c>
      <c r="E301" t="s">
        <v>307</v>
      </c>
      <c r="F301" t="s"/>
      <c r="G301" t="s"/>
      <c r="H301" t="s"/>
      <c r="I301" t="s"/>
      <c r="J301" t="n">
        <v>0.3612</v>
      </c>
      <c r="K301" t="n">
        <v>0</v>
      </c>
      <c r="L301" t="n">
        <v>0.902</v>
      </c>
      <c r="M301" t="n">
        <v>0.098</v>
      </c>
    </row>
    <row r="302" spans="1:13">
      <c r="A302" s="1">
        <f>HYPERLINK("http://www.twitter.com/NathanBLawrence/status/996381223151955969", "996381223151955969")</f>
        <v/>
      </c>
      <c r="B302" s="2" t="n">
        <v>43235.55983796297</v>
      </c>
      <c r="C302" t="n">
        <v>2</v>
      </c>
      <c r="D302" t="n">
        <v>1</v>
      </c>
      <c r="E302" t="s">
        <v>308</v>
      </c>
      <c r="F302">
        <f>HYPERLINK("http://pbs.twimg.com/media/DdPbb9HX0AApPAK.jpg", "http://pbs.twimg.com/media/DdPbb9HX0AApPAK.jpg")</f>
        <v/>
      </c>
      <c r="G302" t="s"/>
      <c r="H302" t="s"/>
      <c r="I302" t="s"/>
      <c r="J302" t="n">
        <v>0</v>
      </c>
      <c r="K302" t="n">
        <v>0</v>
      </c>
      <c r="L302" t="n">
        <v>1</v>
      </c>
      <c r="M302" t="n">
        <v>0</v>
      </c>
    </row>
    <row r="303" spans="1:13">
      <c r="A303" s="1">
        <f>HYPERLINK("http://www.twitter.com/NathanBLawrence/status/996381045133053953", "996381045133053953")</f>
        <v/>
      </c>
      <c r="B303" s="2" t="n">
        <v>43235.55934027778</v>
      </c>
      <c r="C303" t="n">
        <v>0</v>
      </c>
      <c r="D303" t="n">
        <v>2</v>
      </c>
      <c r="E303" t="s">
        <v>309</v>
      </c>
      <c r="F303" t="s"/>
      <c r="G303" t="s"/>
      <c r="H303" t="s"/>
      <c r="I303" t="s"/>
      <c r="J303" t="n">
        <v>0.25</v>
      </c>
      <c r="K303" t="n">
        <v>0</v>
      </c>
      <c r="L303" t="n">
        <v>0.913</v>
      </c>
      <c r="M303" t="n">
        <v>0.08699999999999999</v>
      </c>
    </row>
    <row r="304" spans="1:13">
      <c r="A304" s="1">
        <f>HYPERLINK("http://www.twitter.com/NathanBLawrence/status/996380998664409094", "996380998664409094")</f>
        <v/>
      </c>
      <c r="B304" s="2" t="n">
        <v>43235.55921296297</v>
      </c>
      <c r="C304" t="n">
        <v>0</v>
      </c>
      <c r="D304" t="n">
        <v>4</v>
      </c>
      <c r="E304" t="s">
        <v>310</v>
      </c>
      <c r="F304" t="s"/>
      <c r="G304" t="s"/>
      <c r="H304" t="s"/>
      <c r="I304" t="s"/>
      <c r="J304" t="n">
        <v>0</v>
      </c>
      <c r="K304" t="n">
        <v>0</v>
      </c>
      <c r="L304" t="n">
        <v>1</v>
      </c>
      <c r="M304" t="n">
        <v>0</v>
      </c>
    </row>
    <row r="305" spans="1:13">
      <c r="A305" s="1">
        <f>HYPERLINK("http://www.twitter.com/NathanBLawrence/status/996380913843032064", "996380913843032064")</f>
        <v/>
      </c>
      <c r="B305" s="2" t="n">
        <v>43235.55898148148</v>
      </c>
      <c r="C305" t="n">
        <v>0</v>
      </c>
      <c r="D305" t="n">
        <v>0</v>
      </c>
      <c r="E305" t="s">
        <v>311</v>
      </c>
      <c r="F305">
        <f>HYPERLINK("http://pbs.twimg.com/media/DdPbKCFWkAAjSqM.jpg", "http://pbs.twimg.com/media/DdPbKCFWkAAjSqM.jpg")</f>
        <v/>
      </c>
      <c r="G305" t="s"/>
      <c r="H305" t="s"/>
      <c r="I305" t="s"/>
      <c r="J305" t="n">
        <v>0</v>
      </c>
      <c r="K305" t="n">
        <v>0</v>
      </c>
      <c r="L305" t="n">
        <v>1</v>
      </c>
      <c r="M305" t="n">
        <v>0</v>
      </c>
    </row>
    <row r="306" spans="1:13">
      <c r="A306" s="1">
        <f>HYPERLINK("http://www.twitter.com/NathanBLawrence/status/996380676113956864", "996380676113956864")</f>
        <v/>
      </c>
      <c r="B306" s="2" t="n">
        <v>43235.55832175926</v>
      </c>
      <c r="C306" t="n">
        <v>0</v>
      </c>
      <c r="D306" t="n">
        <v>0</v>
      </c>
      <c r="E306" t="s">
        <v>312</v>
      </c>
      <c r="F306">
        <f>HYPERLINK("http://pbs.twimg.com/media/DdPa8KkXkAEsZmL.jpg", "http://pbs.twimg.com/media/DdPa8KkXkAEsZmL.jpg")</f>
        <v/>
      </c>
      <c r="G306" t="s"/>
      <c r="H306" t="s"/>
      <c r="I306" t="s"/>
      <c r="J306" t="n">
        <v>0.7003</v>
      </c>
      <c r="K306" t="n">
        <v>0.031</v>
      </c>
      <c r="L306" t="n">
        <v>0.84</v>
      </c>
      <c r="M306" t="n">
        <v>0.129</v>
      </c>
    </row>
    <row r="307" spans="1:13">
      <c r="A307" s="1">
        <f>HYPERLINK("http://www.twitter.com/NathanBLawrence/status/996379925241303041", "996379925241303041")</f>
        <v/>
      </c>
      <c r="B307" s="2" t="n">
        <v>43235.55625</v>
      </c>
      <c r="C307" t="n">
        <v>0</v>
      </c>
      <c r="D307" t="n">
        <v>0</v>
      </c>
      <c r="E307" t="s">
        <v>313</v>
      </c>
      <c r="F307">
        <f>HYPERLINK("http://pbs.twimg.com/media/DdPaQRrWsAABNnL.jpg", "http://pbs.twimg.com/media/DdPaQRrWsAABNnL.jpg")</f>
        <v/>
      </c>
      <c r="G307" t="s"/>
      <c r="H307" t="s"/>
      <c r="I307" t="s"/>
      <c r="J307" t="n">
        <v>-0.128</v>
      </c>
      <c r="K307" t="n">
        <v>0.237</v>
      </c>
      <c r="L307" t="n">
        <v>0.661</v>
      </c>
      <c r="M307" t="n">
        <v>0.102</v>
      </c>
    </row>
    <row r="308" spans="1:13">
      <c r="A308" s="1">
        <f>HYPERLINK("http://www.twitter.com/NathanBLawrence/status/996376627465588736", "996376627465588736")</f>
        <v/>
      </c>
      <c r="B308" s="2" t="n">
        <v>43235.54715277778</v>
      </c>
      <c r="C308" t="n">
        <v>0</v>
      </c>
      <c r="D308" t="n">
        <v>1</v>
      </c>
      <c r="E308" t="s">
        <v>314</v>
      </c>
      <c r="F308" t="s"/>
      <c r="G308" t="s"/>
      <c r="H308" t="s"/>
      <c r="I308" t="s"/>
      <c r="J308" t="n">
        <v>0.2263</v>
      </c>
      <c r="K308" t="n">
        <v>0</v>
      </c>
      <c r="L308" t="n">
        <v>0.921</v>
      </c>
      <c r="M308" t="n">
        <v>0.079</v>
      </c>
    </row>
    <row r="309" spans="1:13">
      <c r="A309" s="1">
        <f>HYPERLINK("http://www.twitter.com/NathanBLawrence/status/996376589372940289", "996376589372940289")</f>
        <v/>
      </c>
      <c r="B309" s="2" t="n">
        <v>43235.54704861111</v>
      </c>
      <c r="C309" t="n">
        <v>0</v>
      </c>
      <c r="D309" t="n">
        <v>2</v>
      </c>
      <c r="E309" t="s">
        <v>315</v>
      </c>
      <c r="F309">
        <f>HYPERLINK("http://pbs.twimg.com/media/DdNi2uGU8AAwtvM.jpg", "http://pbs.twimg.com/media/DdNi2uGU8AAwtvM.jpg")</f>
        <v/>
      </c>
      <c r="G309" t="s"/>
      <c r="H309" t="s"/>
      <c r="I309" t="s"/>
      <c r="J309" t="n">
        <v>-0.6706</v>
      </c>
      <c r="K309" t="n">
        <v>0.273</v>
      </c>
      <c r="L309" t="n">
        <v>0.727</v>
      </c>
      <c r="M309" t="n">
        <v>0</v>
      </c>
    </row>
    <row r="310" spans="1:13">
      <c r="A310" s="1">
        <f>HYPERLINK("http://www.twitter.com/NathanBLawrence/status/996376467595546624", "996376467595546624")</f>
        <v/>
      </c>
      <c r="B310" s="2" t="n">
        <v>43235.54671296296</v>
      </c>
      <c r="C310" t="n">
        <v>0</v>
      </c>
      <c r="D310" t="n">
        <v>13</v>
      </c>
      <c r="E310" t="s">
        <v>316</v>
      </c>
      <c r="F310">
        <f>HYPERLINK("http://pbs.twimg.com/media/DdNjTeNWAAEUR_D.jpg", "http://pbs.twimg.com/media/DdNjTeNWAAEUR_D.jpg")</f>
        <v/>
      </c>
      <c r="G310" t="s"/>
      <c r="H310" t="s"/>
      <c r="I310" t="s"/>
      <c r="J310" t="n">
        <v>0.4389</v>
      </c>
      <c r="K310" t="n">
        <v>0.054</v>
      </c>
      <c r="L310" t="n">
        <v>0.778</v>
      </c>
      <c r="M310" t="n">
        <v>0.167</v>
      </c>
    </row>
    <row r="311" spans="1:13">
      <c r="A311" s="1">
        <f>HYPERLINK("http://www.twitter.com/NathanBLawrence/status/996248804843311104", "996248804843311104")</f>
        <v/>
      </c>
      <c r="B311" s="2" t="n">
        <v>43235.19443287037</v>
      </c>
      <c r="C311" t="n">
        <v>0</v>
      </c>
      <c r="D311" t="n">
        <v>0</v>
      </c>
      <c r="E311" t="s">
        <v>317</v>
      </c>
      <c r="F311">
        <f>HYPERLINK("http://pbs.twimg.com/media/DdNjARjVwAElfoZ.jpg", "http://pbs.twimg.com/media/DdNjARjVwAElfoZ.jpg")</f>
        <v/>
      </c>
      <c r="G311" t="s"/>
      <c r="H311" t="s"/>
      <c r="I311" t="s"/>
      <c r="J311" t="n">
        <v>0</v>
      </c>
      <c r="K311" t="n">
        <v>0</v>
      </c>
      <c r="L311" t="n">
        <v>1</v>
      </c>
      <c r="M311" t="n">
        <v>0</v>
      </c>
    </row>
    <row r="312" spans="1:13">
      <c r="A312" s="1">
        <f>HYPERLINK("http://www.twitter.com/NathanBLawrence/status/996248667907600384", "996248667907600384")</f>
        <v/>
      </c>
      <c r="B312" s="2" t="n">
        <v>43235.19405092593</v>
      </c>
      <c r="C312" t="n">
        <v>0</v>
      </c>
      <c r="D312" t="n">
        <v>6</v>
      </c>
      <c r="E312" t="s">
        <v>318</v>
      </c>
      <c r="F312" t="s"/>
      <c r="G312" t="s"/>
      <c r="H312" t="s"/>
      <c r="I312" t="s"/>
      <c r="J312" t="n">
        <v>0.2732</v>
      </c>
      <c r="K312" t="n">
        <v>0.059</v>
      </c>
      <c r="L312" t="n">
        <v>0.837</v>
      </c>
      <c r="M312" t="n">
        <v>0.105</v>
      </c>
    </row>
    <row r="313" spans="1:13">
      <c r="A313" s="1">
        <f>HYPERLINK("http://www.twitter.com/NathanBLawrence/status/996248641588391936", "996248641588391936")</f>
        <v/>
      </c>
      <c r="B313" s="2" t="n">
        <v>43235.19398148148</v>
      </c>
      <c r="C313" t="n">
        <v>5</v>
      </c>
      <c r="D313" t="n">
        <v>2</v>
      </c>
      <c r="E313" t="s">
        <v>319</v>
      </c>
      <c r="F313">
        <f>HYPERLINK("http://pbs.twimg.com/media/DdNi2uGU8AAwtvM.jpg", "http://pbs.twimg.com/media/DdNi2uGU8AAwtvM.jpg")</f>
        <v/>
      </c>
      <c r="G313" t="s"/>
      <c r="H313" t="s"/>
      <c r="I313" t="s"/>
      <c r="J313" t="n">
        <v>-0.6706</v>
      </c>
      <c r="K313" t="n">
        <v>0.243</v>
      </c>
      <c r="L313" t="n">
        <v>0.757</v>
      </c>
      <c r="M313" t="n">
        <v>0</v>
      </c>
    </row>
    <row r="314" spans="1:13">
      <c r="A314" s="1">
        <f>HYPERLINK("http://www.twitter.com/NathanBLawrence/status/996248402416545794", "996248402416545794")</f>
        <v/>
      </c>
      <c r="B314" s="2" t="n">
        <v>43235.19332175926</v>
      </c>
      <c r="C314" t="n">
        <v>0</v>
      </c>
      <c r="D314" t="n">
        <v>3</v>
      </c>
      <c r="E314" t="s">
        <v>320</v>
      </c>
      <c r="F314" t="s"/>
      <c r="G314" t="s"/>
      <c r="H314" t="s"/>
      <c r="I314" t="s"/>
      <c r="J314" t="n">
        <v>-0.8217</v>
      </c>
      <c r="K314" t="n">
        <v>0.256</v>
      </c>
      <c r="L314" t="n">
        <v>0.744</v>
      </c>
      <c r="M314" t="n">
        <v>0</v>
      </c>
    </row>
    <row r="315" spans="1:13">
      <c r="A315" s="1">
        <f>HYPERLINK("http://www.twitter.com/NathanBLawrence/status/996248362906259456", "996248362906259456")</f>
        <v/>
      </c>
      <c r="B315" s="2" t="n">
        <v>43235.19320601852</v>
      </c>
      <c r="C315" t="n">
        <v>0</v>
      </c>
      <c r="D315" t="n">
        <v>0</v>
      </c>
      <c r="E315" t="s">
        <v>321</v>
      </c>
      <c r="F315">
        <f>HYPERLINK("http://pbs.twimg.com/media/DdNimE5V0AMAkaQ.jpg", "http://pbs.twimg.com/media/DdNimE5V0AMAkaQ.jpg")</f>
        <v/>
      </c>
      <c r="G315" t="s"/>
      <c r="H315" t="s"/>
      <c r="I315" t="s"/>
      <c r="J315" t="n">
        <v>0</v>
      </c>
      <c r="K315" t="n">
        <v>0</v>
      </c>
      <c r="L315" t="n">
        <v>1</v>
      </c>
      <c r="M315" t="n">
        <v>0</v>
      </c>
    </row>
    <row r="316" spans="1:13">
      <c r="A316" s="1">
        <f>HYPERLINK("http://www.twitter.com/NathanBLawrence/status/996248165685874691", "996248165685874691")</f>
        <v/>
      </c>
      <c r="B316" s="2" t="n">
        <v>43235.19266203704</v>
      </c>
      <c r="C316" t="n">
        <v>0</v>
      </c>
      <c r="D316" t="n">
        <v>7</v>
      </c>
      <c r="E316" t="s">
        <v>322</v>
      </c>
      <c r="F316" t="s"/>
      <c r="G316" t="s"/>
      <c r="H316" t="s"/>
      <c r="I316" t="s"/>
      <c r="J316" t="n">
        <v>0</v>
      </c>
      <c r="K316" t="n">
        <v>0</v>
      </c>
      <c r="L316" t="n">
        <v>1</v>
      </c>
      <c r="M316" t="n">
        <v>0</v>
      </c>
    </row>
    <row r="317" spans="1:13">
      <c r="A317" s="1">
        <f>HYPERLINK("http://www.twitter.com/NathanBLawrence/status/996248134677352451", "996248134677352451")</f>
        <v/>
      </c>
      <c r="B317" s="2" t="n">
        <v>43235.19258101852</v>
      </c>
      <c r="C317" t="n">
        <v>1</v>
      </c>
      <c r="D317" t="n">
        <v>0</v>
      </c>
      <c r="E317" t="s">
        <v>323</v>
      </c>
      <c r="F317">
        <f>HYPERLINK("http://pbs.twimg.com/media/DdNiZHIVMAAlPZL.jpg", "http://pbs.twimg.com/media/DdNiZHIVMAAlPZL.jpg")</f>
        <v/>
      </c>
      <c r="G317" t="s"/>
      <c r="H317" t="s"/>
      <c r="I317" t="s"/>
      <c r="J317" t="n">
        <v>0</v>
      </c>
      <c r="K317" t="n">
        <v>0</v>
      </c>
      <c r="L317" t="n">
        <v>1</v>
      </c>
      <c r="M317" t="n">
        <v>0</v>
      </c>
    </row>
    <row r="318" spans="1:13">
      <c r="A318" s="1">
        <f>HYPERLINK("http://www.twitter.com/NathanBLawrence/status/996247866283843584", "996247866283843584")</f>
        <v/>
      </c>
      <c r="B318" s="2" t="n">
        <v>43235.19184027778</v>
      </c>
      <c r="C318" t="n">
        <v>0</v>
      </c>
      <c r="D318" t="n">
        <v>0</v>
      </c>
      <c r="E318" t="s">
        <v>324</v>
      </c>
      <c r="F318">
        <f>HYPERLINK("http://pbs.twimg.com/media/DdNiJo0X4AAsSGi.jpg", "http://pbs.twimg.com/media/DdNiJo0X4AAsSGi.jpg")</f>
        <v/>
      </c>
      <c r="G318" t="s"/>
      <c r="H318" t="s"/>
      <c r="I318" t="s"/>
      <c r="J318" t="n">
        <v>-0.4389</v>
      </c>
      <c r="K318" t="n">
        <v>0.112</v>
      </c>
      <c r="L318" t="n">
        <v>0.888</v>
      </c>
      <c r="M318" t="n">
        <v>0</v>
      </c>
    </row>
    <row r="319" spans="1:13">
      <c r="A319" s="1">
        <f>HYPERLINK("http://www.twitter.com/NathanBLawrence/status/996247617897189377", "996247617897189377")</f>
        <v/>
      </c>
      <c r="B319" s="2" t="n">
        <v>43235.1911574074</v>
      </c>
      <c r="C319" t="n">
        <v>0</v>
      </c>
      <c r="D319" t="n">
        <v>4</v>
      </c>
      <c r="E319" t="s">
        <v>325</v>
      </c>
      <c r="F319" t="s"/>
      <c r="G319" t="s"/>
      <c r="H319" t="s"/>
      <c r="I319" t="s"/>
      <c r="J319" t="n">
        <v>0</v>
      </c>
      <c r="K319" t="n">
        <v>0</v>
      </c>
      <c r="L319" t="n">
        <v>1</v>
      </c>
      <c r="M319" t="n">
        <v>0</v>
      </c>
    </row>
    <row r="320" spans="1:13">
      <c r="A320" s="1">
        <f>HYPERLINK("http://www.twitter.com/NathanBLawrence/status/996247549605490688", "996247549605490688")</f>
        <v/>
      </c>
      <c r="B320" s="2" t="n">
        <v>43235.19096064815</v>
      </c>
      <c r="C320" t="n">
        <v>0</v>
      </c>
      <c r="D320" t="n">
        <v>0</v>
      </c>
      <c r="E320" t="s">
        <v>326</v>
      </c>
      <c r="F320">
        <f>HYPERLINK("http://pbs.twimg.com/media/DdNh3MJV0AcPLPN.jpg", "http://pbs.twimg.com/media/DdNh3MJV0AcPLPN.jpg")</f>
        <v/>
      </c>
      <c r="G320" t="s"/>
      <c r="H320" t="s"/>
      <c r="I320" t="s"/>
      <c r="J320" t="n">
        <v>0</v>
      </c>
      <c r="K320" t="n">
        <v>0</v>
      </c>
      <c r="L320" t="n">
        <v>1</v>
      </c>
      <c r="M320" t="n">
        <v>0</v>
      </c>
    </row>
    <row r="321" spans="1:13">
      <c r="A321" s="1">
        <f>HYPERLINK("http://www.twitter.com/NathanBLawrence/status/996247338858569733", "996247338858569733")</f>
        <v/>
      </c>
      <c r="B321" s="2" t="n">
        <v>43235.19038194444</v>
      </c>
      <c r="C321" t="n">
        <v>0</v>
      </c>
      <c r="D321" t="n">
        <v>6</v>
      </c>
      <c r="E321" t="s">
        <v>327</v>
      </c>
      <c r="F321" t="s"/>
      <c r="G321" t="s"/>
      <c r="H321" t="s"/>
      <c r="I321" t="s"/>
      <c r="J321" t="n">
        <v>-0.0258</v>
      </c>
      <c r="K321" t="n">
        <v>0.068</v>
      </c>
      <c r="L321" t="n">
        <v>0.87</v>
      </c>
      <c r="M321" t="n">
        <v>0.063</v>
      </c>
    </row>
    <row r="322" spans="1:13">
      <c r="A322" s="1">
        <f>HYPERLINK("http://www.twitter.com/NathanBLawrence/status/996247238828490753", "996247238828490753")</f>
        <v/>
      </c>
      <c r="B322" s="2" t="n">
        <v>43235.19010416666</v>
      </c>
      <c r="C322" t="n">
        <v>0</v>
      </c>
      <c r="D322" t="n">
        <v>2</v>
      </c>
      <c r="E322" t="s">
        <v>328</v>
      </c>
      <c r="F322">
        <f>HYPERLINK("http://pbs.twimg.com/media/DdNgLrvU0AAep-E.jpg", "http://pbs.twimg.com/media/DdNgLrvU0AAep-E.jpg")</f>
        <v/>
      </c>
      <c r="G322" t="s"/>
      <c r="H322" t="s"/>
      <c r="I322" t="s"/>
      <c r="J322" t="n">
        <v>0</v>
      </c>
      <c r="K322" t="n">
        <v>0</v>
      </c>
      <c r="L322" t="n">
        <v>1</v>
      </c>
      <c r="M322" t="n">
        <v>0</v>
      </c>
    </row>
    <row r="323" spans="1:13">
      <c r="A323" s="1">
        <f>HYPERLINK("http://www.twitter.com/NathanBLawrence/status/996247011920875520", "996247011920875520")</f>
        <v/>
      </c>
      <c r="B323" s="2" t="n">
        <v>43235.18947916666</v>
      </c>
      <c r="C323" t="n">
        <v>2</v>
      </c>
      <c r="D323" t="n">
        <v>0</v>
      </c>
      <c r="E323" t="s">
        <v>329</v>
      </c>
      <c r="F323">
        <f>HYPERLINK("http://pbs.twimg.com/media/DdNhX61VMAAfS32.jpg", "http://pbs.twimg.com/media/DdNhX61VMAAfS32.jpg")</f>
        <v/>
      </c>
      <c r="G323" t="s"/>
      <c r="H323" t="s"/>
      <c r="I323" t="s"/>
      <c r="J323" t="n">
        <v>0.1531</v>
      </c>
      <c r="K323" t="n">
        <v>0.176</v>
      </c>
      <c r="L323" t="n">
        <v>0.608</v>
      </c>
      <c r="M323" t="n">
        <v>0.216</v>
      </c>
    </row>
    <row r="324" spans="1:13">
      <c r="A324" s="1">
        <f>HYPERLINK("http://www.twitter.com/NathanBLawrence/status/996246691220205568", "996246691220205568")</f>
        <v/>
      </c>
      <c r="B324" s="2" t="n">
        <v>43235.18859953704</v>
      </c>
      <c r="C324" t="n">
        <v>0</v>
      </c>
      <c r="D324" t="n">
        <v>11</v>
      </c>
      <c r="E324" t="s">
        <v>330</v>
      </c>
      <c r="F324" t="s"/>
      <c r="G324" t="s"/>
      <c r="H324" t="s"/>
      <c r="I324" t="s"/>
      <c r="J324" t="n">
        <v>0.0516</v>
      </c>
      <c r="K324" t="n">
        <v>0.126</v>
      </c>
      <c r="L324" t="n">
        <v>0.778</v>
      </c>
      <c r="M324" t="n">
        <v>0.096</v>
      </c>
    </row>
    <row r="325" spans="1:13">
      <c r="A325" s="1">
        <f>HYPERLINK("http://www.twitter.com/NathanBLawrence/status/996246589353152512", "996246589353152512")</f>
        <v/>
      </c>
      <c r="B325" s="2" t="n">
        <v>43235.18831018519</v>
      </c>
      <c r="C325" t="n">
        <v>0</v>
      </c>
      <c r="D325" t="n">
        <v>0</v>
      </c>
      <c r="E325" t="s">
        <v>331</v>
      </c>
      <c r="F325">
        <f>HYPERLINK("http://pbs.twimg.com/media/DdNg_YjV0AAeEZB.jpg", "http://pbs.twimg.com/media/DdNg_YjV0AAeEZB.jpg")</f>
        <v/>
      </c>
      <c r="G325" t="s"/>
      <c r="H325" t="s"/>
      <c r="I325" t="s"/>
      <c r="J325" t="n">
        <v>0</v>
      </c>
      <c r="K325" t="n">
        <v>0</v>
      </c>
      <c r="L325" t="n">
        <v>1</v>
      </c>
      <c r="M325" t="n">
        <v>0</v>
      </c>
    </row>
    <row r="326" spans="1:13">
      <c r="A326" s="1">
        <f>HYPERLINK("http://www.twitter.com/NathanBLawrence/status/996246330631745539", "996246330631745539")</f>
        <v/>
      </c>
      <c r="B326" s="2" t="n">
        <v>43235.18760416667</v>
      </c>
      <c r="C326" t="n">
        <v>0</v>
      </c>
      <c r="D326" t="n">
        <v>3</v>
      </c>
      <c r="E326" t="s">
        <v>332</v>
      </c>
      <c r="F326" t="s"/>
      <c r="G326" t="s"/>
      <c r="H326" t="s"/>
      <c r="I326" t="s"/>
      <c r="J326" t="n">
        <v>0</v>
      </c>
      <c r="K326" t="n">
        <v>0</v>
      </c>
      <c r="L326" t="n">
        <v>1</v>
      </c>
      <c r="M326" t="n">
        <v>0</v>
      </c>
    </row>
    <row r="327" spans="1:13">
      <c r="A327" s="1">
        <f>HYPERLINK("http://www.twitter.com/NathanBLawrence/status/996246192450428929", "996246192450428929")</f>
        <v/>
      </c>
      <c r="B327" s="2" t="n">
        <v>43235.18722222222</v>
      </c>
      <c r="C327" t="n">
        <v>0</v>
      </c>
      <c r="D327" t="n">
        <v>0</v>
      </c>
      <c r="E327" t="s">
        <v>333</v>
      </c>
      <c r="F327" t="s"/>
      <c r="G327" t="s"/>
      <c r="H327" t="s"/>
      <c r="I327" t="s"/>
      <c r="J327" t="n">
        <v>0</v>
      </c>
      <c r="K327" t="n">
        <v>0</v>
      </c>
      <c r="L327" t="n">
        <v>1</v>
      </c>
      <c r="M327" t="n">
        <v>0</v>
      </c>
    </row>
    <row r="328" spans="1:13">
      <c r="A328" s="1">
        <f>HYPERLINK("http://www.twitter.com/NathanBLawrence/status/996246158845587456", "996246158845587456")</f>
        <v/>
      </c>
      <c r="B328" s="2" t="n">
        <v>43235.18712962963</v>
      </c>
      <c r="C328" t="n">
        <v>0</v>
      </c>
      <c r="D328" t="n">
        <v>2</v>
      </c>
      <c r="E328" t="s">
        <v>334</v>
      </c>
      <c r="F328" t="s"/>
      <c r="G328" t="s"/>
      <c r="H328" t="s"/>
      <c r="I328" t="s"/>
      <c r="J328" t="n">
        <v>-0.5719</v>
      </c>
      <c r="K328" t="n">
        <v>0.209</v>
      </c>
      <c r="L328" t="n">
        <v>0.791</v>
      </c>
      <c r="M328" t="n">
        <v>0</v>
      </c>
    </row>
    <row r="329" spans="1:13">
      <c r="A329" s="1">
        <f>HYPERLINK("http://www.twitter.com/NathanBLawrence/status/996246097243885568", "996246097243885568")</f>
        <v/>
      </c>
      <c r="B329" s="2" t="n">
        <v>43235.18695601852</v>
      </c>
      <c r="C329" t="n">
        <v>0</v>
      </c>
      <c r="D329" t="n">
        <v>0</v>
      </c>
      <c r="E329" t="s">
        <v>335</v>
      </c>
      <c r="F329">
        <f>HYPERLINK("http://pbs.twimg.com/media/DdNgivkVwAA0rXg.jpg", "http://pbs.twimg.com/media/DdNgivkVwAA0rXg.jpg")</f>
        <v/>
      </c>
      <c r="G329" t="s"/>
      <c r="H329" t="s"/>
      <c r="I329" t="s"/>
      <c r="J329" t="n">
        <v>-0.3818</v>
      </c>
      <c r="K329" t="n">
        <v>0.245</v>
      </c>
      <c r="L329" t="n">
        <v>0.755</v>
      </c>
      <c r="M329" t="n">
        <v>0</v>
      </c>
    </row>
    <row r="330" spans="1:13">
      <c r="A330" s="1">
        <f>HYPERLINK("http://www.twitter.com/NathanBLawrence/status/996245701142241281", "996245701142241281")</f>
        <v/>
      </c>
      <c r="B330" s="2" t="n">
        <v>43235.18586805555</v>
      </c>
      <c r="C330" t="n">
        <v>5</v>
      </c>
      <c r="D330" t="n">
        <v>2</v>
      </c>
      <c r="E330" t="s">
        <v>336</v>
      </c>
      <c r="F330">
        <f>HYPERLINK("http://pbs.twimg.com/media/DdNgLrvU0AAep-E.jpg", "http://pbs.twimg.com/media/DdNgLrvU0AAep-E.jpg")</f>
        <v/>
      </c>
      <c r="G330" t="s"/>
      <c r="H330" t="s"/>
      <c r="I330" t="s"/>
      <c r="J330" t="n">
        <v>0</v>
      </c>
      <c r="K330" t="n">
        <v>0</v>
      </c>
      <c r="L330" t="n">
        <v>1</v>
      </c>
      <c r="M330" t="n">
        <v>0</v>
      </c>
    </row>
    <row r="331" spans="1:13">
      <c r="A331" s="1">
        <f>HYPERLINK("http://www.twitter.com/NathanBLawrence/status/996245313831735298", "996245313831735298")</f>
        <v/>
      </c>
      <c r="B331" s="2" t="n">
        <v>43235.18479166667</v>
      </c>
      <c r="C331" t="n">
        <v>0</v>
      </c>
      <c r="D331" t="n">
        <v>1</v>
      </c>
      <c r="E331" t="s">
        <v>328</v>
      </c>
      <c r="F331">
        <f>HYPERLINK("http://pbs.twimg.com/media/DdNdrxwU8AAhoDm.jpg", "http://pbs.twimg.com/media/DdNdrxwU8AAhoDm.jpg")</f>
        <v/>
      </c>
      <c r="G331" t="s"/>
      <c r="H331" t="s"/>
      <c r="I331" t="s"/>
      <c r="J331" t="n">
        <v>0</v>
      </c>
      <c r="K331" t="n">
        <v>0</v>
      </c>
      <c r="L331" t="n">
        <v>1</v>
      </c>
      <c r="M331" t="n">
        <v>0</v>
      </c>
    </row>
    <row r="332" spans="1:13">
      <c r="A332" s="1">
        <f>HYPERLINK("http://www.twitter.com/NathanBLawrence/status/996243079278551040", "996243079278551040")</f>
        <v/>
      </c>
      <c r="B332" s="2" t="n">
        <v>43235.17863425926</v>
      </c>
      <c r="C332" t="n">
        <v>3</v>
      </c>
      <c r="D332" t="n">
        <v>0</v>
      </c>
      <c r="E332" t="s">
        <v>337</v>
      </c>
      <c r="F332" t="s"/>
      <c r="G332" t="s"/>
      <c r="H332" t="s"/>
      <c r="I332" t="s"/>
      <c r="J332" t="n">
        <v>0</v>
      </c>
      <c r="K332" t="n">
        <v>0</v>
      </c>
      <c r="L332" t="n">
        <v>1</v>
      </c>
      <c r="M332" t="n">
        <v>0</v>
      </c>
    </row>
    <row r="333" spans="1:13">
      <c r="A333" s="1">
        <f>HYPERLINK("http://www.twitter.com/NathanBLawrence/status/996242954015690760", "996242954015690760")</f>
        <v/>
      </c>
      <c r="B333" s="2" t="n">
        <v>43235.17828703704</v>
      </c>
      <c r="C333" t="n">
        <v>2</v>
      </c>
      <c r="D333" t="n">
        <v>1</v>
      </c>
      <c r="E333" t="s">
        <v>338</v>
      </c>
      <c r="F333">
        <f>HYPERLINK("http://pbs.twimg.com/media/DdNdrxwU8AAhoDm.jpg", "http://pbs.twimg.com/media/DdNdrxwU8AAhoDm.jpg")</f>
        <v/>
      </c>
      <c r="G333" t="s"/>
      <c r="H333" t="s"/>
      <c r="I333" t="s"/>
      <c r="J333" t="n">
        <v>0</v>
      </c>
      <c r="K333" t="n">
        <v>0</v>
      </c>
      <c r="L333" t="n">
        <v>1</v>
      </c>
      <c r="M333" t="n">
        <v>0</v>
      </c>
    </row>
    <row r="334" spans="1:13">
      <c r="A334" s="1">
        <f>HYPERLINK("http://www.twitter.com/NathanBLawrence/status/996242062088470529", "996242062088470529")</f>
        <v/>
      </c>
      <c r="B334" s="2" t="n">
        <v>43235.17582175926</v>
      </c>
      <c r="C334" t="n">
        <v>0</v>
      </c>
      <c r="D334" t="n">
        <v>16</v>
      </c>
      <c r="E334" t="s">
        <v>339</v>
      </c>
      <c r="F334">
        <f>HYPERLINK("http://pbs.twimg.com/media/DdNbxqDWAAAfDNi.jpg", "http://pbs.twimg.com/media/DdNbxqDWAAAfDNi.jpg")</f>
        <v/>
      </c>
      <c r="G334" t="s"/>
      <c r="H334" t="s"/>
      <c r="I334" t="s"/>
      <c r="J334" t="n">
        <v>-0.703</v>
      </c>
      <c r="K334" t="n">
        <v>0.226</v>
      </c>
      <c r="L334" t="n">
        <v>0.774</v>
      </c>
      <c r="M334" t="n">
        <v>0</v>
      </c>
    </row>
    <row r="335" spans="1:13">
      <c r="A335" s="1">
        <f>HYPERLINK("http://www.twitter.com/NathanBLawrence/status/996241825768886272", "996241825768886272")</f>
        <v/>
      </c>
      <c r="B335" s="2" t="n">
        <v>43235.17517361111</v>
      </c>
      <c r="C335" t="n">
        <v>0</v>
      </c>
      <c r="D335" t="n">
        <v>0</v>
      </c>
      <c r="E335" t="s">
        <v>340</v>
      </c>
      <c r="F335" t="s"/>
      <c r="G335" t="s"/>
      <c r="H335" t="s"/>
      <c r="I335" t="s"/>
      <c r="J335" t="n">
        <v>0</v>
      </c>
      <c r="K335" t="n">
        <v>0</v>
      </c>
      <c r="L335" t="n">
        <v>1</v>
      </c>
      <c r="M335" t="n">
        <v>0</v>
      </c>
    </row>
    <row r="336" spans="1:13">
      <c r="A336" s="1">
        <f>HYPERLINK("http://www.twitter.com/NathanBLawrence/status/996241765211385856", "996241765211385856")</f>
        <v/>
      </c>
      <c r="B336" s="2" t="n">
        <v>43235.175</v>
      </c>
      <c r="C336" t="n">
        <v>0</v>
      </c>
      <c r="D336" t="n">
        <v>1</v>
      </c>
      <c r="E336" t="s">
        <v>341</v>
      </c>
      <c r="F336" t="s"/>
      <c r="G336" t="s"/>
      <c r="H336" t="s"/>
      <c r="I336" t="s"/>
      <c r="J336" t="n">
        <v>0</v>
      </c>
      <c r="K336" t="n">
        <v>0</v>
      </c>
      <c r="L336" t="n">
        <v>1</v>
      </c>
      <c r="M336" t="n">
        <v>0</v>
      </c>
    </row>
    <row r="337" spans="1:13">
      <c r="A337" s="1">
        <f>HYPERLINK("http://www.twitter.com/NathanBLawrence/status/996238834730979329", "996238834730979329")</f>
        <v/>
      </c>
      <c r="B337" s="2" t="n">
        <v>43235.1669212963</v>
      </c>
      <c r="C337" t="n">
        <v>2</v>
      </c>
      <c r="D337" t="n">
        <v>1</v>
      </c>
      <c r="E337" t="s">
        <v>342</v>
      </c>
      <c r="F337" t="s"/>
      <c r="G337" t="s"/>
      <c r="H337" t="s"/>
      <c r="I337" t="s"/>
      <c r="J337" t="n">
        <v>0</v>
      </c>
      <c r="K337" t="n">
        <v>0</v>
      </c>
      <c r="L337" t="n">
        <v>1</v>
      </c>
      <c r="M337" t="n">
        <v>0</v>
      </c>
    </row>
    <row r="338" spans="1:13">
      <c r="A338" s="1">
        <f>HYPERLINK("http://www.twitter.com/NathanBLawrence/status/996238733635702784", "996238733635702784")</f>
        <v/>
      </c>
      <c r="B338" s="2" t="n">
        <v>43235.16663194444</v>
      </c>
      <c r="C338" t="n">
        <v>0</v>
      </c>
      <c r="D338" t="n">
        <v>2</v>
      </c>
      <c r="E338" t="s">
        <v>343</v>
      </c>
      <c r="F338">
        <f>HYPERLINK("http://pbs.twimg.com/media/DdNYyAmWkAAfV_a.jpg", "http://pbs.twimg.com/media/DdNYyAmWkAAfV_a.jpg")</f>
        <v/>
      </c>
      <c r="G338" t="s"/>
      <c r="H338" t="s"/>
      <c r="I338" t="s"/>
      <c r="J338" t="n">
        <v>0</v>
      </c>
      <c r="K338" t="n">
        <v>0</v>
      </c>
      <c r="L338" t="n">
        <v>1</v>
      </c>
      <c r="M338" t="n">
        <v>0</v>
      </c>
    </row>
    <row r="339" spans="1:13">
      <c r="A339" s="1">
        <f>HYPERLINK("http://www.twitter.com/NathanBLawrence/status/996238593009115137", "996238593009115137")</f>
        <v/>
      </c>
      <c r="B339" s="2" t="n">
        <v>43235.16625</v>
      </c>
      <c r="C339" t="n">
        <v>0</v>
      </c>
      <c r="D339" t="n">
        <v>0</v>
      </c>
      <c r="E339" t="s">
        <v>344</v>
      </c>
      <c r="F339">
        <f>HYPERLINK("http://pbs.twimg.com/media/DdNZt6mVMAAc5Ut.jpg", "http://pbs.twimg.com/media/DdNZt6mVMAAc5Ut.jpg")</f>
        <v/>
      </c>
      <c r="G339" t="s"/>
      <c r="H339" t="s"/>
      <c r="I339" t="s"/>
      <c r="J339" t="n">
        <v>-0.4588</v>
      </c>
      <c r="K339" t="n">
        <v>0.126</v>
      </c>
      <c r="L339" t="n">
        <v>0.8100000000000001</v>
      </c>
      <c r="M339" t="n">
        <v>0.065</v>
      </c>
    </row>
    <row r="340" spans="1:13">
      <c r="A340" s="1">
        <f>HYPERLINK("http://www.twitter.com/NathanBLawrence/status/996238109896560640", "996238109896560640")</f>
        <v/>
      </c>
      <c r="B340" s="2" t="n">
        <v>43235.16491898148</v>
      </c>
      <c r="C340" t="n">
        <v>0</v>
      </c>
      <c r="D340" t="n">
        <v>1</v>
      </c>
      <c r="E340" t="s">
        <v>345</v>
      </c>
      <c r="F340" t="s"/>
      <c r="G340" t="s"/>
      <c r="H340" t="s"/>
      <c r="I340" t="s"/>
      <c r="J340" t="n">
        <v>0.3089</v>
      </c>
      <c r="K340" t="n">
        <v>0</v>
      </c>
      <c r="L340" t="n">
        <v>0.903</v>
      </c>
      <c r="M340" t="n">
        <v>0.097</v>
      </c>
    </row>
    <row r="341" spans="1:13">
      <c r="A341" s="1">
        <f>HYPERLINK("http://www.twitter.com/NathanBLawrence/status/996238076673429504", "996238076673429504")</f>
        <v/>
      </c>
      <c r="B341" s="2" t="n">
        <v>43235.16482638889</v>
      </c>
      <c r="C341" t="n">
        <v>0</v>
      </c>
      <c r="D341" t="n">
        <v>5</v>
      </c>
      <c r="E341" t="s">
        <v>346</v>
      </c>
      <c r="F341" t="s"/>
      <c r="G341" t="s"/>
      <c r="H341" t="s"/>
      <c r="I341" t="s"/>
      <c r="J341" t="n">
        <v>0.3226</v>
      </c>
      <c r="K341" t="n">
        <v>0.098</v>
      </c>
      <c r="L341" t="n">
        <v>0.712</v>
      </c>
      <c r="M341" t="n">
        <v>0.19</v>
      </c>
    </row>
    <row r="342" spans="1:13">
      <c r="A342" s="1">
        <f>HYPERLINK("http://www.twitter.com/NathanBLawrence/status/996237958855393280", "996237958855393280")</f>
        <v/>
      </c>
      <c r="B342" s="2" t="n">
        <v>43235.16450231482</v>
      </c>
      <c r="C342" t="n">
        <v>0</v>
      </c>
      <c r="D342" t="n">
        <v>1</v>
      </c>
      <c r="E342" t="s">
        <v>347</v>
      </c>
      <c r="F342" t="s"/>
      <c r="G342" t="s"/>
      <c r="H342" t="s"/>
      <c r="I342" t="s"/>
      <c r="J342" t="n">
        <v>0</v>
      </c>
      <c r="K342" t="n">
        <v>0</v>
      </c>
      <c r="L342" t="n">
        <v>1</v>
      </c>
      <c r="M342" t="n">
        <v>0</v>
      </c>
    </row>
    <row r="343" spans="1:13">
      <c r="A343" s="1">
        <f>HYPERLINK("http://www.twitter.com/NathanBLawrence/status/996237910717411328", "996237910717411328")</f>
        <v/>
      </c>
      <c r="B343" s="2" t="n">
        <v>43235.16436342592</v>
      </c>
      <c r="C343" t="n">
        <v>0</v>
      </c>
      <c r="D343" t="n">
        <v>3</v>
      </c>
      <c r="E343" t="s">
        <v>348</v>
      </c>
      <c r="F343" t="s"/>
      <c r="G343" t="s"/>
      <c r="H343" t="s"/>
      <c r="I343" t="s"/>
      <c r="J343" t="n">
        <v>0.4019</v>
      </c>
      <c r="K343" t="n">
        <v>0</v>
      </c>
      <c r="L343" t="n">
        <v>0.881</v>
      </c>
      <c r="M343" t="n">
        <v>0.119</v>
      </c>
    </row>
    <row r="344" spans="1:13">
      <c r="A344" s="1">
        <f>HYPERLINK("http://www.twitter.com/NathanBLawrence/status/996236132236124161", "996236132236124161")</f>
        <v/>
      </c>
      <c r="B344" s="2" t="n">
        <v>43235.15945601852</v>
      </c>
      <c r="C344" t="n">
        <v>1</v>
      </c>
      <c r="D344" t="n">
        <v>0</v>
      </c>
      <c r="E344" t="s">
        <v>349</v>
      </c>
      <c r="F344" t="s"/>
      <c r="G344" t="s"/>
      <c r="H344" t="s"/>
      <c r="I344" t="s"/>
      <c r="J344" t="n">
        <v>0</v>
      </c>
      <c r="K344" t="n">
        <v>0</v>
      </c>
      <c r="L344" t="n">
        <v>1</v>
      </c>
      <c r="M344" t="n">
        <v>0</v>
      </c>
    </row>
    <row r="345" spans="1:13">
      <c r="A345" s="1">
        <f>HYPERLINK("http://www.twitter.com/NathanBLawrence/status/996235771060391936", "996235771060391936")</f>
        <v/>
      </c>
      <c r="B345" s="2" t="n">
        <v>43235.15846064815</v>
      </c>
      <c r="C345" t="n">
        <v>1</v>
      </c>
      <c r="D345" t="n">
        <v>0</v>
      </c>
      <c r="E345" t="s">
        <v>350</v>
      </c>
      <c r="F345" t="s"/>
      <c r="G345" t="s"/>
      <c r="H345" t="s"/>
      <c r="I345" t="s"/>
      <c r="J345" t="n">
        <v>0</v>
      </c>
      <c r="K345" t="n">
        <v>0</v>
      </c>
      <c r="L345" t="n">
        <v>1</v>
      </c>
      <c r="M345" t="n">
        <v>0</v>
      </c>
    </row>
    <row r="346" spans="1:13">
      <c r="A346" s="1">
        <f>HYPERLINK("http://www.twitter.com/NathanBLawrence/status/996235573210832899", "996235573210832899")</f>
        <v/>
      </c>
      <c r="B346" s="2" t="n">
        <v>43235.15791666666</v>
      </c>
      <c r="C346" t="n">
        <v>0</v>
      </c>
      <c r="D346" t="n">
        <v>3</v>
      </c>
      <c r="E346" t="s">
        <v>351</v>
      </c>
      <c r="F346" t="s"/>
      <c r="G346" t="s"/>
      <c r="H346" t="s"/>
      <c r="I346" t="s"/>
      <c r="J346" t="n">
        <v>0</v>
      </c>
      <c r="K346" t="n">
        <v>0</v>
      </c>
      <c r="L346" t="n">
        <v>1</v>
      </c>
      <c r="M346" t="n">
        <v>0</v>
      </c>
    </row>
    <row r="347" spans="1:13">
      <c r="A347" s="1">
        <f>HYPERLINK("http://www.twitter.com/NathanBLawrence/status/996233969711636481", "996233969711636481")</f>
        <v/>
      </c>
      <c r="B347" s="2" t="n">
        <v>43235.15349537037</v>
      </c>
      <c r="C347" t="n">
        <v>0</v>
      </c>
      <c r="D347" t="n">
        <v>6</v>
      </c>
      <c r="E347" t="s">
        <v>352</v>
      </c>
      <c r="F347" t="s"/>
      <c r="G347" t="s"/>
      <c r="H347" t="s"/>
      <c r="I347" t="s"/>
      <c r="J347" t="n">
        <v>0</v>
      </c>
      <c r="K347" t="n">
        <v>0</v>
      </c>
      <c r="L347" t="n">
        <v>1</v>
      </c>
      <c r="M347" t="n">
        <v>0</v>
      </c>
    </row>
    <row r="348" spans="1:13">
      <c r="A348" s="1">
        <f>HYPERLINK("http://www.twitter.com/NathanBLawrence/status/996232477374140416", "996232477374140416")</f>
        <v/>
      </c>
      <c r="B348" s="2" t="n">
        <v>43235.149375</v>
      </c>
      <c r="C348" t="n">
        <v>0</v>
      </c>
      <c r="D348" t="n">
        <v>0</v>
      </c>
      <c r="E348" t="s">
        <v>353</v>
      </c>
      <c r="F348" t="s"/>
      <c r="G348" t="s"/>
      <c r="H348" t="s"/>
      <c r="I348" t="s"/>
      <c r="J348" t="n">
        <v>-0.5362</v>
      </c>
      <c r="K348" t="n">
        <v>0.209</v>
      </c>
      <c r="L348" t="n">
        <v>0.703</v>
      </c>
      <c r="M348" t="n">
        <v>0.08799999999999999</v>
      </c>
    </row>
    <row r="349" spans="1:13">
      <c r="A349" s="1">
        <f>HYPERLINK("http://www.twitter.com/NathanBLawrence/status/996232082576826368", "996232082576826368")</f>
        <v/>
      </c>
      <c r="B349" s="2" t="n">
        <v>43235.14828703704</v>
      </c>
      <c r="C349" t="n">
        <v>0</v>
      </c>
      <c r="D349" t="n">
        <v>3</v>
      </c>
      <c r="E349" t="s">
        <v>354</v>
      </c>
      <c r="F349" t="s"/>
      <c r="G349" t="s"/>
      <c r="H349" t="s"/>
      <c r="I349" t="s"/>
      <c r="J349" t="n">
        <v>0</v>
      </c>
      <c r="K349" t="n">
        <v>0</v>
      </c>
      <c r="L349" t="n">
        <v>1</v>
      </c>
      <c r="M349" t="n">
        <v>0</v>
      </c>
    </row>
    <row r="350" spans="1:13">
      <c r="A350" s="1">
        <f>HYPERLINK("http://www.twitter.com/NathanBLawrence/status/996232044048011264", "996232044048011264")</f>
        <v/>
      </c>
      <c r="B350" s="2" t="n">
        <v>43235.14818287037</v>
      </c>
      <c r="C350" t="n">
        <v>0</v>
      </c>
      <c r="D350" t="n">
        <v>3</v>
      </c>
      <c r="E350" t="s">
        <v>355</v>
      </c>
      <c r="F350" t="s"/>
      <c r="G350" t="s"/>
      <c r="H350" t="s"/>
      <c r="I350" t="s"/>
      <c r="J350" t="n">
        <v>0</v>
      </c>
      <c r="K350" t="n">
        <v>0</v>
      </c>
      <c r="L350" t="n">
        <v>1</v>
      </c>
      <c r="M350" t="n">
        <v>0</v>
      </c>
    </row>
    <row r="351" spans="1:13">
      <c r="A351" s="1">
        <f>HYPERLINK("http://www.twitter.com/NathanBLawrence/status/996231936174624768", "996231936174624768")</f>
        <v/>
      </c>
      <c r="B351" s="2" t="n">
        <v>43235.14788194445</v>
      </c>
      <c r="C351" t="n">
        <v>0</v>
      </c>
      <c r="D351" t="n">
        <v>2</v>
      </c>
      <c r="E351" t="s">
        <v>356</v>
      </c>
      <c r="F351" t="s"/>
      <c r="G351" t="s"/>
      <c r="H351" t="s"/>
      <c r="I351" t="s"/>
      <c r="J351" t="n">
        <v>0.5994</v>
      </c>
      <c r="K351" t="n">
        <v>0.09</v>
      </c>
      <c r="L351" t="n">
        <v>0.681</v>
      </c>
      <c r="M351" t="n">
        <v>0.229</v>
      </c>
    </row>
    <row r="352" spans="1:13">
      <c r="A352" s="1">
        <f>HYPERLINK("http://www.twitter.com/NathanBLawrence/status/996231900082601986", "996231900082601986")</f>
        <v/>
      </c>
      <c r="B352" s="2" t="n">
        <v>43235.14777777778</v>
      </c>
      <c r="C352" t="n">
        <v>5</v>
      </c>
      <c r="D352" t="n">
        <v>2</v>
      </c>
      <c r="E352" t="s">
        <v>357</v>
      </c>
      <c r="F352" t="s"/>
      <c r="G352" t="s"/>
      <c r="H352" t="s"/>
      <c r="I352" t="s"/>
      <c r="J352" t="n">
        <v>0.296</v>
      </c>
      <c r="K352" t="n">
        <v>0.148</v>
      </c>
      <c r="L352" t="n">
        <v>0.657</v>
      </c>
      <c r="M352" t="n">
        <v>0.195</v>
      </c>
    </row>
    <row r="353" spans="1:13">
      <c r="A353" s="1">
        <f>HYPERLINK("http://www.twitter.com/NathanBLawrence/status/996230594198757376", "996230594198757376")</f>
        <v/>
      </c>
      <c r="B353" s="2" t="n">
        <v>43235.14417824074</v>
      </c>
      <c r="C353" t="n">
        <v>0</v>
      </c>
      <c r="D353" t="n">
        <v>1</v>
      </c>
      <c r="E353" t="s">
        <v>358</v>
      </c>
      <c r="F353" t="s"/>
      <c r="G353" t="s"/>
      <c r="H353" t="s"/>
      <c r="I353" t="s"/>
      <c r="J353" t="n">
        <v>0</v>
      </c>
      <c r="K353" t="n">
        <v>0</v>
      </c>
      <c r="L353" t="n">
        <v>1</v>
      </c>
      <c r="M353" t="n">
        <v>0</v>
      </c>
    </row>
    <row r="354" spans="1:13">
      <c r="A354" s="1">
        <f>HYPERLINK("http://www.twitter.com/NathanBLawrence/status/996230526255206400", "996230526255206400")</f>
        <v/>
      </c>
      <c r="B354" s="2" t="n">
        <v>43235.14399305556</v>
      </c>
      <c r="C354" t="n">
        <v>0</v>
      </c>
      <c r="D354" t="n">
        <v>11</v>
      </c>
      <c r="E354" t="s">
        <v>359</v>
      </c>
      <c r="F354" t="s"/>
      <c r="G354" t="s"/>
      <c r="H354" t="s"/>
      <c r="I354" t="s"/>
      <c r="J354" t="n">
        <v>0</v>
      </c>
      <c r="K354" t="n">
        <v>0</v>
      </c>
      <c r="L354" t="n">
        <v>1</v>
      </c>
      <c r="M354" t="n">
        <v>0</v>
      </c>
    </row>
    <row r="355" spans="1:13">
      <c r="A355" s="1">
        <f>HYPERLINK("http://www.twitter.com/NathanBLawrence/status/996230450535436289", "996230450535436289")</f>
        <v/>
      </c>
      <c r="B355" s="2" t="n">
        <v>43235.14378472222</v>
      </c>
      <c r="C355" t="n">
        <v>3</v>
      </c>
      <c r="D355" t="n">
        <v>1</v>
      </c>
      <c r="E355" t="s">
        <v>360</v>
      </c>
      <c r="F355">
        <f>HYPERLINK("http://pbs.twimg.com/media/DdNST_KV4AARI3e.jpg", "http://pbs.twimg.com/media/DdNST_KV4AARI3e.jpg")</f>
        <v/>
      </c>
      <c r="G355" t="s"/>
      <c r="H355" t="s"/>
      <c r="I355" t="s"/>
      <c r="J355" t="n">
        <v>0.6535</v>
      </c>
      <c r="K355" t="n">
        <v>0.051</v>
      </c>
      <c r="L355" t="n">
        <v>0.801</v>
      </c>
      <c r="M355" t="n">
        <v>0.148</v>
      </c>
    </row>
    <row r="356" spans="1:13">
      <c r="A356" s="1">
        <f>HYPERLINK("http://www.twitter.com/NathanBLawrence/status/996229942290632704", "996229942290632704")</f>
        <v/>
      </c>
      <c r="B356" s="2" t="n">
        <v>43235.14237268519</v>
      </c>
      <c r="C356" t="n">
        <v>13</v>
      </c>
      <c r="D356" t="n">
        <v>6</v>
      </c>
      <c r="E356" t="s">
        <v>361</v>
      </c>
      <c r="F356" t="s"/>
      <c r="G356" t="s"/>
      <c r="H356" t="s"/>
      <c r="I356" t="s"/>
      <c r="J356" t="n">
        <v>0</v>
      </c>
      <c r="K356" t="n">
        <v>0</v>
      </c>
      <c r="L356" t="n">
        <v>1</v>
      </c>
      <c r="M356" t="n">
        <v>0</v>
      </c>
    </row>
    <row r="357" spans="1:13">
      <c r="A357" s="1">
        <f>HYPERLINK("http://www.twitter.com/NathanBLawrence/status/996229416698204160", "996229416698204160")</f>
        <v/>
      </c>
      <c r="B357" s="2" t="n">
        <v>43235.14092592592</v>
      </c>
      <c r="C357" t="n">
        <v>0</v>
      </c>
      <c r="D357" t="n">
        <v>28</v>
      </c>
      <c r="E357" t="s">
        <v>362</v>
      </c>
      <c r="F357" t="s"/>
      <c r="G357" t="s"/>
      <c r="H357" t="s"/>
      <c r="I357" t="s"/>
      <c r="J357" t="n">
        <v>-0.6486</v>
      </c>
      <c r="K357" t="n">
        <v>0.202</v>
      </c>
      <c r="L357" t="n">
        <v>0.798</v>
      </c>
      <c r="M357" t="n">
        <v>0</v>
      </c>
    </row>
    <row r="358" spans="1:13">
      <c r="A358" s="1">
        <f>HYPERLINK("http://www.twitter.com/NathanBLawrence/status/996229354177867777", "996229354177867777")</f>
        <v/>
      </c>
      <c r="B358" s="2" t="n">
        <v>43235.14075231482</v>
      </c>
      <c r="C358" t="n">
        <v>0</v>
      </c>
      <c r="D358" t="n">
        <v>33</v>
      </c>
      <c r="E358" t="s">
        <v>363</v>
      </c>
      <c r="F358" t="s"/>
      <c r="G358" t="s"/>
      <c r="H358" t="s"/>
      <c r="I358" t="s"/>
      <c r="J358" t="n">
        <v>-0.5719</v>
      </c>
      <c r="K358" t="n">
        <v>0.232</v>
      </c>
      <c r="L358" t="n">
        <v>0.667</v>
      </c>
      <c r="M358" t="n">
        <v>0.102</v>
      </c>
    </row>
    <row r="359" spans="1:13">
      <c r="A359" s="1">
        <f>HYPERLINK("http://www.twitter.com/NathanBLawrence/status/996229331218202624", "996229331218202624")</f>
        <v/>
      </c>
      <c r="B359" s="2" t="n">
        <v>43235.14069444445</v>
      </c>
      <c r="C359" t="n">
        <v>1</v>
      </c>
      <c r="D359" t="n">
        <v>0</v>
      </c>
      <c r="E359" t="s">
        <v>364</v>
      </c>
      <c r="F359" t="s"/>
      <c r="G359" t="s"/>
      <c r="H359" t="s"/>
      <c r="I359" t="s"/>
      <c r="J359" t="n">
        <v>0.5983000000000001</v>
      </c>
      <c r="K359" t="n">
        <v>0.151</v>
      </c>
      <c r="L359" t="n">
        <v>0.632</v>
      </c>
      <c r="M359" t="n">
        <v>0.216</v>
      </c>
    </row>
    <row r="360" spans="1:13">
      <c r="A360" s="1">
        <f>HYPERLINK("http://www.twitter.com/NathanBLawrence/status/996227944086495233", "996227944086495233")</f>
        <v/>
      </c>
      <c r="B360" s="2" t="n">
        <v>43235.13686342593</v>
      </c>
      <c r="C360" t="n">
        <v>0</v>
      </c>
      <c r="D360" t="n">
        <v>5</v>
      </c>
      <c r="E360" t="s">
        <v>365</v>
      </c>
      <c r="F360" t="s"/>
      <c r="G360" t="s"/>
      <c r="H360" t="s"/>
      <c r="I360" t="s"/>
      <c r="J360" t="n">
        <v>0.8126</v>
      </c>
      <c r="K360" t="n">
        <v>0</v>
      </c>
      <c r="L360" t="n">
        <v>0.656</v>
      </c>
      <c r="M360" t="n">
        <v>0.344</v>
      </c>
    </row>
    <row r="361" spans="1:13">
      <c r="A361" s="1">
        <f>HYPERLINK("http://www.twitter.com/NathanBLawrence/status/996227816327991297", "996227816327991297")</f>
        <v/>
      </c>
      <c r="B361" s="2" t="n">
        <v>43235.1365162037</v>
      </c>
      <c r="C361" t="n">
        <v>0</v>
      </c>
      <c r="D361" t="n">
        <v>7</v>
      </c>
      <c r="E361" t="s">
        <v>366</v>
      </c>
      <c r="F361" t="s"/>
      <c r="G361" t="s"/>
      <c r="H361" t="s"/>
      <c r="I361" t="s"/>
      <c r="J361" t="n">
        <v>0.3612</v>
      </c>
      <c r="K361" t="n">
        <v>0</v>
      </c>
      <c r="L361" t="n">
        <v>0.898</v>
      </c>
      <c r="M361" t="n">
        <v>0.102</v>
      </c>
    </row>
    <row r="362" spans="1:13">
      <c r="A362" s="1">
        <f>HYPERLINK("http://www.twitter.com/NathanBLawrence/status/996227787567632385", "996227787567632385")</f>
        <v/>
      </c>
      <c r="B362" s="2" t="n">
        <v>43235.13643518519</v>
      </c>
      <c r="C362" t="n">
        <v>1</v>
      </c>
      <c r="D362" t="n">
        <v>0</v>
      </c>
      <c r="E362" t="s">
        <v>367</v>
      </c>
      <c r="F362" t="s"/>
      <c r="G362" t="s"/>
      <c r="H362" t="s"/>
      <c r="I362" t="s"/>
      <c r="J362" t="n">
        <v>-0.34</v>
      </c>
      <c r="K362" t="n">
        <v>0.231</v>
      </c>
      <c r="L362" t="n">
        <v>0.769</v>
      </c>
      <c r="M362" t="n">
        <v>0</v>
      </c>
    </row>
    <row r="363" spans="1:13">
      <c r="A363" s="1">
        <f>HYPERLINK("http://www.twitter.com/NathanBLawrence/status/996227569509953536", "996227569509953536")</f>
        <v/>
      </c>
      <c r="B363" s="2" t="n">
        <v>43235.13583333333</v>
      </c>
      <c r="C363" t="n">
        <v>0</v>
      </c>
      <c r="D363" t="n">
        <v>6</v>
      </c>
      <c r="E363" t="s">
        <v>368</v>
      </c>
      <c r="F363">
        <f>HYPERLINK("http://pbs.twimg.com/media/DdNEXcaV4AAi3Yf.jpg", "http://pbs.twimg.com/media/DdNEXcaV4AAi3Yf.jpg")</f>
        <v/>
      </c>
      <c r="G363" t="s"/>
      <c r="H363" t="s"/>
      <c r="I363" t="s"/>
      <c r="J363" t="n">
        <v>0</v>
      </c>
      <c r="K363" t="n">
        <v>0</v>
      </c>
      <c r="L363" t="n">
        <v>1</v>
      </c>
      <c r="M363" t="n">
        <v>0</v>
      </c>
    </row>
    <row r="364" spans="1:13">
      <c r="A364" s="1">
        <f>HYPERLINK("http://www.twitter.com/NathanBLawrence/status/996227497837715456", "996227497837715456")</f>
        <v/>
      </c>
      <c r="B364" s="2" t="n">
        <v>43235.13563657407</v>
      </c>
      <c r="C364" t="n">
        <v>0</v>
      </c>
      <c r="D364" t="n">
        <v>0</v>
      </c>
      <c r="E364" t="s">
        <v>369</v>
      </c>
      <c r="F364">
        <f>HYPERLINK("http://pbs.twimg.com/media/DdNPntOU8AAxfiW.jpg", "http://pbs.twimg.com/media/DdNPntOU8AAxfiW.jpg")</f>
        <v/>
      </c>
      <c r="G364" t="s"/>
      <c r="H364" t="s"/>
      <c r="I364" t="s"/>
      <c r="J364" t="n">
        <v>0.6351</v>
      </c>
      <c r="K364" t="n">
        <v>0</v>
      </c>
      <c r="L364" t="n">
        <v>0.84</v>
      </c>
      <c r="M364" t="n">
        <v>0.16</v>
      </c>
    </row>
    <row r="365" spans="1:13">
      <c r="A365" s="1">
        <f>HYPERLINK("http://www.twitter.com/NathanBLawrence/status/996225190324588545", "996225190324588545")</f>
        <v/>
      </c>
      <c r="B365" s="2" t="n">
        <v>43235.12925925926</v>
      </c>
      <c r="C365" t="n">
        <v>0</v>
      </c>
      <c r="D365" t="n">
        <v>0</v>
      </c>
      <c r="E365" t="s">
        <v>370</v>
      </c>
      <c r="F365" t="s"/>
      <c r="G365" t="s"/>
      <c r="H365" t="s"/>
      <c r="I365" t="s"/>
      <c r="J365" t="n">
        <v>-0.698</v>
      </c>
      <c r="K365" t="n">
        <v>0.323</v>
      </c>
      <c r="L365" t="n">
        <v>0.578</v>
      </c>
      <c r="M365" t="n">
        <v>0.098</v>
      </c>
    </row>
    <row r="366" spans="1:13">
      <c r="A366" s="1">
        <f>HYPERLINK("http://www.twitter.com/NathanBLawrence/status/996224619865665536", "996224619865665536")</f>
        <v/>
      </c>
      <c r="B366" s="2" t="n">
        <v>43235.12768518519</v>
      </c>
      <c r="C366" t="n">
        <v>0</v>
      </c>
      <c r="D366" t="n">
        <v>0</v>
      </c>
      <c r="E366" t="s">
        <v>371</v>
      </c>
      <c r="F366" t="s"/>
      <c r="G366" t="s"/>
      <c r="H366" t="s"/>
      <c r="I366" t="s"/>
      <c r="J366" t="n">
        <v>-0.9500999999999999</v>
      </c>
      <c r="K366" t="n">
        <v>0.297</v>
      </c>
      <c r="L366" t="n">
        <v>0.661</v>
      </c>
      <c r="M366" t="n">
        <v>0.042</v>
      </c>
    </row>
    <row r="367" spans="1:13">
      <c r="A367" s="1">
        <f>HYPERLINK("http://www.twitter.com/NathanBLawrence/status/996223965021458432", "996223965021458432")</f>
        <v/>
      </c>
      <c r="B367" s="2" t="n">
        <v>43235.12587962963</v>
      </c>
      <c r="C367" t="n">
        <v>0</v>
      </c>
      <c r="D367" t="n">
        <v>26</v>
      </c>
      <c r="E367" t="s">
        <v>372</v>
      </c>
      <c r="F367" t="s"/>
      <c r="G367" t="s"/>
      <c r="H367" t="s"/>
      <c r="I367" t="s"/>
      <c r="J367" t="n">
        <v>-0.5803</v>
      </c>
      <c r="K367" t="n">
        <v>0.19</v>
      </c>
      <c r="L367" t="n">
        <v>0.8100000000000001</v>
      </c>
      <c r="M367" t="n">
        <v>0</v>
      </c>
    </row>
    <row r="368" spans="1:13">
      <c r="A368" s="1">
        <f>HYPERLINK("http://www.twitter.com/NathanBLawrence/status/996222156974559233", "996222156974559233")</f>
        <v/>
      </c>
      <c r="B368" s="2" t="n">
        <v>43235.1208912037</v>
      </c>
      <c r="C368" t="n">
        <v>0</v>
      </c>
      <c r="D368" t="n">
        <v>0</v>
      </c>
      <c r="E368" t="s">
        <v>373</v>
      </c>
      <c r="F368" t="s"/>
      <c r="G368" t="s"/>
      <c r="H368" t="s"/>
      <c r="I368" t="s"/>
      <c r="J368" t="n">
        <v>-0.7574</v>
      </c>
      <c r="K368" t="n">
        <v>0.149</v>
      </c>
      <c r="L368" t="n">
        <v>0.851</v>
      </c>
      <c r="M368" t="n">
        <v>0</v>
      </c>
    </row>
    <row r="369" spans="1:13">
      <c r="A369" s="1">
        <f>HYPERLINK("http://www.twitter.com/NathanBLawrence/status/996219582569476096", "996219582569476096")</f>
        <v/>
      </c>
      <c r="B369" s="2" t="n">
        <v>43235.1137962963</v>
      </c>
      <c r="C369" t="n">
        <v>0</v>
      </c>
      <c r="D369" t="n">
        <v>2</v>
      </c>
      <c r="E369" t="s">
        <v>374</v>
      </c>
      <c r="F369" t="s"/>
      <c r="G369" t="s"/>
      <c r="H369" t="s"/>
      <c r="I369" t="s"/>
      <c r="J369" t="n">
        <v>0</v>
      </c>
      <c r="K369" t="n">
        <v>0</v>
      </c>
      <c r="L369" t="n">
        <v>1</v>
      </c>
      <c r="M369" t="n">
        <v>0</v>
      </c>
    </row>
    <row r="370" spans="1:13">
      <c r="A370" s="1">
        <f>HYPERLINK("http://www.twitter.com/NathanBLawrence/status/996219561249828865", "996219561249828865")</f>
        <v/>
      </c>
      <c r="B370" s="2" t="n">
        <v>43235.11372685185</v>
      </c>
      <c r="C370" t="n">
        <v>0</v>
      </c>
      <c r="D370" t="n">
        <v>2</v>
      </c>
      <c r="E370" t="s">
        <v>375</v>
      </c>
      <c r="F370" t="s"/>
      <c r="G370" t="s"/>
      <c r="H370" t="s"/>
      <c r="I370" t="s"/>
      <c r="J370" t="n">
        <v>0.2244</v>
      </c>
      <c r="K370" t="n">
        <v>0.144</v>
      </c>
      <c r="L370" t="n">
        <v>0.673</v>
      </c>
      <c r="M370" t="n">
        <v>0.184</v>
      </c>
    </row>
    <row r="371" spans="1:13">
      <c r="A371" s="1">
        <f>HYPERLINK("http://www.twitter.com/NathanBLawrence/status/996219244848312320", "996219244848312320")</f>
        <v/>
      </c>
      <c r="B371" s="2" t="n">
        <v>43235.1128587963</v>
      </c>
      <c r="C371" t="n">
        <v>0</v>
      </c>
      <c r="D371" t="n">
        <v>1</v>
      </c>
      <c r="E371" t="s">
        <v>376</v>
      </c>
      <c r="F371">
        <f>HYPERLINK("http://pbs.twimg.com/media/DdNHZ0fVAAEvlQz.jpg", "http://pbs.twimg.com/media/DdNHZ0fVAAEvlQz.jpg")</f>
        <v/>
      </c>
      <c r="G371" t="s"/>
      <c r="H371" t="s"/>
      <c r="I371" t="s"/>
      <c r="J371" t="n">
        <v>0.6973</v>
      </c>
      <c r="K371" t="n">
        <v>0.131</v>
      </c>
      <c r="L371" t="n">
        <v>0.5580000000000001</v>
      </c>
      <c r="M371" t="n">
        <v>0.31</v>
      </c>
    </row>
    <row r="372" spans="1:13">
      <c r="A372" s="1">
        <f>HYPERLINK("http://www.twitter.com/NathanBLawrence/status/996219218235453440", "996219218235453440")</f>
        <v/>
      </c>
      <c r="B372" s="2" t="n">
        <v>43235.11278935185</v>
      </c>
      <c r="C372" t="n">
        <v>0</v>
      </c>
      <c r="D372" t="n">
        <v>2</v>
      </c>
      <c r="E372" t="s">
        <v>377</v>
      </c>
      <c r="F372">
        <f>HYPERLINK("http://pbs.twimg.com/media/DdNGyvsV0AA4vdY.jpg", "http://pbs.twimg.com/media/DdNGyvsV0AA4vdY.jpg")</f>
        <v/>
      </c>
      <c r="G372" t="s"/>
      <c r="H372" t="s"/>
      <c r="I372" t="s"/>
      <c r="J372" t="n">
        <v>0.4019</v>
      </c>
      <c r="K372" t="n">
        <v>0</v>
      </c>
      <c r="L372" t="n">
        <v>0.886</v>
      </c>
      <c r="M372" t="n">
        <v>0.114</v>
      </c>
    </row>
    <row r="373" spans="1:13">
      <c r="A373" s="1">
        <f>HYPERLINK("http://www.twitter.com/NathanBLawrence/status/996219199230967808", "996219199230967808")</f>
        <v/>
      </c>
      <c r="B373" s="2" t="n">
        <v>43235.11273148148</v>
      </c>
      <c r="C373" t="n">
        <v>0</v>
      </c>
      <c r="D373" t="n">
        <v>2</v>
      </c>
      <c r="E373" t="s">
        <v>378</v>
      </c>
      <c r="F373">
        <f>HYPERLINK("http://pbs.twimg.com/media/DdNGMTJV0AEhWl_.jpg", "http://pbs.twimg.com/media/DdNGMTJV0AEhWl_.jpg")</f>
        <v/>
      </c>
      <c r="G373" t="s"/>
      <c r="H373" t="s"/>
      <c r="I373" t="s"/>
      <c r="J373" t="n">
        <v>-0.25</v>
      </c>
      <c r="K373" t="n">
        <v>0.146</v>
      </c>
      <c r="L373" t="n">
        <v>0.75</v>
      </c>
      <c r="M373" t="n">
        <v>0.104</v>
      </c>
    </row>
    <row r="374" spans="1:13">
      <c r="A374" s="1">
        <f>HYPERLINK("http://www.twitter.com/NathanBLawrence/status/996219185494716418", "996219185494716418")</f>
        <v/>
      </c>
      <c r="B374" s="2" t="n">
        <v>43235.11269675926</v>
      </c>
      <c r="C374" t="n">
        <v>0</v>
      </c>
      <c r="D374" t="n">
        <v>1</v>
      </c>
      <c r="E374" t="s">
        <v>379</v>
      </c>
      <c r="F374">
        <f>HYPERLINK("http://pbs.twimg.com/media/DdNFYvRUwAEXAfT.jpg", "http://pbs.twimg.com/media/DdNFYvRUwAEXAfT.jpg")</f>
        <v/>
      </c>
      <c r="G374" t="s"/>
      <c r="H374" t="s"/>
      <c r="I374" t="s"/>
      <c r="J374" t="n">
        <v>-0.5859</v>
      </c>
      <c r="K374" t="n">
        <v>0.255</v>
      </c>
      <c r="L374" t="n">
        <v>0.621</v>
      </c>
      <c r="M374" t="n">
        <v>0.124</v>
      </c>
    </row>
    <row r="375" spans="1:13">
      <c r="A375" s="1">
        <f>HYPERLINK("http://www.twitter.com/NathanBLawrence/status/996219170734911490", "996219170734911490")</f>
        <v/>
      </c>
      <c r="B375" s="2" t="n">
        <v>43235.11265046296</v>
      </c>
      <c r="C375" t="n">
        <v>0</v>
      </c>
      <c r="D375" t="n">
        <v>2</v>
      </c>
      <c r="E375" t="s">
        <v>380</v>
      </c>
      <c r="F375">
        <f>HYPERLINK("http://pbs.twimg.com/media/DdNEvrEVAAAllXi.jpg", "http://pbs.twimg.com/media/DdNEvrEVAAAllXi.jpg")</f>
        <v/>
      </c>
      <c r="G375" t="s"/>
      <c r="H375" t="s"/>
      <c r="I375" t="s"/>
      <c r="J375" t="n">
        <v>-0.6808</v>
      </c>
      <c r="K375" t="n">
        <v>0.155</v>
      </c>
      <c r="L375" t="n">
        <v>0.845</v>
      </c>
      <c r="M375" t="n">
        <v>0</v>
      </c>
    </row>
    <row r="376" spans="1:13">
      <c r="A376" s="1">
        <f>HYPERLINK("http://www.twitter.com/NathanBLawrence/status/996219157267042305", "996219157267042305")</f>
        <v/>
      </c>
      <c r="B376" s="2" t="n">
        <v>43235.11261574074</v>
      </c>
      <c r="C376" t="n">
        <v>0</v>
      </c>
      <c r="D376" t="n">
        <v>2</v>
      </c>
      <c r="E376" t="s">
        <v>381</v>
      </c>
      <c r="F376">
        <f>HYPERLINK("http://pbs.twimg.com/media/DdNENG2V0AAt5NF.jpg", "http://pbs.twimg.com/media/DdNENG2V0AAt5NF.jpg")</f>
        <v/>
      </c>
      <c r="G376" t="s"/>
      <c r="H376" t="s"/>
      <c r="I376" t="s"/>
      <c r="J376" t="n">
        <v>-0.8126</v>
      </c>
      <c r="K376" t="n">
        <v>0.265</v>
      </c>
      <c r="L376" t="n">
        <v>0.668</v>
      </c>
      <c r="M376" t="n">
        <v>0.067</v>
      </c>
    </row>
    <row r="377" spans="1:13">
      <c r="A377" s="1">
        <f>HYPERLINK("http://www.twitter.com/NathanBLawrence/status/996219143010553856", "996219143010553856")</f>
        <v/>
      </c>
      <c r="B377" s="2" t="n">
        <v>43235.11258101852</v>
      </c>
      <c r="C377" t="n">
        <v>0</v>
      </c>
      <c r="D377" t="n">
        <v>4</v>
      </c>
      <c r="E377" t="s">
        <v>382</v>
      </c>
      <c r="F377">
        <f>HYPERLINK("http://pbs.twimg.com/media/DdNDlcSUQAIwly3.jpg", "http://pbs.twimg.com/media/DdNDlcSUQAIwly3.jpg")</f>
        <v/>
      </c>
      <c r="G377" t="s"/>
      <c r="H377" t="s"/>
      <c r="I377" t="s"/>
      <c r="J377" t="n">
        <v>0.1027</v>
      </c>
      <c r="K377" t="n">
        <v>0.127</v>
      </c>
      <c r="L377" t="n">
        <v>0.731</v>
      </c>
      <c r="M377" t="n">
        <v>0.142</v>
      </c>
    </row>
    <row r="378" spans="1:13">
      <c r="A378" s="1">
        <f>HYPERLINK("http://www.twitter.com/NathanBLawrence/status/996219125855850496", "996219125855850496")</f>
        <v/>
      </c>
      <c r="B378" s="2" t="n">
        <v>43235.11253472222</v>
      </c>
      <c r="C378" t="n">
        <v>0</v>
      </c>
      <c r="D378" t="n">
        <v>3</v>
      </c>
      <c r="E378" t="s">
        <v>383</v>
      </c>
      <c r="F378">
        <f>HYPERLINK("http://pbs.twimg.com/media/DdNCuEfUQAActx6.jpg", "http://pbs.twimg.com/media/DdNCuEfUQAActx6.jpg")</f>
        <v/>
      </c>
      <c r="G378" t="s"/>
      <c r="H378" t="s"/>
      <c r="I378" t="s"/>
      <c r="J378" t="n">
        <v>0</v>
      </c>
      <c r="K378" t="n">
        <v>0</v>
      </c>
      <c r="L378" t="n">
        <v>1</v>
      </c>
      <c r="M378" t="n">
        <v>0</v>
      </c>
    </row>
    <row r="379" spans="1:13">
      <c r="A379" s="1">
        <f>HYPERLINK("http://www.twitter.com/NathanBLawrence/status/996219112434163712", "996219112434163712")</f>
        <v/>
      </c>
      <c r="B379" s="2" t="n">
        <v>43235.11248842593</v>
      </c>
      <c r="C379" t="n">
        <v>0</v>
      </c>
      <c r="D379" t="n">
        <v>8</v>
      </c>
      <c r="E379" t="s">
        <v>384</v>
      </c>
      <c r="F379">
        <f>HYPERLINK("http://pbs.twimg.com/media/DdNB_5QU0AARAsq.jpg", "http://pbs.twimg.com/media/DdNB_5QU0AARAsq.jpg")</f>
        <v/>
      </c>
      <c r="G379" t="s"/>
      <c r="H379" t="s"/>
      <c r="I379" t="s"/>
      <c r="J379" t="n">
        <v>0.4404</v>
      </c>
      <c r="K379" t="n">
        <v>0</v>
      </c>
      <c r="L379" t="n">
        <v>0.873</v>
      </c>
      <c r="M379" t="n">
        <v>0.127</v>
      </c>
    </row>
    <row r="380" spans="1:13">
      <c r="A380" s="1">
        <f>HYPERLINK("http://www.twitter.com/NathanBLawrence/status/996218731645800448", "996218731645800448")</f>
        <v/>
      </c>
      <c r="B380" s="2" t="n">
        <v>43235.11144675926</v>
      </c>
      <c r="C380" t="n">
        <v>0</v>
      </c>
      <c r="D380" t="n">
        <v>1</v>
      </c>
      <c r="E380" t="s">
        <v>385</v>
      </c>
      <c r="F380" t="s"/>
      <c r="G380" t="s"/>
      <c r="H380" t="s"/>
      <c r="I380" t="s"/>
      <c r="J380" t="n">
        <v>0</v>
      </c>
      <c r="K380" t="n">
        <v>0</v>
      </c>
      <c r="L380" t="n">
        <v>1</v>
      </c>
      <c r="M380" t="n">
        <v>0</v>
      </c>
    </row>
    <row r="381" spans="1:13">
      <c r="A381" s="1">
        <f>HYPERLINK("http://www.twitter.com/NathanBLawrence/status/996218704860938247", "996218704860938247")</f>
        <v/>
      </c>
      <c r="B381" s="2" t="n">
        <v>43235.11136574074</v>
      </c>
      <c r="C381" t="n">
        <v>0</v>
      </c>
      <c r="D381" t="n">
        <v>1</v>
      </c>
      <c r="E381" t="s">
        <v>386</v>
      </c>
      <c r="F381" t="s"/>
      <c r="G381" t="s"/>
      <c r="H381" t="s"/>
      <c r="I381" t="s"/>
      <c r="J381" t="n">
        <v>-0.5423</v>
      </c>
      <c r="K381" t="n">
        <v>0.249</v>
      </c>
      <c r="L381" t="n">
        <v>0.655</v>
      </c>
      <c r="M381" t="n">
        <v>0.096</v>
      </c>
    </row>
    <row r="382" spans="1:13">
      <c r="A382" s="1">
        <f>HYPERLINK("http://www.twitter.com/NathanBLawrence/status/996218458605064193", "996218458605064193")</f>
        <v/>
      </c>
      <c r="B382" s="2" t="n">
        <v>43235.11069444445</v>
      </c>
      <c r="C382" t="n">
        <v>2</v>
      </c>
      <c r="D382" t="n">
        <v>1</v>
      </c>
      <c r="E382" t="s">
        <v>387</v>
      </c>
      <c r="F382">
        <f>HYPERLINK("http://pbs.twimg.com/media/DdNHZ0fVAAEvlQz.jpg", "http://pbs.twimg.com/media/DdNHZ0fVAAEvlQz.jpg")</f>
        <v/>
      </c>
      <c r="G382" t="s"/>
      <c r="H382" t="s"/>
      <c r="I382" t="s"/>
      <c r="J382" t="n">
        <v>-0.9255</v>
      </c>
      <c r="K382" t="n">
        <v>0.315</v>
      </c>
      <c r="L382" t="n">
        <v>0.515</v>
      </c>
      <c r="M382" t="n">
        <v>0.169</v>
      </c>
    </row>
    <row r="383" spans="1:13">
      <c r="A383" s="1">
        <f>HYPERLINK("http://www.twitter.com/NathanBLawrence/status/996217785167564801", "996217785167564801")</f>
        <v/>
      </c>
      <c r="B383" s="2" t="n">
        <v>43235.10883101852</v>
      </c>
      <c r="C383" t="n">
        <v>4</v>
      </c>
      <c r="D383" t="n">
        <v>2</v>
      </c>
      <c r="E383" t="s">
        <v>388</v>
      </c>
      <c r="F383">
        <f>HYPERLINK("http://pbs.twimg.com/media/DdNGyvsV0AA4vdY.jpg", "http://pbs.twimg.com/media/DdNGyvsV0AA4vdY.jpg")</f>
        <v/>
      </c>
      <c r="G383" t="s"/>
      <c r="H383" t="s"/>
      <c r="I383" t="s"/>
      <c r="J383" t="n">
        <v>0.5719</v>
      </c>
      <c r="K383" t="n">
        <v>0.03</v>
      </c>
      <c r="L383" t="n">
        <v>0.87</v>
      </c>
      <c r="M383" t="n">
        <v>0.1</v>
      </c>
    </row>
    <row r="384" spans="1:13">
      <c r="A384" s="1">
        <f>HYPERLINK("http://www.twitter.com/NathanBLawrence/status/996217125411966976", "996217125411966976")</f>
        <v/>
      </c>
      <c r="B384" s="2" t="n">
        <v>43235.10701388889</v>
      </c>
      <c r="C384" t="n">
        <v>4</v>
      </c>
      <c r="D384" t="n">
        <v>2</v>
      </c>
      <c r="E384" t="s">
        <v>389</v>
      </c>
      <c r="F384">
        <f>HYPERLINK("http://pbs.twimg.com/media/DdNGMTJV0AEhWl_.jpg", "http://pbs.twimg.com/media/DdNGMTJV0AEhWl_.jpg")</f>
        <v/>
      </c>
      <c r="G384" t="s"/>
      <c r="H384" t="s"/>
      <c r="I384" t="s"/>
      <c r="J384" t="n">
        <v>0.128</v>
      </c>
      <c r="K384" t="n">
        <v>0.07199999999999999</v>
      </c>
      <c r="L384" t="n">
        <v>0.825</v>
      </c>
      <c r="M384" t="n">
        <v>0.103</v>
      </c>
    </row>
    <row r="385" spans="1:13">
      <c r="A385" s="1">
        <f>HYPERLINK("http://www.twitter.com/NathanBLawrence/status/996216239482658816", "996216239482658816")</f>
        <v/>
      </c>
      <c r="B385" s="2" t="n">
        <v>43235.10456018519</v>
      </c>
      <c r="C385" t="n">
        <v>2</v>
      </c>
      <c r="D385" t="n">
        <v>1</v>
      </c>
      <c r="E385" t="s">
        <v>390</v>
      </c>
      <c r="F385">
        <f>HYPERLINK("http://pbs.twimg.com/media/DdNFYvRUwAEXAfT.jpg", "http://pbs.twimg.com/media/DdNFYvRUwAEXAfT.jpg")</f>
        <v/>
      </c>
      <c r="G385" t="s"/>
      <c r="H385" t="s"/>
      <c r="I385" t="s"/>
      <c r="J385" t="n">
        <v>-0.7616000000000001</v>
      </c>
      <c r="K385" t="n">
        <v>0.213</v>
      </c>
      <c r="L385" t="n">
        <v>0.676</v>
      </c>
      <c r="M385" t="n">
        <v>0.111</v>
      </c>
    </row>
    <row r="386" spans="1:13">
      <c r="A386" s="1">
        <f>HYPERLINK("http://www.twitter.com/NathanBLawrence/status/996215532864135174", "996215532864135174")</f>
        <v/>
      </c>
      <c r="B386" s="2" t="n">
        <v>43235.10261574074</v>
      </c>
      <c r="C386" t="n">
        <v>4</v>
      </c>
      <c r="D386" t="n">
        <v>2</v>
      </c>
      <c r="E386" t="s">
        <v>391</v>
      </c>
      <c r="F386">
        <f>HYPERLINK("http://pbs.twimg.com/media/DdNEvrEVAAAllXi.jpg", "http://pbs.twimg.com/media/DdNEvrEVAAAllXi.jpg")</f>
        <v/>
      </c>
      <c r="G386" t="s"/>
      <c r="H386" t="s"/>
      <c r="I386" t="s"/>
      <c r="J386" t="n">
        <v>-0.9042</v>
      </c>
      <c r="K386" t="n">
        <v>0.23</v>
      </c>
      <c r="L386" t="n">
        <v>0.724</v>
      </c>
      <c r="M386" t="n">
        <v>0.046</v>
      </c>
    </row>
    <row r="387" spans="1:13">
      <c r="A387" s="1">
        <f>HYPERLINK("http://www.twitter.com/NathanBLawrence/status/996214940032815104", "996214940032815104")</f>
        <v/>
      </c>
      <c r="B387" s="2" t="n">
        <v>43235.1009837963</v>
      </c>
      <c r="C387" t="n">
        <v>4</v>
      </c>
      <c r="D387" t="n">
        <v>2</v>
      </c>
      <c r="E387" t="s">
        <v>392</v>
      </c>
      <c r="F387">
        <f>HYPERLINK("http://pbs.twimg.com/media/DdNENG2V0AAt5NF.jpg", "http://pbs.twimg.com/media/DdNENG2V0AAt5NF.jpg")</f>
        <v/>
      </c>
      <c r="G387" t="s"/>
      <c r="H387" t="s"/>
      <c r="I387" t="s"/>
      <c r="J387" t="n">
        <v>-0.8868</v>
      </c>
      <c r="K387" t="n">
        <v>0.218</v>
      </c>
      <c r="L387" t="n">
        <v>0.74</v>
      </c>
      <c r="M387" t="n">
        <v>0.042</v>
      </c>
    </row>
    <row r="388" spans="1:13">
      <c r="A388" s="1">
        <f>HYPERLINK("http://www.twitter.com/NathanBLawrence/status/996214258563207168", "996214258563207168")</f>
        <v/>
      </c>
      <c r="B388" s="2" t="n">
        <v>43235.09909722222</v>
      </c>
      <c r="C388" t="n">
        <v>6</v>
      </c>
      <c r="D388" t="n">
        <v>4</v>
      </c>
      <c r="E388" t="s">
        <v>393</v>
      </c>
      <c r="F388">
        <f>HYPERLINK("http://pbs.twimg.com/media/DdNDlcSUQAIwly3.jpg", "http://pbs.twimg.com/media/DdNDlcSUQAIwly3.jpg")</f>
        <v/>
      </c>
      <c r="G388" t="s"/>
      <c r="H388" t="s"/>
      <c r="I388" t="s"/>
      <c r="J388" t="n">
        <v>-0.2023</v>
      </c>
      <c r="K388" t="n">
        <v>0.114</v>
      </c>
      <c r="L388" t="n">
        <v>0.787</v>
      </c>
      <c r="M388" t="n">
        <v>0.098</v>
      </c>
    </row>
    <row r="389" spans="1:13">
      <c r="A389" s="1">
        <f>HYPERLINK("http://www.twitter.com/NathanBLawrence/status/996213307806756864", "996213307806756864")</f>
        <v/>
      </c>
      <c r="B389" s="2" t="n">
        <v>43235.09646990741</v>
      </c>
      <c r="C389" t="n">
        <v>6</v>
      </c>
      <c r="D389" t="n">
        <v>3</v>
      </c>
      <c r="E389" t="s">
        <v>394</v>
      </c>
      <c r="F389">
        <f>HYPERLINK("http://pbs.twimg.com/media/DdNCuEfUQAActx6.jpg", "http://pbs.twimg.com/media/DdNCuEfUQAActx6.jpg")</f>
        <v/>
      </c>
      <c r="G389" t="s"/>
      <c r="H389" t="s"/>
      <c r="I389" t="s"/>
      <c r="J389" t="n">
        <v>0.2144</v>
      </c>
      <c r="K389" t="n">
        <v>0</v>
      </c>
      <c r="L389" t="n">
        <v>0.958</v>
      </c>
      <c r="M389" t="n">
        <v>0.042</v>
      </c>
    </row>
    <row r="390" spans="1:13">
      <c r="A390" s="1">
        <f>HYPERLINK("http://www.twitter.com/NathanBLawrence/status/996212513954988032", "996212513954988032")</f>
        <v/>
      </c>
      <c r="B390" s="2" t="n">
        <v>43235.09428240741</v>
      </c>
      <c r="C390" t="n">
        <v>10</v>
      </c>
      <c r="D390" t="n">
        <v>8</v>
      </c>
      <c r="E390" t="s">
        <v>395</v>
      </c>
      <c r="F390">
        <f>HYPERLINK("http://pbs.twimg.com/media/DdNB_5QU0AARAsq.jpg", "http://pbs.twimg.com/media/DdNB_5QU0AARAsq.jpg")</f>
        <v/>
      </c>
      <c r="G390" t="s"/>
      <c r="H390" t="s"/>
      <c r="I390" t="s"/>
      <c r="J390" t="n">
        <v>0.6597</v>
      </c>
      <c r="K390" t="n">
        <v>0</v>
      </c>
      <c r="L390" t="n">
        <v>0.893</v>
      </c>
      <c r="M390" t="n">
        <v>0.107</v>
      </c>
    </row>
    <row r="391" spans="1:13">
      <c r="A391" s="1">
        <f>HYPERLINK("http://www.twitter.com/NathanBLawrence/status/996206440372195328", "996206440372195328")</f>
        <v/>
      </c>
      <c r="B391" s="2" t="n">
        <v>43235.07752314815</v>
      </c>
      <c r="C391" t="n">
        <v>1</v>
      </c>
      <c r="D391" t="n">
        <v>0</v>
      </c>
      <c r="E391" t="s">
        <v>396</v>
      </c>
      <c r="F391" t="s"/>
      <c r="G391" t="s"/>
      <c r="H391" t="s"/>
      <c r="I391" t="s"/>
      <c r="J391" t="n">
        <v>0</v>
      </c>
      <c r="K391" t="n">
        <v>0</v>
      </c>
      <c r="L391" t="n">
        <v>1</v>
      </c>
      <c r="M391" t="n">
        <v>0</v>
      </c>
    </row>
    <row r="392" spans="1:13">
      <c r="A392" s="1">
        <f>HYPERLINK("http://www.twitter.com/NathanBLawrence/status/996205934589480960", "996205934589480960")</f>
        <v/>
      </c>
      <c r="B392" s="2" t="n">
        <v>43235.07613425926</v>
      </c>
      <c r="C392" t="n">
        <v>0</v>
      </c>
      <c r="D392" t="n">
        <v>0</v>
      </c>
      <c r="E392" t="s">
        <v>397</v>
      </c>
      <c r="F392" t="s"/>
      <c r="G392" t="s"/>
      <c r="H392" t="s"/>
      <c r="I392" t="s"/>
      <c r="J392" t="n">
        <v>-0.5574</v>
      </c>
      <c r="K392" t="n">
        <v>0.153</v>
      </c>
      <c r="L392" t="n">
        <v>0.789</v>
      </c>
      <c r="M392" t="n">
        <v>0.058</v>
      </c>
    </row>
    <row r="393" spans="1:13">
      <c r="A393" s="1">
        <f>HYPERLINK("http://www.twitter.com/NathanBLawrence/status/996197124651081729", "996197124651081729")</f>
        <v/>
      </c>
      <c r="B393" s="2" t="n">
        <v>43235.05181712963</v>
      </c>
      <c r="C393" t="n">
        <v>1</v>
      </c>
      <c r="D393" t="n">
        <v>1</v>
      </c>
      <c r="E393" t="s">
        <v>398</v>
      </c>
      <c r="F393">
        <f>HYPERLINK("http://pbs.twimg.com/media/DdM0AI4VwAA0aVo.jpg", "http://pbs.twimg.com/media/DdM0AI4VwAA0aVo.jpg")</f>
        <v/>
      </c>
      <c r="G393" t="s"/>
      <c r="H393" t="s"/>
      <c r="I393" t="s"/>
      <c r="J393" t="n">
        <v>0</v>
      </c>
      <c r="K393" t="n">
        <v>0</v>
      </c>
      <c r="L393" t="n">
        <v>1</v>
      </c>
      <c r="M393" t="n">
        <v>0</v>
      </c>
    </row>
    <row r="394" spans="1:13">
      <c r="A394" s="1">
        <f>HYPERLINK("http://www.twitter.com/NathanBLawrence/status/996196368258600960", "996196368258600960")</f>
        <v/>
      </c>
      <c r="B394" s="2" t="n">
        <v>43235.0497337963</v>
      </c>
      <c r="C394" t="n">
        <v>0</v>
      </c>
      <c r="D394" t="n">
        <v>3</v>
      </c>
      <c r="E394" t="s">
        <v>399</v>
      </c>
      <c r="F394">
        <f>HYPERLINK("http://pbs.twimg.com/media/DdMtns1V0AcWr5-.jpg", "http://pbs.twimg.com/media/DdMtns1V0AcWr5-.jpg")</f>
        <v/>
      </c>
      <c r="G394" t="s"/>
      <c r="H394" t="s"/>
      <c r="I394" t="s"/>
      <c r="J394" t="n">
        <v>-0.5478</v>
      </c>
      <c r="K394" t="n">
        <v>0.202</v>
      </c>
      <c r="L394" t="n">
        <v>0.798</v>
      </c>
      <c r="M394" t="n">
        <v>0</v>
      </c>
    </row>
    <row r="395" spans="1:13">
      <c r="A395" s="1">
        <f>HYPERLINK("http://www.twitter.com/NathanBLawrence/status/996196140612816899", "996196140612816899")</f>
        <v/>
      </c>
      <c r="B395" s="2" t="n">
        <v>43235.04910879629</v>
      </c>
      <c r="C395" t="n">
        <v>0</v>
      </c>
      <c r="D395" t="n">
        <v>0</v>
      </c>
      <c r="E395" t="s">
        <v>400</v>
      </c>
      <c r="F395">
        <f>HYPERLINK("http://pbs.twimg.com/media/DdMzGJYU8AEe5C_.jpg", "http://pbs.twimg.com/media/DdMzGJYU8AEe5C_.jpg")</f>
        <v/>
      </c>
      <c r="G395" t="s"/>
      <c r="H395" t="s"/>
      <c r="I395" t="s"/>
      <c r="J395" t="n">
        <v>0.1027</v>
      </c>
      <c r="K395" t="n">
        <v>0.112</v>
      </c>
      <c r="L395" t="n">
        <v>0.759</v>
      </c>
      <c r="M395" t="n">
        <v>0.129</v>
      </c>
    </row>
    <row r="396" spans="1:13">
      <c r="A396" s="1">
        <f>HYPERLINK("http://www.twitter.com/NathanBLawrence/status/996195853579837441", "996195853579837441")</f>
        <v/>
      </c>
      <c r="B396" s="2" t="n">
        <v>43235.04831018519</v>
      </c>
      <c r="C396" t="n">
        <v>2</v>
      </c>
      <c r="D396" t="n">
        <v>0</v>
      </c>
      <c r="E396" t="s">
        <v>401</v>
      </c>
      <c r="F396">
        <f>HYPERLINK("http://pbs.twimg.com/media/DdMy1WeV4AA1E7c.jpg", "http://pbs.twimg.com/media/DdMy1WeV4AA1E7c.jpg")</f>
        <v/>
      </c>
      <c r="G396" t="s"/>
      <c r="H396" t="s"/>
      <c r="I396" t="s"/>
      <c r="J396" t="n">
        <v>0.0516</v>
      </c>
      <c r="K396" t="n">
        <v>0.117</v>
      </c>
      <c r="L396" t="n">
        <v>0.789</v>
      </c>
      <c r="M396" t="n">
        <v>0.094</v>
      </c>
    </row>
    <row r="397" spans="1:13">
      <c r="A397" s="1">
        <f>HYPERLINK("http://www.twitter.com/NathanBLawrence/status/996195355921408000", "996195355921408000")</f>
        <v/>
      </c>
      <c r="B397" s="2" t="n">
        <v>43235.04693287037</v>
      </c>
      <c r="C397" t="n">
        <v>0</v>
      </c>
      <c r="D397" t="n">
        <v>13</v>
      </c>
      <c r="E397" t="s">
        <v>402</v>
      </c>
      <c r="F397" t="s"/>
      <c r="G397" t="s"/>
      <c r="H397" t="s"/>
      <c r="I397" t="s"/>
      <c r="J397" t="n">
        <v>-0.5859</v>
      </c>
      <c r="K397" t="n">
        <v>0.202</v>
      </c>
      <c r="L397" t="n">
        <v>0.798</v>
      </c>
      <c r="M397" t="n">
        <v>0</v>
      </c>
    </row>
    <row r="398" spans="1:13">
      <c r="A398" s="1">
        <f>HYPERLINK("http://www.twitter.com/NathanBLawrence/status/996195289731125249", "996195289731125249")</f>
        <v/>
      </c>
      <c r="B398" s="2" t="n">
        <v>43235.04675925926</v>
      </c>
      <c r="C398" t="n">
        <v>0</v>
      </c>
      <c r="D398" t="n">
        <v>6</v>
      </c>
      <c r="E398" t="s">
        <v>403</v>
      </c>
      <c r="F398" t="s"/>
      <c r="G398" t="s"/>
      <c r="H398" t="s"/>
      <c r="I398" t="s"/>
      <c r="J398" t="n">
        <v>-0.6573</v>
      </c>
      <c r="K398" t="n">
        <v>0.204</v>
      </c>
      <c r="L398" t="n">
        <v>0.796</v>
      </c>
      <c r="M398" t="n">
        <v>0</v>
      </c>
    </row>
    <row r="399" spans="1:13">
      <c r="A399" s="1">
        <f>HYPERLINK("http://www.twitter.com/NathanBLawrence/status/996195199893336069", "996195199893336069")</f>
        <v/>
      </c>
      <c r="B399" s="2" t="n">
        <v>43235.04650462963</v>
      </c>
      <c r="C399" t="n">
        <v>0</v>
      </c>
      <c r="D399" t="n">
        <v>12</v>
      </c>
      <c r="E399" t="s">
        <v>404</v>
      </c>
      <c r="F399" t="s"/>
      <c r="G399" t="s"/>
      <c r="H399" t="s"/>
      <c r="I399" t="s"/>
      <c r="J399" t="n">
        <v>-0.6249</v>
      </c>
      <c r="K399" t="n">
        <v>0.242</v>
      </c>
      <c r="L399" t="n">
        <v>0.758</v>
      </c>
      <c r="M399" t="n">
        <v>0</v>
      </c>
    </row>
    <row r="400" spans="1:13">
      <c r="A400" s="1">
        <f>HYPERLINK("http://www.twitter.com/NathanBLawrence/status/996191975484338176", "996191975484338176")</f>
        <v/>
      </c>
      <c r="B400" s="2" t="n">
        <v>43235.03760416667</v>
      </c>
      <c r="C400" t="n">
        <v>0</v>
      </c>
      <c r="D400" t="n">
        <v>3</v>
      </c>
      <c r="E400" t="s">
        <v>405</v>
      </c>
      <c r="F400">
        <f>HYPERLINK("http://pbs.twimg.com/media/DdKyOxLX4AA_1Bq.jpg", "http://pbs.twimg.com/media/DdKyOxLX4AA_1Bq.jpg")</f>
        <v/>
      </c>
      <c r="G400" t="s"/>
      <c r="H400" t="s"/>
      <c r="I400" t="s"/>
      <c r="J400" t="n">
        <v>0</v>
      </c>
      <c r="K400" t="n">
        <v>0</v>
      </c>
      <c r="L400" t="n">
        <v>1</v>
      </c>
      <c r="M400" t="n">
        <v>0</v>
      </c>
    </row>
    <row r="401" spans="1:13">
      <c r="A401" s="1">
        <f>HYPERLINK("http://www.twitter.com/NathanBLawrence/status/996191929045045248", "996191929045045248")</f>
        <v/>
      </c>
      <c r="B401" s="2" t="n">
        <v>43235.03747685185</v>
      </c>
      <c r="C401" t="n">
        <v>0</v>
      </c>
      <c r="D401" t="n">
        <v>2</v>
      </c>
      <c r="E401" t="s">
        <v>406</v>
      </c>
      <c r="F401">
        <f>HYPERLINK("http://pbs.twimg.com/media/DdKzp8TW4AAuJ1l.jpg", "http://pbs.twimg.com/media/DdKzp8TW4AAuJ1l.jpg")</f>
        <v/>
      </c>
      <c r="G401" t="s"/>
      <c r="H401" t="s"/>
      <c r="I401" t="s"/>
      <c r="J401" t="n">
        <v>-0.7783</v>
      </c>
      <c r="K401" t="n">
        <v>0.343</v>
      </c>
      <c r="L401" t="n">
        <v>0.657</v>
      </c>
      <c r="M401" t="n">
        <v>0</v>
      </c>
    </row>
    <row r="402" spans="1:13">
      <c r="A402" s="1">
        <f>HYPERLINK("http://www.twitter.com/NathanBLawrence/status/996191903950495744", "996191903950495744")</f>
        <v/>
      </c>
      <c r="B402" s="2" t="n">
        <v>43235.03740740741</v>
      </c>
      <c r="C402" t="n">
        <v>0</v>
      </c>
      <c r="D402" t="n">
        <v>2</v>
      </c>
      <c r="E402" t="s">
        <v>407</v>
      </c>
      <c r="F402" t="s"/>
      <c r="G402" t="s"/>
      <c r="H402" t="s"/>
      <c r="I402" t="s"/>
      <c r="J402" t="n">
        <v>0</v>
      </c>
      <c r="K402" t="n">
        <v>0</v>
      </c>
      <c r="L402" t="n">
        <v>1</v>
      </c>
      <c r="M402" t="n">
        <v>0</v>
      </c>
    </row>
    <row r="403" spans="1:13">
      <c r="A403" s="1">
        <f>HYPERLINK("http://www.twitter.com/NathanBLawrence/status/996191875714478080", "996191875714478080")</f>
        <v/>
      </c>
      <c r="B403" s="2" t="n">
        <v>43235.03733796296</v>
      </c>
      <c r="C403" t="n">
        <v>0</v>
      </c>
      <c r="D403" t="n">
        <v>2</v>
      </c>
      <c r="E403" t="s">
        <v>408</v>
      </c>
      <c r="F403">
        <f>HYPERLINK("http://pbs.twimg.com/media/DdK1b-KXUAAsZur.jpg", "http://pbs.twimg.com/media/DdK1b-KXUAAsZur.jpg")</f>
        <v/>
      </c>
      <c r="G403" t="s"/>
      <c r="H403" t="s"/>
      <c r="I403" t="s"/>
      <c r="J403" t="n">
        <v>-0.5562</v>
      </c>
      <c r="K403" t="n">
        <v>0.166</v>
      </c>
      <c r="L403" t="n">
        <v>0.834</v>
      </c>
      <c r="M403" t="n">
        <v>0</v>
      </c>
    </row>
    <row r="404" spans="1:13">
      <c r="A404" s="1">
        <f>HYPERLINK("http://www.twitter.com/NathanBLawrence/status/996191821704388609", "996191821704388609")</f>
        <v/>
      </c>
      <c r="B404" s="2" t="n">
        <v>43235.0371875</v>
      </c>
      <c r="C404" t="n">
        <v>0</v>
      </c>
      <c r="D404" t="n">
        <v>1</v>
      </c>
      <c r="E404" t="s">
        <v>409</v>
      </c>
      <c r="F404">
        <f>HYPERLINK("http://pbs.twimg.com/media/DdLGpYkXkAEFZ8q.jpg", "http://pbs.twimg.com/media/DdLGpYkXkAEFZ8q.jpg")</f>
        <v/>
      </c>
      <c r="G404" t="s"/>
      <c r="H404" t="s"/>
      <c r="I404" t="s"/>
      <c r="J404" t="n">
        <v>0</v>
      </c>
      <c r="K404" t="n">
        <v>0</v>
      </c>
      <c r="L404" t="n">
        <v>1</v>
      </c>
      <c r="M404" t="n">
        <v>0</v>
      </c>
    </row>
    <row r="405" spans="1:13">
      <c r="A405" s="1">
        <f>HYPERLINK("http://www.twitter.com/NathanBLawrence/status/996191766243106816", "996191766243106816")</f>
        <v/>
      </c>
      <c r="B405" s="2" t="n">
        <v>43235.03703703704</v>
      </c>
      <c r="C405" t="n">
        <v>0</v>
      </c>
      <c r="D405" t="n">
        <v>2</v>
      </c>
      <c r="E405" t="s">
        <v>410</v>
      </c>
      <c r="F405">
        <f>HYPERLINK("http://pbs.twimg.com/media/DdLLLC7XcAAS0ak.jpg", "http://pbs.twimg.com/media/DdLLLC7XcAAS0ak.jpg")</f>
        <v/>
      </c>
      <c r="G405" t="s"/>
      <c r="H405" t="s"/>
      <c r="I405" t="s"/>
      <c r="J405" t="n">
        <v>0.4466</v>
      </c>
      <c r="K405" t="n">
        <v>0</v>
      </c>
      <c r="L405" t="n">
        <v>0.866</v>
      </c>
      <c r="M405" t="n">
        <v>0.134</v>
      </c>
    </row>
    <row r="406" spans="1:13">
      <c r="A406" s="1">
        <f>HYPERLINK("http://www.twitter.com/NathanBLawrence/status/996191727231873024", "996191727231873024")</f>
        <v/>
      </c>
      <c r="B406" s="2" t="n">
        <v>43235.0369212963</v>
      </c>
      <c r="C406" t="n">
        <v>0</v>
      </c>
      <c r="D406" t="n">
        <v>2</v>
      </c>
      <c r="E406" t="s">
        <v>411</v>
      </c>
      <c r="F406">
        <f>HYPERLINK("http://pbs.twimg.com/media/DdLMKnJX4AAQAVy.jpg", "http://pbs.twimg.com/media/DdLMKnJX4AAQAVy.jpg")</f>
        <v/>
      </c>
      <c r="G406" t="s"/>
      <c r="H406" t="s"/>
      <c r="I406" t="s"/>
      <c r="J406" t="n">
        <v>-0.3094</v>
      </c>
      <c r="K406" t="n">
        <v>0.2</v>
      </c>
      <c r="L406" t="n">
        <v>0.6850000000000001</v>
      </c>
      <c r="M406" t="n">
        <v>0.114</v>
      </c>
    </row>
    <row r="407" spans="1:13">
      <c r="A407" s="1">
        <f>HYPERLINK("http://www.twitter.com/NathanBLawrence/status/996191674035515393", "996191674035515393")</f>
        <v/>
      </c>
      <c r="B407" s="2" t="n">
        <v>43235.03678240741</v>
      </c>
      <c r="C407" t="n">
        <v>0</v>
      </c>
      <c r="D407" t="n">
        <v>2</v>
      </c>
      <c r="E407" t="s">
        <v>412</v>
      </c>
      <c r="F407">
        <f>HYPERLINK("http://pbs.twimg.com/media/DdLQ3bcWsAAzUoR.jpg", "http://pbs.twimg.com/media/DdLQ3bcWsAAzUoR.jpg")</f>
        <v/>
      </c>
      <c r="G407" t="s"/>
      <c r="H407" t="s"/>
      <c r="I407" t="s"/>
      <c r="J407" t="n">
        <v>-0.4019</v>
      </c>
      <c r="K407" t="n">
        <v>0.13</v>
      </c>
      <c r="L407" t="n">
        <v>0.87</v>
      </c>
      <c r="M407" t="n">
        <v>0</v>
      </c>
    </row>
    <row r="408" spans="1:13">
      <c r="A408" s="1">
        <f>HYPERLINK("http://www.twitter.com/NathanBLawrence/status/996191602619101186", "996191602619101186")</f>
        <v/>
      </c>
      <c r="B408" s="2" t="n">
        <v>43235.03658564815</v>
      </c>
      <c r="C408" t="n">
        <v>0</v>
      </c>
      <c r="D408" t="n">
        <v>3</v>
      </c>
      <c r="E408" t="s">
        <v>413</v>
      </c>
      <c r="F408" t="s"/>
      <c r="G408" t="s"/>
      <c r="H408" t="s"/>
      <c r="I408" t="s"/>
      <c r="J408" t="n">
        <v>0.5574</v>
      </c>
      <c r="K408" t="n">
        <v>0.095</v>
      </c>
      <c r="L408" t="n">
        <v>0.661</v>
      </c>
      <c r="M408" t="n">
        <v>0.244</v>
      </c>
    </row>
    <row r="409" spans="1:13">
      <c r="A409" s="1">
        <f>HYPERLINK("http://www.twitter.com/NathanBLawrence/status/996191556259459074", "996191556259459074")</f>
        <v/>
      </c>
      <c r="B409" s="2" t="n">
        <v>43235.03645833334</v>
      </c>
      <c r="C409" t="n">
        <v>0</v>
      </c>
      <c r="D409" t="n">
        <v>1</v>
      </c>
      <c r="E409" t="s">
        <v>414</v>
      </c>
      <c r="F409" t="s"/>
      <c r="G409" t="s"/>
      <c r="H409" t="s"/>
      <c r="I409" t="s"/>
      <c r="J409" t="n">
        <v>-0.743</v>
      </c>
      <c r="K409" t="n">
        <v>0.31</v>
      </c>
      <c r="L409" t="n">
        <v>0.6899999999999999</v>
      </c>
      <c r="M409" t="n">
        <v>0</v>
      </c>
    </row>
    <row r="410" spans="1:13">
      <c r="A410" s="1">
        <f>HYPERLINK("http://www.twitter.com/NathanBLawrence/status/996191504212418560", "996191504212418560")</f>
        <v/>
      </c>
      <c r="B410" s="2" t="n">
        <v>43235.03630787037</v>
      </c>
      <c r="C410" t="n">
        <v>0</v>
      </c>
      <c r="D410" t="n">
        <v>2</v>
      </c>
      <c r="E410" t="s">
        <v>415</v>
      </c>
      <c r="F410">
        <f>HYPERLINK("http://pbs.twimg.com/media/DdLXWCAWAAA66qp.jpg", "http://pbs.twimg.com/media/DdLXWCAWAAA66qp.jpg")</f>
        <v/>
      </c>
      <c r="G410" t="s"/>
      <c r="H410" t="s"/>
      <c r="I410" t="s"/>
      <c r="J410" t="n">
        <v>0</v>
      </c>
      <c r="K410" t="n">
        <v>0</v>
      </c>
      <c r="L410" t="n">
        <v>1</v>
      </c>
      <c r="M410" t="n">
        <v>0</v>
      </c>
    </row>
    <row r="411" spans="1:13">
      <c r="A411" s="1">
        <f>HYPERLINK("http://www.twitter.com/NathanBLawrence/status/996191410348089344", "996191410348089344")</f>
        <v/>
      </c>
      <c r="B411" s="2" t="n">
        <v>43235.03605324074</v>
      </c>
      <c r="C411" t="n">
        <v>0</v>
      </c>
      <c r="D411" t="n">
        <v>2</v>
      </c>
      <c r="E411" t="s">
        <v>416</v>
      </c>
      <c r="F411">
        <f>HYPERLINK("http://pbs.twimg.com/media/DdL24vpXUAU85AZ.jpg", "http://pbs.twimg.com/media/DdL24vpXUAU85AZ.jpg")</f>
        <v/>
      </c>
      <c r="G411" t="s"/>
      <c r="H411" t="s"/>
      <c r="I411" t="s"/>
      <c r="J411" t="n">
        <v>-0.3612</v>
      </c>
      <c r="K411" t="n">
        <v>0.122</v>
      </c>
      <c r="L411" t="n">
        <v>0.878</v>
      </c>
      <c r="M411" t="n">
        <v>0</v>
      </c>
    </row>
    <row r="412" spans="1:13">
      <c r="A412" s="1">
        <f>HYPERLINK("http://www.twitter.com/NathanBLawrence/status/996191369491374080", "996191369491374080")</f>
        <v/>
      </c>
      <c r="B412" s="2" t="n">
        <v>43235.0359375</v>
      </c>
      <c r="C412" t="n">
        <v>0</v>
      </c>
      <c r="D412" t="n">
        <v>2</v>
      </c>
      <c r="E412" t="s">
        <v>417</v>
      </c>
      <c r="F412">
        <f>HYPERLINK("http://pbs.twimg.com/media/DdL4QalW4AMMFy6.jpg", "http://pbs.twimg.com/media/DdL4QalW4AMMFy6.jpg")</f>
        <v/>
      </c>
      <c r="G412" t="s"/>
      <c r="H412" t="s"/>
      <c r="I412" t="s"/>
      <c r="J412" t="n">
        <v>0</v>
      </c>
      <c r="K412" t="n">
        <v>0</v>
      </c>
      <c r="L412" t="n">
        <v>1</v>
      </c>
      <c r="M412" t="n">
        <v>0</v>
      </c>
    </row>
    <row r="413" spans="1:13">
      <c r="A413" s="1">
        <f>HYPERLINK("http://www.twitter.com/NathanBLawrence/status/996191313094733824", "996191313094733824")</f>
        <v/>
      </c>
      <c r="B413" s="2" t="n">
        <v>43235.03578703704</v>
      </c>
      <c r="C413" t="n">
        <v>0</v>
      </c>
      <c r="D413" t="n">
        <v>1</v>
      </c>
      <c r="E413" t="s">
        <v>418</v>
      </c>
      <c r="F413">
        <f>HYPERLINK("http://pbs.twimg.com/media/DdL9_LeWAAILcGO.jpg", "http://pbs.twimg.com/media/DdL9_LeWAAILcGO.jpg")</f>
        <v/>
      </c>
      <c r="G413" t="s"/>
      <c r="H413" t="s"/>
      <c r="I413" t="s"/>
      <c r="J413" t="n">
        <v>0.6249</v>
      </c>
      <c r="K413" t="n">
        <v>0</v>
      </c>
      <c r="L413" t="n">
        <v>0.718</v>
      </c>
      <c r="M413" t="n">
        <v>0.282</v>
      </c>
    </row>
    <row r="414" spans="1:13">
      <c r="A414" s="1">
        <f>HYPERLINK("http://www.twitter.com/NathanBLawrence/status/996191183989862401", "996191183989862401")</f>
        <v/>
      </c>
      <c r="B414" s="2" t="n">
        <v>43235.03542824074</v>
      </c>
      <c r="C414" t="n">
        <v>0</v>
      </c>
      <c r="D414" t="n">
        <v>2</v>
      </c>
      <c r="E414" t="s">
        <v>419</v>
      </c>
      <c r="F414" t="s"/>
      <c r="G414" t="s"/>
      <c r="H414" t="s"/>
      <c r="I414" t="s"/>
      <c r="J414" t="n">
        <v>0</v>
      </c>
      <c r="K414" t="n">
        <v>0.08699999999999999</v>
      </c>
      <c r="L414" t="n">
        <v>0.827</v>
      </c>
      <c r="M414" t="n">
        <v>0.08699999999999999</v>
      </c>
    </row>
    <row r="415" spans="1:13">
      <c r="A415" s="1">
        <f>HYPERLINK("http://www.twitter.com/NathanBLawrence/status/996191006432419840", "996191006432419840")</f>
        <v/>
      </c>
      <c r="B415" s="2" t="n">
        <v>43235.03493055556</v>
      </c>
      <c r="C415" t="n">
        <v>0</v>
      </c>
      <c r="D415" t="n">
        <v>5</v>
      </c>
      <c r="E415" t="s">
        <v>420</v>
      </c>
      <c r="F415" t="s"/>
      <c r="G415" t="s"/>
      <c r="H415" t="s"/>
      <c r="I415" t="s"/>
      <c r="J415" t="n">
        <v>0</v>
      </c>
      <c r="K415" t="n">
        <v>0</v>
      </c>
      <c r="L415" t="n">
        <v>1</v>
      </c>
      <c r="M415" t="n">
        <v>0</v>
      </c>
    </row>
    <row r="416" spans="1:13">
      <c r="A416" s="1">
        <f>HYPERLINK("http://www.twitter.com/NathanBLawrence/status/996190982092869632", "996190982092869632")</f>
        <v/>
      </c>
      <c r="B416" s="2" t="n">
        <v>43235.03487268519</v>
      </c>
      <c r="C416" t="n">
        <v>0</v>
      </c>
      <c r="D416" t="n">
        <v>9</v>
      </c>
      <c r="E416" t="s">
        <v>421</v>
      </c>
      <c r="F416" t="s"/>
      <c r="G416" t="s"/>
      <c r="H416" t="s"/>
      <c r="I416" t="s"/>
      <c r="J416" t="n">
        <v>0</v>
      </c>
      <c r="K416" t="n">
        <v>0</v>
      </c>
      <c r="L416" t="n">
        <v>1</v>
      </c>
      <c r="M416" t="n">
        <v>0</v>
      </c>
    </row>
    <row r="417" spans="1:13">
      <c r="A417" s="1">
        <f>HYPERLINK("http://www.twitter.com/NathanBLawrence/status/996190974228467712", "996190974228467712")</f>
        <v/>
      </c>
      <c r="B417" s="2" t="n">
        <v>43235.03484953703</v>
      </c>
      <c r="C417" t="n">
        <v>0</v>
      </c>
      <c r="D417" t="n">
        <v>5</v>
      </c>
      <c r="E417" t="s">
        <v>422</v>
      </c>
      <c r="F417" t="s"/>
      <c r="G417" t="s"/>
      <c r="H417" t="s"/>
      <c r="I417" t="s"/>
      <c r="J417" t="n">
        <v>0</v>
      </c>
      <c r="K417" t="n">
        <v>0</v>
      </c>
      <c r="L417" t="n">
        <v>1</v>
      </c>
      <c r="M417" t="n">
        <v>0</v>
      </c>
    </row>
    <row r="418" spans="1:13">
      <c r="A418" s="1">
        <f>HYPERLINK("http://www.twitter.com/NathanBLawrence/status/996190210655424517", "996190210655424517")</f>
        <v/>
      </c>
      <c r="B418" s="2" t="n">
        <v>43235.03274305556</v>
      </c>
      <c r="C418" t="n">
        <v>0</v>
      </c>
      <c r="D418" t="n">
        <v>4</v>
      </c>
      <c r="E418" t="s">
        <v>423</v>
      </c>
      <c r="F418" t="s"/>
      <c r="G418" t="s"/>
      <c r="H418" t="s"/>
      <c r="I418" t="s"/>
      <c r="J418" t="n">
        <v>0.875</v>
      </c>
      <c r="K418" t="n">
        <v>0</v>
      </c>
      <c r="L418" t="n">
        <v>0.6</v>
      </c>
      <c r="M418" t="n">
        <v>0.4</v>
      </c>
    </row>
    <row r="419" spans="1:13">
      <c r="A419" s="1">
        <f>HYPERLINK("http://www.twitter.com/NathanBLawrence/status/996190144184180737", "996190144184180737")</f>
        <v/>
      </c>
      <c r="B419" s="2" t="n">
        <v>43235.03255787037</v>
      </c>
      <c r="C419" t="n">
        <v>0</v>
      </c>
      <c r="D419" t="n">
        <v>14</v>
      </c>
      <c r="E419" t="s">
        <v>424</v>
      </c>
      <c r="F419" t="s"/>
      <c r="G419" t="s"/>
      <c r="H419" t="s"/>
      <c r="I419" t="s"/>
      <c r="J419" t="n">
        <v>0.1531</v>
      </c>
      <c r="K419" t="n">
        <v>0.137</v>
      </c>
      <c r="L419" t="n">
        <v>0.703</v>
      </c>
      <c r="M419" t="n">
        <v>0.16</v>
      </c>
    </row>
    <row r="420" spans="1:13">
      <c r="A420" s="1">
        <f>HYPERLINK("http://www.twitter.com/NathanBLawrence/status/996190107504955393", "996190107504955393")</f>
        <v/>
      </c>
      <c r="B420" s="2" t="n">
        <v>43235.0324537037</v>
      </c>
      <c r="C420" t="n">
        <v>2</v>
      </c>
      <c r="D420" t="n">
        <v>3</v>
      </c>
      <c r="E420" t="s">
        <v>425</v>
      </c>
      <c r="F420">
        <f>HYPERLINK("http://pbs.twimg.com/media/DdMtns1V0AcWr5-.jpg", "http://pbs.twimg.com/media/DdMtns1V0AcWr5-.jpg")</f>
        <v/>
      </c>
      <c r="G420" t="s"/>
      <c r="H420" t="s"/>
      <c r="I420" t="s"/>
      <c r="J420" t="n">
        <v>-0.5478</v>
      </c>
      <c r="K420" t="n">
        <v>0.172</v>
      </c>
      <c r="L420" t="n">
        <v>0.828</v>
      </c>
      <c r="M420" t="n">
        <v>0</v>
      </c>
    </row>
    <row r="421" spans="1:13">
      <c r="A421" s="1">
        <f>HYPERLINK("http://www.twitter.com/NathanBLawrence/status/996189255931219969", "996189255931219969")</f>
        <v/>
      </c>
      <c r="B421" s="2" t="n">
        <v>43235.03010416667</v>
      </c>
      <c r="C421" t="n">
        <v>0</v>
      </c>
      <c r="D421" t="n">
        <v>2</v>
      </c>
      <c r="E421" t="s">
        <v>426</v>
      </c>
      <c r="F421" t="s"/>
      <c r="G421" t="s"/>
      <c r="H421" t="s"/>
      <c r="I421" t="s"/>
      <c r="J421" t="n">
        <v>-0.2732</v>
      </c>
      <c r="K421" t="n">
        <v>0.189</v>
      </c>
      <c r="L421" t="n">
        <v>0.8110000000000001</v>
      </c>
      <c r="M421" t="n">
        <v>0</v>
      </c>
    </row>
    <row r="422" spans="1:13">
      <c r="A422" s="1">
        <f>HYPERLINK("http://www.twitter.com/NathanBLawrence/status/996189151568461825", "996189151568461825")</f>
        <v/>
      </c>
      <c r="B422" s="2" t="n">
        <v>43235.02981481481</v>
      </c>
      <c r="C422" t="n">
        <v>0</v>
      </c>
      <c r="D422" t="n">
        <v>14</v>
      </c>
      <c r="E422" t="s">
        <v>427</v>
      </c>
      <c r="F422" t="s"/>
      <c r="G422" t="s"/>
      <c r="H422" t="s"/>
      <c r="I422" t="s"/>
      <c r="J422" t="n">
        <v>-0.296</v>
      </c>
      <c r="K422" t="n">
        <v>0.095</v>
      </c>
      <c r="L422" t="n">
        <v>0.905</v>
      </c>
      <c r="M422" t="n">
        <v>0</v>
      </c>
    </row>
    <row r="423" spans="1:13">
      <c r="A423" s="1">
        <f>HYPERLINK("http://www.twitter.com/NathanBLawrence/status/996189129384824832", "996189129384824832")</f>
        <v/>
      </c>
      <c r="B423" s="2" t="n">
        <v>43235.02975694444</v>
      </c>
      <c r="C423" t="n">
        <v>0</v>
      </c>
      <c r="D423" t="n">
        <v>25</v>
      </c>
      <c r="E423" t="s">
        <v>428</v>
      </c>
      <c r="F423">
        <f>HYPERLINK("http://pbs.twimg.com/media/DdL_Qf5WkAAFmlm.jpg", "http://pbs.twimg.com/media/DdL_Qf5WkAAFmlm.jpg")</f>
        <v/>
      </c>
      <c r="G423" t="s"/>
      <c r="H423" t="s"/>
      <c r="I423" t="s"/>
      <c r="J423" t="n">
        <v>-0.4184</v>
      </c>
      <c r="K423" t="n">
        <v>0.108</v>
      </c>
      <c r="L423" t="n">
        <v>0.892</v>
      </c>
      <c r="M423" t="n">
        <v>0</v>
      </c>
    </row>
    <row r="424" spans="1:13">
      <c r="A424" s="1">
        <f>HYPERLINK("http://www.twitter.com/NathanBLawrence/status/996189050074787840", "996189050074787840")</f>
        <v/>
      </c>
      <c r="B424" s="2" t="n">
        <v>43235.02953703704</v>
      </c>
      <c r="C424" t="n">
        <v>0</v>
      </c>
      <c r="D424" t="n">
        <v>10</v>
      </c>
      <c r="E424" t="s">
        <v>429</v>
      </c>
      <c r="F424" t="s"/>
      <c r="G424" t="s"/>
      <c r="H424" t="s"/>
      <c r="I424" t="s"/>
      <c r="J424" t="n">
        <v>-0.6868</v>
      </c>
      <c r="K424" t="n">
        <v>0.23</v>
      </c>
      <c r="L424" t="n">
        <v>0.77</v>
      </c>
      <c r="M424" t="n">
        <v>0</v>
      </c>
    </row>
    <row r="425" spans="1:13">
      <c r="A425" s="1">
        <f>HYPERLINK("http://www.twitter.com/NathanBLawrence/status/996189033398177792", "996189033398177792")</f>
        <v/>
      </c>
      <c r="B425" s="2" t="n">
        <v>43235.02949074074</v>
      </c>
      <c r="C425" t="n">
        <v>0</v>
      </c>
      <c r="D425" t="n">
        <v>6</v>
      </c>
      <c r="E425" t="s">
        <v>430</v>
      </c>
      <c r="F425" t="s"/>
      <c r="G425" t="s"/>
      <c r="H425" t="s"/>
      <c r="I425" t="s"/>
      <c r="J425" t="n">
        <v>-0.0207</v>
      </c>
      <c r="K425" t="n">
        <v>0.176</v>
      </c>
      <c r="L425" t="n">
        <v>0.65</v>
      </c>
      <c r="M425" t="n">
        <v>0.173</v>
      </c>
    </row>
    <row r="426" spans="1:13">
      <c r="A426" s="1">
        <f>HYPERLINK("http://www.twitter.com/NathanBLawrence/status/996188981120430082", "996188981120430082")</f>
        <v/>
      </c>
      <c r="B426" s="2" t="n">
        <v>43235.02935185185</v>
      </c>
      <c r="C426" t="n">
        <v>0</v>
      </c>
      <c r="D426" t="n">
        <v>3</v>
      </c>
      <c r="E426" t="s">
        <v>431</v>
      </c>
      <c r="F426">
        <f>HYPERLINK("http://pbs.twimg.com/media/DdL_1_OXkAAZK42.jpg", "http://pbs.twimg.com/media/DdL_1_OXkAAZK42.jpg")</f>
        <v/>
      </c>
      <c r="G426" t="s"/>
      <c r="H426" t="s"/>
      <c r="I426" t="s"/>
      <c r="J426" t="n">
        <v>0</v>
      </c>
      <c r="K426" t="n">
        <v>0</v>
      </c>
      <c r="L426" t="n">
        <v>1</v>
      </c>
      <c r="M426" t="n">
        <v>0</v>
      </c>
    </row>
    <row r="427" spans="1:13">
      <c r="A427" s="1">
        <f>HYPERLINK("http://www.twitter.com/NathanBLawrence/status/996188782654382080", "996188782654382080")</f>
        <v/>
      </c>
      <c r="B427" s="2" t="n">
        <v>43235.0287962963</v>
      </c>
      <c r="C427" t="n">
        <v>0</v>
      </c>
      <c r="D427" t="n">
        <v>34</v>
      </c>
      <c r="E427" t="s">
        <v>432</v>
      </c>
      <c r="F427">
        <f>HYPERLINK("http://pbs.twimg.com/media/DdMo_hGWAAA9-6q.jpg", "http://pbs.twimg.com/media/DdMo_hGWAAA9-6q.jpg")</f>
        <v/>
      </c>
      <c r="G427" t="s"/>
      <c r="H427" t="s"/>
      <c r="I427" t="s"/>
      <c r="J427" t="n">
        <v>-0.3578</v>
      </c>
      <c r="K427" t="n">
        <v>0.112</v>
      </c>
      <c r="L427" t="n">
        <v>0.837</v>
      </c>
      <c r="M427" t="n">
        <v>0.05</v>
      </c>
    </row>
    <row r="428" spans="1:13">
      <c r="A428" s="1">
        <f>HYPERLINK("http://www.twitter.com/NathanBLawrence/status/996188729474715648", "996188729474715648")</f>
        <v/>
      </c>
      <c r="B428" s="2" t="n">
        <v>43235.02865740741</v>
      </c>
      <c r="C428" t="n">
        <v>0</v>
      </c>
      <c r="D428" t="n">
        <v>2</v>
      </c>
      <c r="E428" t="s">
        <v>433</v>
      </c>
      <c r="F428" t="s"/>
      <c r="G428" t="s"/>
      <c r="H428" t="s"/>
      <c r="I428" t="s"/>
      <c r="J428" t="n">
        <v>-0.6688</v>
      </c>
      <c r="K428" t="n">
        <v>0.276</v>
      </c>
      <c r="L428" t="n">
        <v>0.724</v>
      </c>
      <c r="M428" t="n">
        <v>0</v>
      </c>
    </row>
    <row r="429" spans="1:13">
      <c r="A429" s="1">
        <f>HYPERLINK("http://www.twitter.com/NathanBLawrence/status/996188338792083458", "996188338792083458")</f>
        <v/>
      </c>
      <c r="B429" s="2" t="n">
        <v>43235.02756944444</v>
      </c>
      <c r="C429" t="n">
        <v>0</v>
      </c>
      <c r="D429" t="n">
        <v>48</v>
      </c>
      <c r="E429" t="s">
        <v>434</v>
      </c>
      <c r="F429">
        <f>HYPERLINK("https://video.twimg.com/amplify_video/961643200204058624/vid/1280x720/Id6wAgKSujzmQVZO.mp4", "https://video.twimg.com/amplify_video/961643200204058624/vid/1280x720/Id6wAgKSujzmQVZO.mp4")</f>
        <v/>
      </c>
      <c r="G429" t="s"/>
      <c r="H429" t="s"/>
      <c r="I429" t="s"/>
      <c r="J429" t="n">
        <v>0.5719</v>
      </c>
      <c r="K429" t="n">
        <v>0</v>
      </c>
      <c r="L429" t="n">
        <v>0.836</v>
      </c>
      <c r="M429" t="n">
        <v>0.164</v>
      </c>
    </row>
    <row r="430" spans="1:13">
      <c r="A430" s="1">
        <f>HYPERLINK("http://www.twitter.com/NathanBLawrence/status/996188294798077952", "996188294798077952")</f>
        <v/>
      </c>
      <c r="B430" s="2" t="n">
        <v>43235.0274537037</v>
      </c>
      <c r="C430" t="n">
        <v>0</v>
      </c>
      <c r="D430" t="n">
        <v>55</v>
      </c>
      <c r="E430" t="s">
        <v>435</v>
      </c>
      <c r="F430" t="s"/>
      <c r="G430" t="s"/>
      <c r="H430" t="s"/>
      <c r="I430" t="s"/>
      <c r="J430" t="n">
        <v>0.5023</v>
      </c>
      <c r="K430" t="n">
        <v>0.068</v>
      </c>
      <c r="L430" t="n">
        <v>0.791</v>
      </c>
      <c r="M430" t="n">
        <v>0.142</v>
      </c>
    </row>
    <row r="431" spans="1:13">
      <c r="A431" s="1">
        <f>HYPERLINK("http://www.twitter.com/NathanBLawrence/status/996187952526057472", "996187952526057472")</f>
        <v/>
      </c>
      <c r="B431" s="2" t="n">
        <v>43235.02650462963</v>
      </c>
      <c r="C431" t="n">
        <v>0</v>
      </c>
      <c r="D431" t="n">
        <v>0</v>
      </c>
      <c r="E431" t="s">
        <v>436</v>
      </c>
      <c r="F431" t="s"/>
      <c r="G431" t="s"/>
      <c r="H431" t="s"/>
      <c r="I431" t="s"/>
      <c r="J431" t="n">
        <v>-0.907</v>
      </c>
      <c r="K431" t="n">
        <v>0.333</v>
      </c>
      <c r="L431" t="n">
        <v>0.613</v>
      </c>
      <c r="M431" t="n">
        <v>0.055</v>
      </c>
    </row>
    <row r="432" spans="1:13">
      <c r="A432" s="1">
        <f>HYPERLINK("http://www.twitter.com/NathanBLawrence/status/996187297191211008", "996187297191211008")</f>
        <v/>
      </c>
      <c r="B432" s="2" t="n">
        <v>43235.02469907407</v>
      </c>
      <c r="C432" t="n">
        <v>0</v>
      </c>
      <c r="D432" t="n">
        <v>0</v>
      </c>
      <c r="E432" t="s">
        <v>437</v>
      </c>
      <c r="F432" t="s"/>
      <c r="G432" t="s"/>
      <c r="H432" t="s"/>
      <c r="I432" t="s"/>
      <c r="J432" t="n">
        <v>0.4019</v>
      </c>
      <c r="K432" t="n">
        <v>0</v>
      </c>
      <c r="L432" t="n">
        <v>0.722</v>
      </c>
      <c r="M432" t="n">
        <v>0.278</v>
      </c>
    </row>
    <row r="433" spans="1:13">
      <c r="A433" s="1">
        <f>HYPERLINK("http://www.twitter.com/NathanBLawrence/status/996187105675096064", "996187105675096064")</f>
        <v/>
      </c>
      <c r="B433" s="2" t="n">
        <v>43235.02416666667</v>
      </c>
      <c r="C433" t="n">
        <v>0</v>
      </c>
      <c r="D433" t="n">
        <v>21</v>
      </c>
      <c r="E433" t="s">
        <v>438</v>
      </c>
      <c r="F433" t="s"/>
      <c r="G433" t="s"/>
      <c r="H433" t="s"/>
      <c r="I433" t="s"/>
      <c r="J433" t="n">
        <v>0</v>
      </c>
      <c r="K433" t="n">
        <v>0</v>
      </c>
      <c r="L433" t="n">
        <v>1</v>
      </c>
      <c r="M433" t="n">
        <v>0</v>
      </c>
    </row>
    <row r="434" spans="1:13">
      <c r="A434" s="1">
        <f>HYPERLINK("http://www.twitter.com/NathanBLawrence/status/996187094409269249", "996187094409269249")</f>
        <v/>
      </c>
      <c r="B434" s="2" t="n">
        <v>43235.02414351852</v>
      </c>
      <c r="C434" t="n">
        <v>0</v>
      </c>
      <c r="D434" t="n">
        <v>1</v>
      </c>
      <c r="E434" t="s">
        <v>439</v>
      </c>
      <c r="F434" t="s"/>
      <c r="G434" t="s"/>
      <c r="H434" t="s"/>
      <c r="I434" t="s"/>
      <c r="J434" t="n">
        <v>0</v>
      </c>
      <c r="K434" t="n">
        <v>0</v>
      </c>
      <c r="L434" t="n">
        <v>1</v>
      </c>
      <c r="M434" t="n">
        <v>0</v>
      </c>
    </row>
    <row r="435" spans="1:13">
      <c r="A435" s="1">
        <f>HYPERLINK("http://www.twitter.com/NathanBLawrence/status/996187016424542208", "996187016424542208")</f>
        <v/>
      </c>
      <c r="B435" s="2" t="n">
        <v>43235.02392361111</v>
      </c>
      <c r="C435" t="n">
        <v>1</v>
      </c>
      <c r="D435" t="n">
        <v>1</v>
      </c>
      <c r="E435" t="s">
        <v>440</v>
      </c>
      <c r="F435" t="s"/>
      <c r="G435" t="s"/>
      <c r="H435" t="s"/>
      <c r="I435" t="s"/>
      <c r="J435" t="n">
        <v>-0.6369</v>
      </c>
      <c r="K435" t="n">
        <v>0.154</v>
      </c>
      <c r="L435" t="n">
        <v>0.792</v>
      </c>
      <c r="M435" t="n">
        <v>0.054</v>
      </c>
    </row>
    <row r="436" spans="1:13">
      <c r="A436" s="1">
        <f>HYPERLINK("http://www.twitter.com/NathanBLawrence/status/996167927454986243", "996167927454986243")</f>
        <v/>
      </c>
      <c r="B436" s="2" t="n">
        <v>43234.97125</v>
      </c>
      <c r="C436" t="n">
        <v>0</v>
      </c>
      <c r="D436" t="n">
        <v>6</v>
      </c>
      <c r="E436" t="s">
        <v>441</v>
      </c>
      <c r="F436">
        <f>HYPERLINK("https://video.twimg.com/ext_tw_video/996136293829632001/pu/vid/176x144/c-vb1ryDhCHOYCNU.mp4?tag=3", "https://video.twimg.com/ext_tw_video/996136293829632001/pu/vid/176x144/c-vb1ryDhCHOYCNU.mp4?tag=3")</f>
        <v/>
      </c>
      <c r="G436" t="s"/>
      <c r="H436" t="s"/>
      <c r="I436" t="s"/>
      <c r="J436" t="n">
        <v>0</v>
      </c>
      <c r="K436" t="n">
        <v>0</v>
      </c>
      <c r="L436" t="n">
        <v>1</v>
      </c>
      <c r="M436" t="n">
        <v>0</v>
      </c>
    </row>
    <row r="437" spans="1:13">
      <c r="A437" s="1">
        <f>HYPERLINK("http://www.twitter.com/NathanBLawrence/status/996155401577132032", "996155401577132032")</f>
        <v/>
      </c>
      <c r="B437" s="2" t="n">
        <v>43234.93668981481</v>
      </c>
      <c r="C437" t="n">
        <v>1</v>
      </c>
      <c r="D437" t="n">
        <v>0</v>
      </c>
      <c r="E437" t="s">
        <v>442</v>
      </c>
      <c r="F437" t="s"/>
      <c r="G437" t="s"/>
      <c r="H437" t="s"/>
      <c r="I437" t="s"/>
      <c r="J437" t="n">
        <v>0.872</v>
      </c>
      <c r="K437" t="n">
        <v>0</v>
      </c>
      <c r="L437" t="n">
        <v>0.609</v>
      </c>
      <c r="M437" t="n">
        <v>0.391</v>
      </c>
    </row>
    <row r="438" spans="1:13">
      <c r="A438" s="1">
        <f>HYPERLINK("http://www.twitter.com/NathanBLawrence/status/996153616846159872", "996153616846159872")</f>
        <v/>
      </c>
      <c r="B438" s="2" t="n">
        <v>43234.93175925926</v>
      </c>
      <c r="C438" t="n">
        <v>2</v>
      </c>
      <c r="D438" t="n">
        <v>2</v>
      </c>
      <c r="E438" t="s">
        <v>443</v>
      </c>
      <c r="F438" t="s"/>
      <c r="G438" t="s"/>
      <c r="H438" t="s"/>
      <c r="I438" t="s"/>
      <c r="J438" t="n">
        <v>-0.8625</v>
      </c>
      <c r="K438" t="n">
        <v>0.203</v>
      </c>
      <c r="L438" t="n">
        <v>0.759</v>
      </c>
      <c r="M438" t="n">
        <v>0.038</v>
      </c>
    </row>
    <row r="439" spans="1:13">
      <c r="A439" s="1">
        <f>HYPERLINK("http://www.twitter.com/NathanBLawrence/status/996153023033495553", "996153023033495553")</f>
        <v/>
      </c>
      <c r="B439" s="2" t="n">
        <v>43234.93011574074</v>
      </c>
      <c r="C439" t="n">
        <v>1</v>
      </c>
      <c r="D439" t="n">
        <v>0</v>
      </c>
      <c r="E439" t="s">
        <v>444</v>
      </c>
      <c r="F439" t="s"/>
      <c r="G439" t="s"/>
      <c r="H439" t="s"/>
      <c r="I439" t="s"/>
      <c r="J439" t="n">
        <v>0.4404</v>
      </c>
      <c r="K439" t="n">
        <v>0</v>
      </c>
      <c r="L439" t="n">
        <v>0.734</v>
      </c>
      <c r="M439" t="n">
        <v>0.266</v>
      </c>
    </row>
    <row r="440" spans="1:13">
      <c r="A440" s="1">
        <f>HYPERLINK("http://www.twitter.com/NathanBLawrence/status/996152429707169792", "996152429707169792")</f>
        <v/>
      </c>
      <c r="B440" s="2" t="n">
        <v>43234.9284837963</v>
      </c>
      <c r="C440" t="n">
        <v>0</v>
      </c>
      <c r="D440" t="n">
        <v>3</v>
      </c>
      <c r="E440" t="s">
        <v>445</v>
      </c>
      <c r="F440" t="s"/>
      <c r="G440" t="s"/>
      <c r="H440" t="s"/>
      <c r="I440" t="s"/>
      <c r="J440" t="n">
        <v>-0.3818</v>
      </c>
      <c r="K440" t="n">
        <v>0.106</v>
      </c>
      <c r="L440" t="n">
        <v>0.894</v>
      </c>
      <c r="M440" t="n">
        <v>0</v>
      </c>
    </row>
    <row r="441" spans="1:13">
      <c r="A441" s="1">
        <f>HYPERLINK("http://www.twitter.com/NathanBLawrence/status/996149216455135232", "996149216455135232")</f>
        <v/>
      </c>
      <c r="B441" s="2" t="n">
        <v>43234.91961805556</v>
      </c>
      <c r="C441" t="n">
        <v>1</v>
      </c>
      <c r="D441" t="n">
        <v>0</v>
      </c>
      <c r="E441" t="s">
        <v>446</v>
      </c>
      <c r="F441" t="s"/>
      <c r="G441" t="s"/>
      <c r="H441" t="s"/>
      <c r="I441" t="s"/>
      <c r="J441" t="n">
        <v>-0.6908</v>
      </c>
      <c r="K441" t="n">
        <v>0.176</v>
      </c>
      <c r="L441" t="n">
        <v>0.766</v>
      </c>
      <c r="M441" t="n">
        <v>0.058</v>
      </c>
    </row>
    <row r="442" spans="1:13">
      <c r="A442" s="1">
        <f>HYPERLINK("http://www.twitter.com/NathanBLawrence/status/996147771714555904", "996147771714555904")</f>
        <v/>
      </c>
      <c r="B442" s="2" t="n">
        <v>43234.915625</v>
      </c>
      <c r="C442" t="n">
        <v>0</v>
      </c>
      <c r="D442" t="n">
        <v>78</v>
      </c>
      <c r="E442" t="s">
        <v>447</v>
      </c>
      <c r="F442" t="s"/>
      <c r="G442" t="s"/>
      <c r="H442" t="s"/>
      <c r="I442" t="s"/>
      <c r="J442" t="n">
        <v>0.4019</v>
      </c>
      <c r="K442" t="n">
        <v>0</v>
      </c>
      <c r="L442" t="n">
        <v>0.847</v>
      </c>
      <c r="M442" t="n">
        <v>0.153</v>
      </c>
    </row>
    <row r="443" spans="1:13">
      <c r="A443" s="1">
        <f>HYPERLINK("http://www.twitter.com/NathanBLawrence/status/996147759337140224", "996147759337140224")</f>
        <v/>
      </c>
      <c r="B443" s="2" t="n">
        <v>43234.91560185186</v>
      </c>
      <c r="C443" t="n">
        <v>4</v>
      </c>
      <c r="D443" t="n">
        <v>1</v>
      </c>
      <c r="E443" t="s">
        <v>448</v>
      </c>
      <c r="F443">
        <f>HYPERLINK("http://pbs.twimg.com/media/DdMHDhFXkAA9FFa.jpg", "http://pbs.twimg.com/media/DdMHDhFXkAA9FFa.jpg")</f>
        <v/>
      </c>
      <c r="G443" t="s"/>
      <c r="H443" t="s"/>
      <c r="I443" t="s"/>
      <c r="J443" t="n">
        <v>-0.7885</v>
      </c>
      <c r="K443" t="n">
        <v>0.332</v>
      </c>
      <c r="L443" t="n">
        <v>0.668</v>
      </c>
      <c r="M443" t="n">
        <v>0</v>
      </c>
    </row>
    <row r="444" spans="1:13">
      <c r="A444" s="1">
        <f>HYPERLINK("http://www.twitter.com/NathanBLawrence/status/996147221933551617", "996147221933551617")</f>
        <v/>
      </c>
      <c r="B444" s="2" t="n">
        <v>43234.9141087963</v>
      </c>
      <c r="C444" t="n">
        <v>0</v>
      </c>
      <c r="D444" t="n">
        <v>30</v>
      </c>
      <c r="E444" t="s">
        <v>449</v>
      </c>
      <c r="F444" t="s"/>
      <c r="G444" t="s"/>
      <c r="H444" t="s"/>
      <c r="I444" t="s"/>
      <c r="J444" t="n">
        <v>0.4019</v>
      </c>
      <c r="K444" t="n">
        <v>0</v>
      </c>
      <c r="L444" t="n">
        <v>0.856</v>
      </c>
      <c r="M444" t="n">
        <v>0.144</v>
      </c>
    </row>
    <row r="445" spans="1:13">
      <c r="A445" s="1">
        <f>HYPERLINK("http://www.twitter.com/NathanBLawrence/status/996147211082792960", "996147211082792960")</f>
        <v/>
      </c>
      <c r="B445" s="2" t="n">
        <v>43234.91408564815</v>
      </c>
      <c r="C445" t="n">
        <v>0</v>
      </c>
      <c r="D445" t="n">
        <v>32</v>
      </c>
      <c r="E445" t="s">
        <v>450</v>
      </c>
      <c r="F445" t="s"/>
      <c r="G445" t="s"/>
      <c r="H445" t="s"/>
      <c r="I445" t="s"/>
      <c r="J445" t="n">
        <v>0</v>
      </c>
      <c r="K445" t="n">
        <v>0</v>
      </c>
      <c r="L445" t="n">
        <v>1</v>
      </c>
      <c r="M445" t="n">
        <v>0</v>
      </c>
    </row>
    <row r="446" spans="1:13">
      <c r="A446" s="1">
        <f>HYPERLINK("http://www.twitter.com/NathanBLawrence/status/996147199636537344", "996147199636537344")</f>
        <v/>
      </c>
      <c r="B446" s="2" t="n">
        <v>43234.91405092592</v>
      </c>
      <c r="C446" t="n">
        <v>0</v>
      </c>
      <c r="D446" t="n">
        <v>14</v>
      </c>
      <c r="E446" t="s">
        <v>451</v>
      </c>
      <c r="F446" t="s"/>
      <c r="G446" t="s"/>
      <c r="H446" t="s"/>
      <c r="I446" t="s"/>
      <c r="J446" t="n">
        <v>0</v>
      </c>
      <c r="K446" t="n">
        <v>0</v>
      </c>
      <c r="L446" t="n">
        <v>1</v>
      </c>
      <c r="M446" t="n">
        <v>0</v>
      </c>
    </row>
    <row r="447" spans="1:13">
      <c r="A447" s="1">
        <f>HYPERLINK("http://www.twitter.com/NathanBLawrence/status/996143590840692737", "996143590840692737")</f>
        <v/>
      </c>
      <c r="B447" s="2" t="n">
        <v>43234.90409722222</v>
      </c>
      <c r="C447" t="n">
        <v>0</v>
      </c>
      <c r="D447" t="n">
        <v>12</v>
      </c>
      <c r="E447" t="s">
        <v>452</v>
      </c>
      <c r="F447" t="s"/>
      <c r="G447" t="s"/>
      <c r="H447" t="s"/>
      <c r="I447" t="s"/>
      <c r="J447" t="n">
        <v>0</v>
      </c>
      <c r="K447" t="n">
        <v>0</v>
      </c>
      <c r="L447" t="n">
        <v>1</v>
      </c>
      <c r="M447" t="n">
        <v>0</v>
      </c>
    </row>
    <row r="448" spans="1:13">
      <c r="A448" s="1">
        <f>HYPERLINK("http://www.twitter.com/NathanBLawrence/status/996141283436621826", "996141283436621826")</f>
        <v/>
      </c>
      <c r="B448" s="2" t="n">
        <v>43234.89773148148</v>
      </c>
      <c r="C448" t="n">
        <v>0</v>
      </c>
      <c r="D448" t="n">
        <v>2</v>
      </c>
      <c r="E448" t="s">
        <v>453</v>
      </c>
      <c r="F448">
        <f>HYPERLINK("http://pbs.twimg.com/media/DdLGH_rXUAAYJhB.jpg", "http://pbs.twimg.com/media/DdLGH_rXUAAYJhB.jpg")</f>
        <v/>
      </c>
      <c r="G448" t="s"/>
      <c r="H448" t="s"/>
      <c r="I448" t="s"/>
      <c r="J448" t="n">
        <v>-0.2263</v>
      </c>
      <c r="K448" t="n">
        <v>0.08699999999999999</v>
      </c>
      <c r="L448" t="n">
        <v>0.913</v>
      </c>
      <c r="M448" t="n">
        <v>0</v>
      </c>
    </row>
    <row r="449" spans="1:13">
      <c r="A449" s="1">
        <f>HYPERLINK("http://www.twitter.com/NathanBLawrence/status/996141248166744066", "996141248166744066")</f>
        <v/>
      </c>
      <c r="B449" s="2" t="n">
        <v>43234.89762731481</v>
      </c>
      <c r="C449" t="n">
        <v>0</v>
      </c>
      <c r="D449" t="n">
        <v>1</v>
      </c>
      <c r="E449" t="s">
        <v>454</v>
      </c>
      <c r="F449">
        <f>HYPERLINK("http://pbs.twimg.com/media/DdLKnKaX4AQM9j3.jpg", "http://pbs.twimg.com/media/DdLKnKaX4AQM9j3.jpg")</f>
        <v/>
      </c>
      <c r="G449" t="s"/>
      <c r="H449" t="s"/>
      <c r="I449" t="s"/>
      <c r="J449" t="n">
        <v>-0.4912</v>
      </c>
      <c r="K449" t="n">
        <v>0.144</v>
      </c>
      <c r="L449" t="n">
        <v>0.856</v>
      </c>
      <c r="M449" t="n">
        <v>0</v>
      </c>
    </row>
    <row r="450" spans="1:13">
      <c r="A450" s="1">
        <f>HYPERLINK("http://www.twitter.com/NathanBLawrence/status/996141198887870464", "996141198887870464")</f>
        <v/>
      </c>
      <c r="B450" s="2" t="n">
        <v>43234.89748842592</v>
      </c>
      <c r="C450" t="n">
        <v>0</v>
      </c>
      <c r="D450" t="n">
        <v>2</v>
      </c>
      <c r="E450" t="s">
        <v>455</v>
      </c>
      <c r="F450" t="s"/>
      <c r="G450" t="s"/>
      <c r="H450" t="s"/>
      <c r="I450" t="s"/>
      <c r="J450" t="n">
        <v>0</v>
      </c>
      <c r="K450" t="n">
        <v>0</v>
      </c>
      <c r="L450" t="n">
        <v>1</v>
      </c>
      <c r="M450" t="n">
        <v>0</v>
      </c>
    </row>
    <row r="451" spans="1:13">
      <c r="A451" s="1">
        <f>HYPERLINK("http://www.twitter.com/NathanBLawrence/status/996141159977242624", "996141159977242624")</f>
        <v/>
      </c>
      <c r="B451" s="2" t="n">
        <v>43234.89738425926</v>
      </c>
      <c r="C451" t="n">
        <v>0</v>
      </c>
      <c r="D451" t="n">
        <v>1</v>
      </c>
      <c r="E451" t="s">
        <v>456</v>
      </c>
      <c r="F451" t="s"/>
      <c r="G451" t="s"/>
      <c r="H451" t="s"/>
      <c r="I451" t="s"/>
      <c r="J451" t="n">
        <v>0</v>
      </c>
      <c r="K451" t="n">
        <v>0</v>
      </c>
      <c r="L451" t="n">
        <v>1</v>
      </c>
      <c r="M451" t="n">
        <v>0</v>
      </c>
    </row>
    <row r="452" spans="1:13">
      <c r="A452" s="1">
        <f>HYPERLINK("http://www.twitter.com/NathanBLawrence/status/996141118348767233", "996141118348767233")</f>
        <v/>
      </c>
      <c r="B452" s="2" t="n">
        <v>43234.89726851852</v>
      </c>
      <c r="C452" t="n">
        <v>0</v>
      </c>
      <c r="D452" t="n">
        <v>8</v>
      </c>
      <c r="E452" t="s">
        <v>457</v>
      </c>
      <c r="F452" t="s"/>
      <c r="G452" t="s"/>
      <c r="H452" t="s"/>
      <c r="I452" t="s"/>
      <c r="J452" t="n">
        <v>0</v>
      </c>
      <c r="K452" t="n">
        <v>0</v>
      </c>
      <c r="L452" t="n">
        <v>1</v>
      </c>
      <c r="M452" t="n">
        <v>0</v>
      </c>
    </row>
    <row r="453" spans="1:13">
      <c r="A453" s="1">
        <f>HYPERLINK("http://www.twitter.com/NathanBLawrence/status/996141078238695426", "996141078238695426")</f>
        <v/>
      </c>
      <c r="B453" s="2" t="n">
        <v>43234.89716435185</v>
      </c>
      <c r="C453" t="n">
        <v>0</v>
      </c>
      <c r="D453" t="n">
        <v>2</v>
      </c>
      <c r="E453" t="s">
        <v>458</v>
      </c>
      <c r="F453">
        <f>HYPERLINK("http://pbs.twimg.com/media/DdLUDjSXcAAJhaG.jpg", "http://pbs.twimg.com/media/DdLUDjSXcAAJhaG.jpg")</f>
        <v/>
      </c>
      <c r="G453" t="s"/>
      <c r="H453" t="s"/>
      <c r="I453" t="s"/>
      <c r="J453" t="n">
        <v>0.4588</v>
      </c>
      <c r="K453" t="n">
        <v>0</v>
      </c>
      <c r="L453" t="n">
        <v>0.789</v>
      </c>
      <c r="M453" t="n">
        <v>0.211</v>
      </c>
    </row>
    <row r="454" spans="1:13">
      <c r="A454" s="1">
        <f>HYPERLINK("http://www.twitter.com/NathanBLawrence/status/996140983602597893", "996140983602597893")</f>
        <v/>
      </c>
      <c r="B454" s="2" t="n">
        <v>43234.89689814814</v>
      </c>
      <c r="C454" t="n">
        <v>0</v>
      </c>
      <c r="D454" t="n">
        <v>3</v>
      </c>
      <c r="E454" t="s">
        <v>459</v>
      </c>
      <c r="F454">
        <f>HYPERLINK("http://pbs.twimg.com/media/DdLRfOnW0AIkhoP.jpg", "http://pbs.twimg.com/media/DdLRfOnW0AIkhoP.jpg")</f>
        <v/>
      </c>
      <c r="G454" t="s"/>
      <c r="H454" t="s"/>
      <c r="I454" t="s"/>
      <c r="J454" t="n">
        <v>0.4215</v>
      </c>
      <c r="K454" t="n">
        <v>0</v>
      </c>
      <c r="L454" t="n">
        <v>0.865</v>
      </c>
      <c r="M454" t="n">
        <v>0.135</v>
      </c>
    </row>
    <row r="455" spans="1:13">
      <c r="A455" s="1">
        <f>HYPERLINK("http://www.twitter.com/NathanBLawrence/status/996140935447744513", "996140935447744513")</f>
        <v/>
      </c>
      <c r="B455" s="2" t="n">
        <v>43234.89677083334</v>
      </c>
      <c r="C455" t="n">
        <v>0</v>
      </c>
      <c r="D455" t="n">
        <v>1</v>
      </c>
      <c r="E455" t="s">
        <v>460</v>
      </c>
      <c r="F455" t="s"/>
      <c r="G455" t="s"/>
      <c r="H455" t="s"/>
      <c r="I455" t="s"/>
      <c r="J455" t="n">
        <v>-0.6705</v>
      </c>
      <c r="K455" t="n">
        <v>0.244</v>
      </c>
      <c r="L455" t="n">
        <v>0.756</v>
      </c>
      <c r="M455" t="n">
        <v>0</v>
      </c>
    </row>
    <row r="456" spans="1:13">
      <c r="A456" s="1">
        <f>HYPERLINK("http://www.twitter.com/NathanBLawrence/status/996140767914680320", "996140767914680320")</f>
        <v/>
      </c>
      <c r="B456" s="2" t="n">
        <v>43234.89630787037</v>
      </c>
      <c r="C456" t="n">
        <v>0</v>
      </c>
      <c r="D456" t="n">
        <v>7</v>
      </c>
      <c r="E456" t="s">
        <v>461</v>
      </c>
      <c r="F456" t="s"/>
      <c r="G456" t="s"/>
      <c r="H456" t="s"/>
      <c r="I456" t="s"/>
      <c r="J456" t="n">
        <v>0.6486</v>
      </c>
      <c r="K456" t="n">
        <v>0.082</v>
      </c>
      <c r="L456" t="n">
        <v>0.637</v>
      </c>
      <c r="M456" t="n">
        <v>0.281</v>
      </c>
    </row>
    <row r="457" spans="1:13">
      <c r="A457" s="1">
        <f>HYPERLINK("http://www.twitter.com/NathanBLawrence/status/996137846569340928", "996137846569340928")</f>
        <v/>
      </c>
      <c r="B457" s="2" t="n">
        <v>43234.88824074074</v>
      </c>
      <c r="C457" t="n">
        <v>2</v>
      </c>
      <c r="D457" t="n">
        <v>1</v>
      </c>
      <c r="E457" t="s">
        <v>462</v>
      </c>
      <c r="F457">
        <f>HYPERLINK("http://pbs.twimg.com/media/DdL9_LeWAAILcGO.jpg", "http://pbs.twimg.com/media/DdL9_LeWAAILcGO.jpg")</f>
        <v/>
      </c>
      <c r="G457" t="s"/>
      <c r="H457" t="s"/>
      <c r="I457" t="s"/>
      <c r="J457" t="n">
        <v>0.6249</v>
      </c>
      <c r="K457" t="n">
        <v>0</v>
      </c>
      <c r="L457" t="n">
        <v>0.6830000000000001</v>
      </c>
      <c r="M457" t="n">
        <v>0.317</v>
      </c>
    </row>
    <row r="458" spans="1:13">
      <c r="A458" s="1">
        <f>HYPERLINK("http://www.twitter.com/NathanBLawrence/status/996135159282925568", "996135159282925568")</f>
        <v/>
      </c>
      <c r="B458" s="2" t="n">
        <v>43234.88082175926</v>
      </c>
      <c r="C458" t="n">
        <v>0</v>
      </c>
      <c r="D458" t="n">
        <v>9</v>
      </c>
      <c r="E458" t="s">
        <v>463</v>
      </c>
      <c r="F458">
        <f>HYPERLINK("http://pbs.twimg.com/media/DdL51LtXUAIcIlQ.jpg", "http://pbs.twimg.com/media/DdL51LtXUAIcIlQ.jpg")</f>
        <v/>
      </c>
      <c r="G458" t="s"/>
      <c r="H458" t="s"/>
      <c r="I458" t="s"/>
      <c r="J458" t="n">
        <v>-0.4588</v>
      </c>
      <c r="K458" t="n">
        <v>0.13</v>
      </c>
      <c r="L458" t="n">
        <v>0.87</v>
      </c>
      <c r="M458" t="n">
        <v>0</v>
      </c>
    </row>
    <row r="459" spans="1:13">
      <c r="A459" s="1">
        <f>HYPERLINK("http://www.twitter.com/NathanBLawrence/status/996135055809482753", "996135055809482753")</f>
        <v/>
      </c>
      <c r="B459" s="2" t="n">
        <v>43234.88054398148</v>
      </c>
      <c r="C459" t="n">
        <v>0</v>
      </c>
      <c r="D459" t="n">
        <v>3</v>
      </c>
      <c r="E459" t="s">
        <v>464</v>
      </c>
      <c r="F459">
        <f>HYPERLINK("http://pbs.twimg.com/media/DdL7AqYWsAA4mSJ.jpg", "http://pbs.twimg.com/media/DdL7AqYWsAA4mSJ.jpg")</f>
        <v/>
      </c>
      <c r="G459" t="s"/>
      <c r="H459" t="s"/>
      <c r="I459" t="s"/>
      <c r="J459" t="n">
        <v>0</v>
      </c>
      <c r="K459" t="n">
        <v>0</v>
      </c>
      <c r="L459" t="n">
        <v>1</v>
      </c>
      <c r="M459" t="n">
        <v>0</v>
      </c>
    </row>
    <row r="460" spans="1:13">
      <c r="A460" s="1">
        <f>HYPERLINK("http://www.twitter.com/NathanBLawrence/status/996135025006477318", "996135025006477318")</f>
        <v/>
      </c>
      <c r="B460" s="2" t="n">
        <v>43234.88045138889</v>
      </c>
      <c r="C460" t="n">
        <v>0</v>
      </c>
      <c r="D460" t="n">
        <v>45</v>
      </c>
      <c r="E460" t="s">
        <v>465</v>
      </c>
      <c r="F460" t="s"/>
      <c r="G460" t="s"/>
      <c r="H460" t="s"/>
      <c r="I460" t="s"/>
      <c r="J460" t="n">
        <v>-0.3612</v>
      </c>
      <c r="K460" t="n">
        <v>0.111</v>
      </c>
      <c r="L460" t="n">
        <v>0.889</v>
      </c>
      <c r="M460" t="n">
        <v>0</v>
      </c>
    </row>
    <row r="461" spans="1:13">
      <c r="A461" s="1">
        <f>HYPERLINK("http://www.twitter.com/NathanBLawrence/status/996135006711025664", "996135006711025664")</f>
        <v/>
      </c>
      <c r="B461" s="2" t="n">
        <v>43234.88040509259</v>
      </c>
      <c r="C461" t="n">
        <v>0</v>
      </c>
      <c r="D461" t="n">
        <v>2</v>
      </c>
      <c r="E461" t="s">
        <v>466</v>
      </c>
      <c r="F461" t="s"/>
      <c r="G461" t="s"/>
      <c r="H461" t="s"/>
      <c r="I461" t="s"/>
      <c r="J461" t="n">
        <v>0</v>
      </c>
      <c r="K461" t="n">
        <v>0</v>
      </c>
      <c r="L461" t="n">
        <v>1</v>
      </c>
      <c r="M461" t="n">
        <v>0</v>
      </c>
    </row>
    <row r="462" spans="1:13">
      <c r="A462" s="1">
        <f>HYPERLINK("http://www.twitter.com/NathanBLawrence/status/996131535316242432", "996131535316242432")</f>
        <v/>
      </c>
      <c r="B462" s="2" t="n">
        <v>43234.87082175926</v>
      </c>
      <c r="C462" t="n">
        <v>0</v>
      </c>
      <c r="D462" t="n">
        <v>16</v>
      </c>
      <c r="E462" t="s">
        <v>467</v>
      </c>
      <c r="F462">
        <f>HYPERLINK("http://pbs.twimg.com/media/DdL3TSfXkAI5rYv.jpg", "http://pbs.twimg.com/media/DdL3TSfXkAI5rYv.jpg")</f>
        <v/>
      </c>
      <c r="G462" t="s"/>
      <c r="H462" t="s"/>
      <c r="I462" t="s"/>
      <c r="J462" t="n">
        <v>0.6124000000000001</v>
      </c>
      <c r="K462" t="n">
        <v>0</v>
      </c>
      <c r="L462" t="n">
        <v>0.8</v>
      </c>
      <c r="M462" t="n">
        <v>0.2</v>
      </c>
    </row>
    <row r="463" spans="1:13">
      <c r="A463" s="1">
        <f>HYPERLINK("http://www.twitter.com/NathanBLawrence/status/996131514671943685", "996131514671943685")</f>
        <v/>
      </c>
      <c r="B463" s="2" t="n">
        <v>43234.87076388889</v>
      </c>
      <c r="C463" t="n">
        <v>0</v>
      </c>
      <c r="D463" t="n">
        <v>10</v>
      </c>
      <c r="E463" t="s">
        <v>468</v>
      </c>
      <c r="F463">
        <f>HYPERLINK("http://pbs.twimg.com/media/DdLp_MKX0AEVmKU.jpg", "http://pbs.twimg.com/media/DdLp_MKX0AEVmKU.jpg")</f>
        <v/>
      </c>
      <c r="G463" t="s"/>
      <c r="H463" t="s"/>
      <c r="I463" t="s"/>
      <c r="J463" t="n">
        <v>0</v>
      </c>
      <c r="K463" t="n">
        <v>0</v>
      </c>
      <c r="L463" t="n">
        <v>1</v>
      </c>
      <c r="M463" t="n">
        <v>0</v>
      </c>
    </row>
    <row r="464" spans="1:13">
      <c r="A464" s="1">
        <f>HYPERLINK("http://www.twitter.com/NathanBLawrence/status/996131513946296320", "996131513946296320")</f>
        <v/>
      </c>
      <c r="B464" s="2" t="n">
        <v>43234.87076388889</v>
      </c>
      <c r="C464" t="n">
        <v>2</v>
      </c>
      <c r="D464" t="n">
        <v>2</v>
      </c>
      <c r="E464" t="s">
        <v>469</v>
      </c>
      <c r="F464">
        <f>HYPERLINK("http://pbs.twimg.com/media/DdL4QalW4AMMFy6.jpg", "http://pbs.twimg.com/media/DdL4QalW4AMMFy6.jpg")</f>
        <v/>
      </c>
      <c r="G464" t="s"/>
      <c r="H464" t="s"/>
      <c r="I464" t="s"/>
      <c r="J464" t="n">
        <v>0</v>
      </c>
      <c r="K464" t="n">
        <v>0</v>
      </c>
      <c r="L464" t="n">
        <v>1</v>
      </c>
      <c r="M464" t="n">
        <v>0</v>
      </c>
    </row>
    <row r="465" spans="1:13">
      <c r="A465" s="1">
        <f>HYPERLINK("http://www.twitter.com/NathanBLawrence/status/996131157522767873", "996131157522767873")</f>
        <v/>
      </c>
      <c r="B465" s="2" t="n">
        <v>43234.86978009259</v>
      </c>
      <c r="C465" t="n">
        <v>0</v>
      </c>
      <c r="D465" t="n">
        <v>4</v>
      </c>
      <c r="E465" t="s">
        <v>470</v>
      </c>
      <c r="F465" t="s"/>
      <c r="G465" t="s"/>
      <c r="H465" t="s"/>
      <c r="I465" t="s"/>
      <c r="J465" t="n">
        <v>-0.296</v>
      </c>
      <c r="K465" t="n">
        <v>0.196</v>
      </c>
      <c r="L465" t="n">
        <v>0.804</v>
      </c>
      <c r="M465" t="n">
        <v>0</v>
      </c>
    </row>
    <row r="466" spans="1:13">
      <c r="A466" s="1">
        <f>HYPERLINK("http://www.twitter.com/NathanBLawrence/status/996130998206238720", "996130998206238720")</f>
        <v/>
      </c>
      <c r="B466" s="2" t="n">
        <v>43234.86934027778</v>
      </c>
      <c r="C466" t="n">
        <v>0</v>
      </c>
      <c r="D466" t="n">
        <v>2</v>
      </c>
      <c r="E466" t="s">
        <v>471</v>
      </c>
      <c r="F466" t="s"/>
      <c r="G466" t="s"/>
      <c r="H466" t="s"/>
      <c r="I466" t="s"/>
      <c r="J466" t="n">
        <v>-0.3818</v>
      </c>
      <c r="K466" t="n">
        <v>0.11</v>
      </c>
      <c r="L466" t="n">
        <v>0.89</v>
      </c>
      <c r="M466" t="n">
        <v>0</v>
      </c>
    </row>
    <row r="467" spans="1:13">
      <c r="A467" s="1">
        <f>HYPERLINK("http://www.twitter.com/NathanBLawrence/status/996130958448496641", "996130958448496641")</f>
        <v/>
      </c>
      <c r="B467" s="2" t="n">
        <v>43234.86923611111</v>
      </c>
      <c r="C467" t="n">
        <v>0</v>
      </c>
      <c r="D467" t="n">
        <v>5</v>
      </c>
      <c r="E467" t="s">
        <v>472</v>
      </c>
      <c r="F467" t="s"/>
      <c r="G467" t="s"/>
      <c r="H467" t="s"/>
      <c r="I467" t="s"/>
      <c r="J467" t="n">
        <v>-0.6486</v>
      </c>
      <c r="K467" t="n">
        <v>0.181</v>
      </c>
      <c r="L467" t="n">
        <v>0.819</v>
      </c>
      <c r="M467" t="n">
        <v>0</v>
      </c>
    </row>
    <row r="468" spans="1:13">
      <c r="A468" s="1">
        <f>HYPERLINK("http://www.twitter.com/NathanBLawrence/status/996130857655128064", "996130857655128064")</f>
        <v/>
      </c>
      <c r="B468" s="2" t="n">
        <v>43234.86895833333</v>
      </c>
      <c r="C468" t="n">
        <v>5</v>
      </c>
      <c r="D468" t="n">
        <v>2</v>
      </c>
      <c r="E468" t="s">
        <v>473</v>
      </c>
      <c r="F468" t="s"/>
      <c r="G468" t="s"/>
      <c r="H468" t="s"/>
      <c r="I468" t="s"/>
      <c r="J468" t="n">
        <v>0</v>
      </c>
      <c r="K468" t="n">
        <v>0</v>
      </c>
      <c r="L468" t="n">
        <v>1</v>
      </c>
      <c r="M468" t="n">
        <v>0</v>
      </c>
    </row>
    <row r="469" spans="1:13">
      <c r="A469" s="1">
        <f>HYPERLINK("http://www.twitter.com/NathanBLawrence/status/996130777279750144", "996130777279750144")</f>
        <v/>
      </c>
      <c r="B469" s="2" t="n">
        <v>43234.86873842592</v>
      </c>
      <c r="C469" t="n">
        <v>0</v>
      </c>
      <c r="D469" t="n">
        <v>1</v>
      </c>
      <c r="E469" t="s">
        <v>474</v>
      </c>
      <c r="F469" t="s"/>
      <c r="G469" t="s"/>
      <c r="H469" t="s"/>
      <c r="I469" t="s"/>
      <c r="J469" t="n">
        <v>0</v>
      </c>
      <c r="K469" t="n">
        <v>0</v>
      </c>
      <c r="L469" t="n">
        <v>1</v>
      </c>
      <c r="M469" t="n">
        <v>0</v>
      </c>
    </row>
    <row r="470" spans="1:13">
      <c r="A470" s="1">
        <f>HYPERLINK("http://www.twitter.com/NathanBLawrence/status/996130770325557248", "996130770325557248")</f>
        <v/>
      </c>
      <c r="B470" s="2" t="n">
        <v>43234.86871527778</v>
      </c>
      <c r="C470" t="n">
        <v>0</v>
      </c>
      <c r="D470" t="n">
        <v>4</v>
      </c>
      <c r="E470" t="s">
        <v>475</v>
      </c>
      <c r="F470" t="s"/>
      <c r="G470" t="s"/>
      <c r="H470" t="s"/>
      <c r="I470" t="s"/>
      <c r="J470" t="n">
        <v>0.3182</v>
      </c>
      <c r="K470" t="n">
        <v>0</v>
      </c>
      <c r="L470" t="n">
        <v>0.897</v>
      </c>
      <c r="M470" t="n">
        <v>0.103</v>
      </c>
    </row>
    <row r="471" spans="1:13">
      <c r="A471" s="1">
        <f>HYPERLINK("http://www.twitter.com/NathanBLawrence/status/996130681486012416", "996130681486012416")</f>
        <v/>
      </c>
      <c r="B471" s="2" t="n">
        <v>43234.86847222222</v>
      </c>
      <c r="C471" t="n">
        <v>0</v>
      </c>
      <c r="D471" t="n">
        <v>8</v>
      </c>
      <c r="E471" t="s">
        <v>476</v>
      </c>
      <c r="F471" t="s"/>
      <c r="G471" t="s"/>
      <c r="H471" t="s"/>
      <c r="I471" t="s"/>
      <c r="J471" t="n">
        <v>0</v>
      </c>
      <c r="K471" t="n">
        <v>0</v>
      </c>
      <c r="L471" t="n">
        <v>1</v>
      </c>
      <c r="M471" t="n">
        <v>0</v>
      </c>
    </row>
    <row r="472" spans="1:13">
      <c r="A472" s="1">
        <f>HYPERLINK("http://www.twitter.com/NathanBLawrence/status/996130239972630529", "996130239972630529")</f>
        <v/>
      </c>
      <c r="B472" s="2" t="n">
        <v>43234.86725694445</v>
      </c>
      <c r="C472" t="n">
        <v>3</v>
      </c>
      <c r="D472" t="n">
        <v>2</v>
      </c>
      <c r="E472" t="s">
        <v>477</v>
      </c>
      <c r="F472">
        <f>HYPERLINK("http://pbs.twimg.com/media/DdL24vpXUAU85AZ.jpg", "http://pbs.twimg.com/media/DdL24vpXUAU85AZ.jpg")</f>
        <v/>
      </c>
      <c r="G472" t="s"/>
      <c r="H472" t="s"/>
      <c r="I472" t="s"/>
      <c r="J472" t="n">
        <v>0.25</v>
      </c>
      <c r="K472" t="n">
        <v>0.113</v>
      </c>
      <c r="L472" t="n">
        <v>0.752</v>
      </c>
      <c r="M472" t="n">
        <v>0.135</v>
      </c>
    </row>
    <row r="473" spans="1:13">
      <c r="A473" s="1">
        <f>HYPERLINK("http://www.twitter.com/NathanBLawrence/status/996130233140031491", "996130233140031491")</f>
        <v/>
      </c>
      <c r="B473" s="2" t="n">
        <v>43234.8672337963</v>
      </c>
      <c r="C473" t="n">
        <v>0</v>
      </c>
      <c r="D473" t="n">
        <v>19</v>
      </c>
      <c r="E473" t="s">
        <v>478</v>
      </c>
      <c r="F473" t="s"/>
      <c r="G473" t="s"/>
      <c r="H473" t="s"/>
      <c r="I473" t="s"/>
      <c r="J473" t="n">
        <v>-0.802</v>
      </c>
      <c r="K473" t="n">
        <v>0.297</v>
      </c>
      <c r="L473" t="n">
        <v>0.655</v>
      </c>
      <c r="M473" t="n">
        <v>0.048</v>
      </c>
    </row>
    <row r="474" spans="1:13">
      <c r="A474" s="1">
        <f>HYPERLINK("http://www.twitter.com/NathanBLawrence/status/996130231026114560", "996130231026114560")</f>
        <v/>
      </c>
      <c r="B474" s="2" t="n">
        <v>43234.86722222222</v>
      </c>
      <c r="C474" t="n">
        <v>0</v>
      </c>
      <c r="D474" t="n">
        <v>2</v>
      </c>
      <c r="E474" t="s">
        <v>479</v>
      </c>
      <c r="F474" t="s"/>
      <c r="G474" t="s"/>
      <c r="H474" t="s"/>
      <c r="I474" t="s"/>
      <c r="J474" t="n">
        <v>0.2023</v>
      </c>
      <c r="K474" t="n">
        <v>0</v>
      </c>
      <c r="L474" t="n">
        <v>0.913</v>
      </c>
      <c r="M474" t="n">
        <v>0.08699999999999999</v>
      </c>
    </row>
    <row r="475" spans="1:13">
      <c r="A475" s="1">
        <f>HYPERLINK("http://www.twitter.com/NathanBLawrence/status/996127201895571458", "996127201895571458")</f>
        <v/>
      </c>
      <c r="B475" s="2" t="n">
        <v>43234.85886574074</v>
      </c>
      <c r="C475" t="n">
        <v>0</v>
      </c>
      <c r="D475" t="n">
        <v>30</v>
      </c>
      <c r="E475" t="s">
        <v>480</v>
      </c>
      <c r="F475" t="s"/>
      <c r="G475" t="s"/>
      <c r="H475" t="s"/>
      <c r="I475" t="s"/>
      <c r="J475" t="n">
        <v>-0.9353</v>
      </c>
      <c r="K475" t="n">
        <v>0.488</v>
      </c>
      <c r="L475" t="n">
        <v>0.512</v>
      </c>
      <c r="M475" t="n">
        <v>0</v>
      </c>
    </row>
    <row r="476" spans="1:13">
      <c r="A476" s="1">
        <f>HYPERLINK("http://www.twitter.com/NathanBLawrence/status/996127098426281985", "996127098426281985")</f>
        <v/>
      </c>
      <c r="B476" s="2" t="n">
        <v>43234.85858796296</v>
      </c>
      <c r="C476" t="n">
        <v>0</v>
      </c>
      <c r="D476" t="n">
        <v>13714</v>
      </c>
      <c r="E476" t="s">
        <v>481</v>
      </c>
      <c r="F476" t="s"/>
      <c r="G476" t="s"/>
      <c r="H476" t="s"/>
      <c r="I476" t="s"/>
      <c r="J476" t="n">
        <v>0</v>
      </c>
      <c r="K476" t="n">
        <v>0</v>
      </c>
      <c r="L476" t="n">
        <v>1</v>
      </c>
      <c r="M476" t="n">
        <v>0</v>
      </c>
    </row>
    <row r="477" spans="1:13">
      <c r="A477" s="1">
        <f>HYPERLINK("http://www.twitter.com/NathanBLawrence/status/996127061390647297", "996127061390647297")</f>
        <v/>
      </c>
      <c r="B477" s="2" t="n">
        <v>43234.8584837963</v>
      </c>
      <c r="C477" t="n">
        <v>0</v>
      </c>
      <c r="D477" t="n">
        <v>3</v>
      </c>
      <c r="E477" t="s">
        <v>482</v>
      </c>
      <c r="F477" t="s"/>
      <c r="G477" t="s"/>
      <c r="H477" t="s"/>
      <c r="I477" t="s"/>
      <c r="J477" t="n">
        <v>0.197</v>
      </c>
      <c r="K477" t="n">
        <v>0.07199999999999999</v>
      </c>
      <c r="L477" t="n">
        <v>0.794</v>
      </c>
      <c r="M477" t="n">
        <v>0.134</v>
      </c>
    </row>
    <row r="478" spans="1:13">
      <c r="A478" s="1">
        <f>HYPERLINK("http://www.twitter.com/NathanBLawrence/status/996126967597498368", "996126967597498368")</f>
        <v/>
      </c>
      <c r="B478" s="2" t="n">
        <v>43234.85821759259</v>
      </c>
      <c r="C478" t="n">
        <v>0</v>
      </c>
      <c r="D478" t="n">
        <v>4</v>
      </c>
      <c r="E478" t="s">
        <v>483</v>
      </c>
      <c r="F478" t="s"/>
      <c r="G478" t="s"/>
      <c r="H478" t="s"/>
      <c r="I478" t="s"/>
      <c r="J478" t="n">
        <v>0</v>
      </c>
      <c r="K478" t="n">
        <v>0</v>
      </c>
      <c r="L478" t="n">
        <v>1</v>
      </c>
      <c r="M478" t="n">
        <v>0</v>
      </c>
    </row>
    <row r="479" spans="1:13">
      <c r="A479" s="1">
        <f>HYPERLINK("http://www.twitter.com/NathanBLawrence/status/996126943669116928", "996126943669116928")</f>
        <v/>
      </c>
      <c r="B479" s="2" t="n">
        <v>43234.85815972222</v>
      </c>
      <c r="C479" t="n">
        <v>0</v>
      </c>
      <c r="D479" t="n">
        <v>1</v>
      </c>
      <c r="E479" t="s">
        <v>484</v>
      </c>
      <c r="F479" t="s"/>
      <c r="G479" t="s"/>
      <c r="H479" t="s"/>
      <c r="I479" t="s"/>
      <c r="J479" t="n">
        <v>-0.6408</v>
      </c>
      <c r="K479" t="n">
        <v>0.182</v>
      </c>
      <c r="L479" t="n">
        <v>0.8179999999999999</v>
      </c>
      <c r="M479" t="n">
        <v>0</v>
      </c>
    </row>
    <row r="480" spans="1:13">
      <c r="A480" s="1">
        <f>HYPERLINK("http://www.twitter.com/NathanBLawrence/status/996126844951891968", "996126844951891968")</f>
        <v/>
      </c>
      <c r="B480" s="2" t="n">
        <v>43234.85788194444</v>
      </c>
      <c r="C480" t="n">
        <v>0</v>
      </c>
      <c r="D480" t="n">
        <v>4</v>
      </c>
      <c r="E480" t="s">
        <v>485</v>
      </c>
      <c r="F480" t="s"/>
      <c r="G480" t="s"/>
      <c r="H480" t="s"/>
      <c r="I480" t="s"/>
      <c r="J480" t="n">
        <v>-0.7096</v>
      </c>
      <c r="K480" t="n">
        <v>0.216</v>
      </c>
      <c r="L480" t="n">
        <v>0.742</v>
      </c>
      <c r="M480" t="n">
        <v>0.042</v>
      </c>
    </row>
    <row r="481" spans="1:13">
      <c r="A481" s="1">
        <f>HYPERLINK("http://www.twitter.com/NathanBLawrence/status/996126425408262144", "996126425408262144")</f>
        <v/>
      </c>
      <c r="B481" s="2" t="n">
        <v>43234.85672453704</v>
      </c>
      <c r="C481" t="n">
        <v>0</v>
      </c>
      <c r="D481" t="n">
        <v>6</v>
      </c>
      <c r="E481" t="s">
        <v>486</v>
      </c>
      <c r="F481" t="s"/>
      <c r="G481" t="s"/>
      <c r="H481" t="s"/>
      <c r="I481" t="s"/>
      <c r="J481" t="n">
        <v>0</v>
      </c>
      <c r="K481" t="n">
        <v>0</v>
      </c>
      <c r="L481" t="n">
        <v>1</v>
      </c>
      <c r="M481" t="n">
        <v>0</v>
      </c>
    </row>
    <row r="482" spans="1:13">
      <c r="A482" s="1">
        <f>HYPERLINK("http://www.twitter.com/NathanBLawrence/status/996123535126024192", "996123535126024192")</f>
        <v/>
      </c>
      <c r="B482" s="2" t="n">
        <v>43234.84875</v>
      </c>
      <c r="C482" t="n">
        <v>8</v>
      </c>
      <c r="D482" t="n">
        <v>4</v>
      </c>
      <c r="E482" t="s">
        <v>487</v>
      </c>
      <c r="F482" t="s"/>
      <c r="G482" t="s"/>
      <c r="H482" t="s"/>
      <c r="I482" t="s"/>
      <c r="J482" t="n">
        <v>-0.5411</v>
      </c>
      <c r="K482" t="n">
        <v>0.12</v>
      </c>
      <c r="L482" t="n">
        <v>0.826</v>
      </c>
      <c r="M482" t="n">
        <v>0.054</v>
      </c>
    </row>
    <row r="483" spans="1:13">
      <c r="A483" s="1">
        <f>HYPERLINK("http://www.twitter.com/NathanBLawrence/status/996122534121787392", "996122534121787392")</f>
        <v/>
      </c>
      <c r="B483" s="2" t="n">
        <v>43234.84598379629</v>
      </c>
      <c r="C483" t="n">
        <v>0</v>
      </c>
      <c r="D483" t="n">
        <v>1</v>
      </c>
      <c r="E483" t="s">
        <v>488</v>
      </c>
      <c r="F483" t="s"/>
      <c r="G483" t="s"/>
      <c r="H483" t="s"/>
      <c r="I483" t="s"/>
      <c r="J483" t="n">
        <v>0</v>
      </c>
      <c r="K483" t="n">
        <v>0</v>
      </c>
      <c r="L483" t="n">
        <v>1</v>
      </c>
      <c r="M483" t="n">
        <v>0</v>
      </c>
    </row>
    <row r="484" spans="1:13">
      <c r="A484" s="1">
        <f>HYPERLINK("http://www.twitter.com/NathanBLawrence/status/996109588985499648", "996109588985499648")</f>
        <v/>
      </c>
      <c r="B484" s="2" t="n">
        <v>43234.81026620371</v>
      </c>
      <c r="C484" t="n">
        <v>0</v>
      </c>
      <c r="D484" t="n">
        <v>3</v>
      </c>
      <c r="E484" t="s">
        <v>489</v>
      </c>
      <c r="F484" t="s"/>
      <c r="G484" t="s"/>
      <c r="H484" t="s"/>
      <c r="I484" t="s"/>
      <c r="J484" t="n">
        <v>0.4019</v>
      </c>
      <c r="K484" t="n">
        <v>0</v>
      </c>
      <c r="L484" t="n">
        <v>0.847</v>
      </c>
      <c r="M484" t="n">
        <v>0.153</v>
      </c>
    </row>
    <row r="485" spans="1:13">
      <c r="A485" s="1">
        <f>HYPERLINK("http://www.twitter.com/NathanBLawrence/status/996109538511151105", "996109538511151105")</f>
        <v/>
      </c>
      <c r="B485" s="2" t="n">
        <v>43234.81012731481</v>
      </c>
      <c r="C485" t="n">
        <v>0</v>
      </c>
      <c r="D485" t="n">
        <v>3</v>
      </c>
      <c r="E485" t="s">
        <v>490</v>
      </c>
      <c r="F485" t="s"/>
      <c r="G485" t="s"/>
      <c r="H485" t="s"/>
      <c r="I485" t="s"/>
      <c r="J485" t="n">
        <v>0</v>
      </c>
      <c r="K485" t="n">
        <v>0</v>
      </c>
      <c r="L485" t="n">
        <v>1</v>
      </c>
      <c r="M485" t="n">
        <v>0</v>
      </c>
    </row>
    <row r="486" spans="1:13">
      <c r="A486" s="1">
        <f>HYPERLINK("http://www.twitter.com/NathanBLawrence/status/996109527954149376", "996109527954149376")</f>
        <v/>
      </c>
      <c r="B486" s="2" t="n">
        <v>43234.81009259259</v>
      </c>
      <c r="C486" t="n">
        <v>0</v>
      </c>
      <c r="D486" t="n">
        <v>1</v>
      </c>
      <c r="E486" t="s">
        <v>491</v>
      </c>
      <c r="F486" t="s"/>
      <c r="G486" t="s"/>
      <c r="H486" t="s"/>
      <c r="I486" t="s"/>
      <c r="J486" t="n">
        <v>-0.1531</v>
      </c>
      <c r="K486" t="n">
        <v>0.126</v>
      </c>
      <c r="L486" t="n">
        <v>0.772</v>
      </c>
      <c r="M486" t="n">
        <v>0.102</v>
      </c>
    </row>
    <row r="487" spans="1:13">
      <c r="A487" s="1">
        <f>HYPERLINK("http://www.twitter.com/NathanBLawrence/status/996108015475544064", "996108015475544064")</f>
        <v/>
      </c>
      <c r="B487" s="2" t="n">
        <v>43234.80592592592</v>
      </c>
      <c r="C487" t="n">
        <v>0</v>
      </c>
      <c r="D487" t="n">
        <v>0</v>
      </c>
      <c r="E487" t="s">
        <v>492</v>
      </c>
      <c r="F487" t="s"/>
      <c r="G487" t="s"/>
      <c r="H487" t="s"/>
      <c r="I487" t="s"/>
      <c r="J487" t="n">
        <v>0</v>
      </c>
      <c r="K487" t="n">
        <v>0</v>
      </c>
      <c r="L487" t="n">
        <v>1</v>
      </c>
      <c r="M487" t="n">
        <v>0</v>
      </c>
    </row>
    <row r="488" spans="1:13">
      <c r="A488" s="1">
        <f>HYPERLINK("http://www.twitter.com/NathanBLawrence/status/996102290745495552", "996102290745495552")</f>
        <v/>
      </c>
      <c r="B488" s="2" t="n">
        <v>43234.79012731482</v>
      </c>
      <c r="C488" t="n">
        <v>0</v>
      </c>
      <c r="D488" t="n">
        <v>5</v>
      </c>
      <c r="E488" t="s">
        <v>493</v>
      </c>
      <c r="F488" t="s"/>
      <c r="G488" t="s"/>
      <c r="H488" t="s"/>
      <c r="I488" t="s"/>
      <c r="J488" t="n">
        <v>0</v>
      </c>
      <c r="K488" t="n">
        <v>0</v>
      </c>
      <c r="L488" t="n">
        <v>1</v>
      </c>
      <c r="M488" t="n">
        <v>0</v>
      </c>
    </row>
    <row r="489" spans="1:13">
      <c r="A489" s="1">
        <f>HYPERLINK("http://www.twitter.com/NathanBLawrence/status/996102270977757185", "996102270977757185")</f>
        <v/>
      </c>
      <c r="B489" s="2" t="n">
        <v>43234.79006944445</v>
      </c>
      <c r="C489" t="n">
        <v>0</v>
      </c>
      <c r="D489" t="n">
        <v>16</v>
      </c>
      <c r="E489" t="s">
        <v>494</v>
      </c>
      <c r="F489" t="s"/>
      <c r="G489" t="s"/>
      <c r="H489" t="s"/>
      <c r="I489" t="s"/>
      <c r="J489" t="n">
        <v>0.128</v>
      </c>
      <c r="K489" t="n">
        <v>0.089</v>
      </c>
      <c r="L489" t="n">
        <v>0.802</v>
      </c>
      <c r="M489" t="n">
        <v>0.11</v>
      </c>
    </row>
    <row r="490" spans="1:13">
      <c r="A490" s="1">
        <f>HYPERLINK("http://www.twitter.com/NathanBLawrence/status/996102243521843202", "996102243521843202")</f>
        <v/>
      </c>
      <c r="B490" s="2" t="n">
        <v>43234.79</v>
      </c>
      <c r="C490" t="n">
        <v>0</v>
      </c>
      <c r="D490" t="n">
        <v>63</v>
      </c>
      <c r="E490" t="s">
        <v>495</v>
      </c>
      <c r="F490" t="s"/>
      <c r="G490" t="s"/>
      <c r="H490" t="s"/>
      <c r="I490" t="s"/>
      <c r="J490" t="n">
        <v>-0.296</v>
      </c>
      <c r="K490" t="n">
        <v>0.095</v>
      </c>
      <c r="L490" t="n">
        <v>0.905</v>
      </c>
      <c r="M490" t="n">
        <v>0</v>
      </c>
    </row>
    <row r="491" spans="1:13">
      <c r="A491" s="1">
        <f>HYPERLINK("http://www.twitter.com/NathanBLawrence/status/996095643830636545", "996095643830636545")</f>
        <v/>
      </c>
      <c r="B491" s="2" t="n">
        <v>43234.77178240741</v>
      </c>
      <c r="C491" t="n">
        <v>0</v>
      </c>
      <c r="D491" t="n">
        <v>29</v>
      </c>
      <c r="E491" t="s">
        <v>496</v>
      </c>
      <c r="F491">
        <f>HYPERLINK("http://pbs.twimg.com/media/DdKsTO8X0AA9v2X.jpg", "http://pbs.twimg.com/media/DdKsTO8X0AA9v2X.jpg")</f>
        <v/>
      </c>
      <c r="G491" t="s"/>
      <c r="H491" t="s"/>
      <c r="I491" t="s"/>
      <c r="J491" t="n">
        <v>0.128</v>
      </c>
      <c r="K491" t="n">
        <v>0</v>
      </c>
      <c r="L491" t="n">
        <v>0.9360000000000001</v>
      </c>
      <c r="M491" t="n">
        <v>0.064</v>
      </c>
    </row>
    <row r="492" spans="1:13">
      <c r="A492" s="1">
        <f>HYPERLINK("http://www.twitter.com/NathanBLawrence/status/996095250711146497", "996095250711146497")</f>
        <v/>
      </c>
      <c r="B492" s="2" t="n">
        <v>43234.77069444444</v>
      </c>
      <c r="C492" t="n">
        <v>2</v>
      </c>
      <c r="D492" t="n">
        <v>2</v>
      </c>
      <c r="E492" t="s">
        <v>497</v>
      </c>
      <c r="F492">
        <f>HYPERLINK("http://pbs.twimg.com/media/DdLXWCAWAAA66qp.jpg", "http://pbs.twimg.com/media/DdLXWCAWAAA66qp.jpg")</f>
        <v/>
      </c>
      <c r="G492" t="s"/>
      <c r="H492" t="s"/>
      <c r="I492" t="s"/>
      <c r="J492" t="n">
        <v>0</v>
      </c>
      <c r="K492" t="n">
        <v>0</v>
      </c>
      <c r="L492" t="n">
        <v>1</v>
      </c>
      <c r="M492" t="n">
        <v>0</v>
      </c>
    </row>
    <row r="493" spans="1:13">
      <c r="A493" s="1">
        <f>HYPERLINK("http://www.twitter.com/NathanBLawrence/status/996095193148461056", "996095193148461056")</f>
        <v/>
      </c>
      <c r="B493" s="2" t="n">
        <v>43234.77054398148</v>
      </c>
      <c r="C493" t="n">
        <v>0</v>
      </c>
      <c r="D493" t="n">
        <v>4</v>
      </c>
      <c r="E493" t="s">
        <v>498</v>
      </c>
      <c r="F493">
        <f>HYPERLINK("http://pbs.twimg.com/media/DdLT-3aWsAML68L.jpg", "http://pbs.twimg.com/media/DdLT-3aWsAML68L.jpg")</f>
        <v/>
      </c>
      <c r="G493" t="s"/>
      <c r="H493" t="s"/>
      <c r="I493" t="s"/>
      <c r="J493" t="n">
        <v>-0.2204</v>
      </c>
      <c r="K493" t="n">
        <v>0.116</v>
      </c>
      <c r="L493" t="n">
        <v>0.804</v>
      </c>
      <c r="M493" t="n">
        <v>0.08</v>
      </c>
    </row>
    <row r="494" spans="1:13">
      <c r="A494" s="1">
        <f>HYPERLINK("http://www.twitter.com/NathanBLawrence/status/996095073472442368", "996095073472442368")</f>
        <v/>
      </c>
      <c r="B494" s="2" t="n">
        <v>43234.77020833334</v>
      </c>
      <c r="C494" t="n">
        <v>0</v>
      </c>
      <c r="D494" t="n">
        <v>4</v>
      </c>
      <c r="E494" t="s">
        <v>499</v>
      </c>
      <c r="F494" t="s"/>
      <c r="G494" t="s"/>
      <c r="H494" t="s"/>
      <c r="I494" t="s"/>
      <c r="J494" t="n">
        <v>-0.0173</v>
      </c>
      <c r="K494" t="n">
        <v>0.224</v>
      </c>
      <c r="L494" t="n">
        <v>0.584</v>
      </c>
      <c r="M494" t="n">
        <v>0.192</v>
      </c>
    </row>
    <row r="495" spans="1:13">
      <c r="A495" s="1">
        <f>HYPERLINK("http://www.twitter.com/NathanBLawrence/status/996093308630859776", "996093308630859776")</f>
        <v/>
      </c>
      <c r="B495" s="2" t="n">
        <v>43234.76533564815</v>
      </c>
      <c r="C495" t="n">
        <v>1</v>
      </c>
      <c r="D495" t="n">
        <v>1</v>
      </c>
      <c r="E495" t="s">
        <v>500</v>
      </c>
      <c r="F495" t="s"/>
      <c r="G495" t="s"/>
      <c r="H495" t="s"/>
      <c r="I495" t="s"/>
      <c r="J495" t="n">
        <v>-0.8221000000000001</v>
      </c>
      <c r="K495" t="n">
        <v>0.243</v>
      </c>
      <c r="L495" t="n">
        <v>0.714</v>
      </c>
      <c r="M495" t="n">
        <v>0.042</v>
      </c>
    </row>
    <row r="496" spans="1:13">
      <c r="A496" s="1">
        <f>HYPERLINK("http://www.twitter.com/NathanBLawrence/status/996092730790039557", "996092730790039557")</f>
        <v/>
      </c>
      <c r="B496" s="2" t="n">
        <v>43234.76375</v>
      </c>
      <c r="C496" t="n">
        <v>0</v>
      </c>
      <c r="D496" t="n">
        <v>14</v>
      </c>
      <c r="E496" t="s">
        <v>501</v>
      </c>
      <c r="F496" t="s"/>
      <c r="G496" t="s"/>
      <c r="H496" t="s"/>
      <c r="I496" t="s"/>
      <c r="J496" t="n">
        <v>0.0772</v>
      </c>
      <c r="K496" t="n">
        <v>0</v>
      </c>
      <c r="L496" t="n">
        <v>0.949</v>
      </c>
      <c r="M496" t="n">
        <v>0.051</v>
      </c>
    </row>
    <row r="497" spans="1:13">
      <c r="A497" s="1">
        <f>HYPERLINK("http://www.twitter.com/NathanBLawrence/status/996092595808931841", "996092595808931841")</f>
        <v/>
      </c>
      <c r="B497" s="2" t="n">
        <v>43234.76337962963</v>
      </c>
      <c r="C497" t="n">
        <v>0</v>
      </c>
      <c r="D497" t="n">
        <v>7</v>
      </c>
      <c r="E497" t="s">
        <v>502</v>
      </c>
      <c r="F497">
        <f>HYPERLINK("http://pbs.twimg.com/media/DdLRX-kXkAInfig.jpg", "http://pbs.twimg.com/media/DdLRX-kXkAInfig.jpg")</f>
        <v/>
      </c>
      <c r="G497" t="s"/>
      <c r="H497" t="s"/>
      <c r="I497" t="s"/>
      <c r="J497" t="n">
        <v>-0.296</v>
      </c>
      <c r="K497" t="n">
        <v>0.091</v>
      </c>
      <c r="L497" t="n">
        <v>0.909</v>
      </c>
      <c r="M497" t="n">
        <v>0</v>
      </c>
    </row>
    <row r="498" spans="1:13">
      <c r="A498" s="1">
        <f>HYPERLINK("http://www.twitter.com/NathanBLawrence/status/996092578863992833", "996092578863992833")</f>
        <v/>
      </c>
      <c r="B498" s="2" t="n">
        <v>43234.76332175926</v>
      </c>
      <c r="C498" t="n">
        <v>0</v>
      </c>
      <c r="D498" t="n">
        <v>12</v>
      </c>
      <c r="E498" t="s">
        <v>503</v>
      </c>
      <c r="F498">
        <f>HYPERLINK("http://pbs.twimg.com/media/DdLMleGVMAANN6D.jpg", "http://pbs.twimg.com/media/DdLMleGVMAANN6D.jpg")</f>
        <v/>
      </c>
      <c r="G498" t="s"/>
      <c r="H498" t="s"/>
      <c r="I498" t="s"/>
      <c r="J498" t="n">
        <v>0</v>
      </c>
      <c r="K498" t="n">
        <v>0</v>
      </c>
      <c r="L498" t="n">
        <v>1</v>
      </c>
      <c r="M498" t="n">
        <v>0</v>
      </c>
    </row>
    <row r="499" spans="1:13">
      <c r="A499" s="1">
        <f>HYPERLINK("http://www.twitter.com/NathanBLawrence/status/996092367131291648", "996092367131291648")</f>
        <v/>
      </c>
      <c r="B499" s="2" t="n">
        <v>43234.76274305556</v>
      </c>
      <c r="C499" t="n">
        <v>0</v>
      </c>
      <c r="D499" t="n">
        <v>29</v>
      </c>
      <c r="E499" t="s">
        <v>504</v>
      </c>
      <c r="F499" t="s"/>
      <c r="G499" t="s"/>
      <c r="H499" t="s"/>
      <c r="I499" t="s"/>
      <c r="J499" t="n">
        <v>-0.3612</v>
      </c>
      <c r="K499" t="n">
        <v>0.116</v>
      </c>
      <c r="L499" t="n">
        <v>0.884</v>
      </c>
      <c r="M499" t="n">
        <v>0</v>
      </c>
    </row>
    <row r="500" spans="1:13">
      <c r="A500" s="1">
        <f>HYPERLINK("http://www.twitter.com/NathanBLawrence/status/996092246683455488", "996092246683455488")</f>
        <v/>
      </c>
      <c r="B500" s="2" t="n">
        <v>43234.7624074074</v>
      </c>
      <c r="C500" t="n">
        <v>3</v>
      </c>
      <c r="D500" t="n">
        <v>3</v>
      </c>
      <c r="E500" t="s">
        <v>505</v>
      </c>
      <c r="F500" t="s"/>
      <c r="G500" t="s"/>
      <c r="H500" t="s"/>
      <c r="I500" t="s"/>
      <c r="J500" t="n">
        <v>0.5574</v>
      </c>
      <c r="K500" t="n">
        <v>0.049</v>
      </c>
      <c r="L500" t="n">
        <v>0.826</v>
      </c>
      <c r="M500" t="n">
        <v>0.125</v>
      </c>
    </row>
    <row r="501" spans="1:13">
      <c r="A501" s="1">
        <f>HYPERLINK("http://www.twitter.com/NathanBLawrence/status/996091692867620866", "996091692867620866")</f>
        <v/>
      </c>
      <c r="B501" s="2" t="n">
        <v>43234.76087962963</v>
      </c>
      <c r="C501" t="n">
        <v>7</v>
      </c>
      <c r="D501" t="n">
        <v>2</v>
      </c>
      <c r="E501" t="s">
        <v>506</v>
      </c>
      <c r="F501">
        <f>HYPERLINK("http://pbs.twimg.com/media/DdLUDjSXcAAJhaG.jpg", "http://pbs.twimg.com/media/DdLUDjSXcAAJhaG.jpg")</f>
        <v/>
      </c>
      <c r="G501" t="s"/>
      <c r="H501" t="s"/>
      <c r="I501" t="s"/>
      <c r="J501" t="n">
        <v>0.4588</v>
      </c>
      <c r="K501" t="n">
        <v>0</v>
      </c>
      <c r="L501" t="n">
        <v>0.889</v>
      </c>
      <c r="M501" t="n">
        <v>0.111</v>
      </c>
    </row>
    <row r="502" spans="1:13">
      <c r="A502" s="1">
        <f>HYPERLINK("http://www.twitter.com/NathanBLawrence/status/996091678573367296", "996091678573367296")</f>
        <v/>
      </c>
      <c r="B502" s="2" t="n">
        <v>43234.76084490741</v>
      </c>
      <c r="C502" t="n">
        <v>0</v>
      </c>
      <c r="D502" t="n">
        <v>1</v>
      </c>
      <c r="E502" t="s">
        <v>507</v>
      </c>
      <c r="F502" t="s"/>
      <c r="G502" t="s"/>
      <c r="H502" t="s"/>
      <c r="I502" t="s"/>
      <c r="J502" t="n">
        <v>0</v>
      </c>
      <c r="K502" t="n">
        <v>0</v>
      </c>
      <c r="L502" t="n">
        <v>1</v>
      </c>
      <c r="M502" t="n">
        <v>0</v>
      </c>
    </row>
    <row r="503" spans="1:13">
      <c r="A503" s="1">
        <f>HYPERLINK("http://www.twitter.com/NathanBLawrence/status/996091648789577729", "996091648789577729")</f>
        <v/>
      </c>
      <c r="B503" s="2" t="n">
        <v>43234.76076388889</v>
      </c>
      <c r="C503" t="n">
        <v>0</v>
      </c>
      <c r="D503" t="n">
        <v>1</v>
      </c>
      <c r="E503" t="s">
        <v>508</v>
      </c>
      <c r="F503" t="s"/>
      <c r="G503" t="s"/>
      <c r="H503" t="s"/>
      <c r="I503" t="s"/>
      <c r="J503" t="n">
        <v>0.3885</v>
      </c>
      <c r="K503" t="n">
        <v>0.08500000000000001</v>
      </c>
      <c r="L503" t="n">
        <v>0.73</v>
      </c>
      <c r="M503" t="n">
        <v>0.186</v>
      </c>
    </row>
    <row r="504" spans="1:13">
      <c r="A504" s="1">
        <f>HYPERLINK("http://www.twitter.com/NathanBLawrence/status/996091113760002049", "996091113760002049")</f>
        <v/>
      </c>
      <c r="B504" s="2" t="n">
        <v>43234.75928240741</v>
      </c>
      <c r="C504" t="n">
        <v>0</v>
      </c>
      <c r="D504" t="n">
        <v>22</v>
      </c>
      <c r="E504" t="s">
        <v>509</v>
      </c>
      <c r="F504" t="s"/>
      <c r="G504" t="s"/>
      <c r="H504" t="s"/>
      <c r="I504" t="s"/>
      <c r="J504" t="n">
        <v>0.2481</v>
      </c>
      <c r="K504" t="n">
        <v>0.096</v>
      </c>
      <c r="L504" t="n">
        <v>0.731</v>
      </c>
      <c r="M504" t="n">
        <v>0.173</v>
      </c>
    </row>
    <row r="505" spans="1:13">
      <c r="A505" s="1">
        <f>HYPERLINK("http://www.twitter.com/NathanBLawrence/status/996091060026789888", "996091060026789888")</f>
        <v/>
      </c>
      <c r="B505" s="2" t="n">
        <v>43234.75913194445</v>
      </c>
      <c r="C505" t="n">
        <v>0</v>
      </c>
      <c r="D505" t="n">
        <v>11</v>
      </c>
      <c r="E505" t="s">
        <v>510</v>
      </c>
      <c r="F505" t="s"/>
      <c r="G505" t="s"/>
      <c r="H505" t="s"/>
      <c r="I505" t="s"/>
      <c r="J505" t="n">
        <v>-0.8221000000000001</v>
      </c>
      <c r="K505" t="n">
        <v>0.348</v>
      </c>
      <c r="L505" t="n">
        <v>0.652</v>
      </c>
      <c r="M505" t="n">
        <v>0</v>
      </c>
    </row>
    <row r="506" spans="1:13">
      <c r="A506" s="1">
        <f>HYPERLINK("http://www.twitter.com/NathanBLawrence/status/996090889868062720", "996090889868062720")</f>
        <v/>
      </c>
      <c r="B506" s="2" t="n">
        <v>43234.75866898148</v>
      </c>
      <c r="C506" t="n">
        <v>0</v>
      </c>
      <c r="D506" t="n">
        <v>0</v>
      </c>
      <c r="E506" t="s">
        <v>511</v>
      </c>
      <c r="F506" t="s"/>
      <c r="G506" t="s"/>
      <c r="H506" t="s"/>
      <c r="I506" t="s"/>
      <c r="J506" t="n">
        <v>-0.6322</v>
      </c>
      <c r="K506" t="n">
        <v>0.188</v>
      </c>
      <c r="L506" t="n">
        <v>0.8120000000000001</v>
      </c>
      <c r="M506" t="n">
        <v>0</v>
      </c>
    </row>
    <row r="507" spans="1:13">
      <c r="A507" s="1">
        <f>HYPERLINK("http://www.twitter.com/NathanBLawrence/status/996088848202522628", "996088848202522628")</f>
        <v/>
      </c>
      <c r="B507" s="2" t="n">
        <v>43234.75303240741</v>
      </c>
      <c r="C507" t="n">
        <v>8</v>
      </c>
      <c r="D507" t="n">
        <v>3</v>
      </c>
      <c r="E507" t="s">
        <v>512</v>
      </c>
      <c r="F507">
        <f>HYPERLINK("http://pbs.twimg.com/media/DdLRfOnW0AIkhoP.jpg", "http://pbs.twimg.com/media/DdLRfOnW0AIkhoP.jpg")</f>
        <v/>
      </c>
      <c r="G507" t="s"/>
      <c r="H507" t="s"/>
      <c r="I507" t="s"/>
      <c r="J507" t="n">
        <v>0.6391</v>
      </c>
      <c r="K507" t="n">
        <v>0.041</v>
      </c>
      <c r="L507" t="n">
        <v>0.824</v>
      </c>
      <c r="M507" t="n">
        <v>0.135</v>
      </c>
    </row>
    <row r="508" spans="1:13">
      <c r="A508" s="1">
        <f>HYPERLINK("http://www.twitter.com/NathanBLawrence/status/996088218016772096", "996088218016772096")</f>
        <v/>
      </c>
      <c r="B508" s="2" t="n">
        <v>43234.75129629629</v>
      </c>
      <c r="C508" t="n">
        <v>2</v>
      </c>
      <c r="D508" t="n">
        <v>2</v>
      </c>
      <c r="E508" t="s">
        <v>513</v>
      </c>
      <c r="F508">
        <f>HYPERLINK("http://pbs.twimg.com/media/DdLQ3bcWsAAzUoR.jpg", "http://pbs.twimg.com/media/DdLQ3bcWsAAzUoR.jpg")</f>
        <v/>
      </c>
      <c r="G508" t="s"/>
      <c r="H508" t="s"/>
      <c r="I508" t="s"/>
      <c r="J508" t="n">
        <v>-0.802</v>
      </c>
      <c r="K508" t="n">
        <v>0.19</v>
      </c>
      <c r="L508" t="n">
        <v>0.8100000000000001</v>
      </c>
      <c r="M508" t="n">
        <v>0</v>
      </c>
    </row>
    <row r="509" spans="1:13">
      <c r="A509" s="1">
        <f>HYPERLINK("http://www.twitter.com/NathanBLawrence/status/996087159013732352", "996087159013732352")</f>
        <v/>
      </c>
      <c r="B509" s="2" t="n">
        <v>43234.74836805555</v>
      </c>
      <c r="C509" t="n">
        <v>0</v>
      </c>
      <c r="D509" t="n">
        <v>22</v>
      </c>
      <c r="E509" t="s">
        <v>514</v>
      </c>
      <c r="F509" t="s"/>
      <c r="G509" t="s"/>
      <c r="H509" t="s"/>
      <c r="I509" t="s"/>
      <c r="J509" t="n">
        <v>0.5859</v>
      </c>
      <c r="K509" t="n">
        <v>0</v>
      </c>
      <c r="L509" t="n">
        <v>0.821</v>
      </c>
      <c r="M509" t="n">
        <v>0.179</v>
      </c>
    </row>
    <row r="510" spans="1:13">
      <c r="A510" s="1">
        <f>HYPERLINK("http://www.twitter.com/NathanBLawrence/status/996083392818106368", "996083392818106368")</f>
        <v/>
      </c>
      <c r="B510" s="2" t="n">
        <v>43234.73797453703</v>
      </c>
      <c r="C510" t="n">
        <v>1</v>
      </c>
      <c r="D510" t="n">
        <v>0</v>
      </c>
      <c r="E510" t="s">
        <v>515</v>
      </c>
      <c r="F510" t="s"/>
      <c r="G510" t="s"/>
      <c r="H510" t="s"/>
      <c r="I510" t="s"/>
      <c r="J510" t="n">
        <v>-0.4184</v>
      </c>
      <c r="K510" t="n">
        <v>0.317</v>
      </c>
      <c r="L510" t="n">
        <v>0.6830000000000001</v>
      </c>
      <c r="M510" t="n">
        <v>0</v>
      </c>
    </row>
    <row r="511" spans="1:13">
      <c r="A511" s="1">
        <f>HYPERLINK("http://www.twitter.com/NathanBLawrence/status/996083003834200064", "996083003834200064")</f>
        <v/>
      </c>
      <c r="B511" s="2" t="n">
        <v>43234.73690972223</v>
      </c>
      <c r="C511" t="n">
        <v>2</v>
      </c>
      <c r="D511" t="n">
        <v>2</v>
      </c>
      <c r="E511" t="s">
        <v>516</v>
      </c>
      <c r="F511">
        <f>HYPERLINK("http://pbs.twimg.com/media/DdLMKnJX4AAQAVy.jpg", "http://pbs.twimg.com/media/DdLMKnJX4AAQAVy.jpg")</f>
        <v/>
      </c>
      <c r="G511" t="s"/>
      <c r="H511" t="s"/>
      <c r="I511" t="s"/>
      <c r="J511" t="n">
        <v>-0.8465</v>
      </c>
      <c r="K511" t="n">
        <v>0.216</v>
      </c>
      <c r="L511" t="n">
        <v>0.73</v>
      </c>
      <c r="M511" t="n">
        <v>0.053</v>
      </c>
    </row>
    <row r="512" spans="1:13">
      <c r="A512" s="1">
        <f>HYPERLINK("http://www.twitter.com/NathanBLawrence/status/996082036438978560", "996082036438978560")</f>
        <v/>
      </c>
      <c r="B512" s="2" t="n">
        <v>43234.73423611111</v>
      </c>
      <c r="C512" t="n">
        <v>0</v>
      </c>
      <c r="D512" t="n">
        <v>1</v>
      </c>
      <c r="E512" t="s">
        <v>517</v>
      </c>
      <c r="F512" t="s"/>
      <c r="G512" t="s"/>
      <c r="H512" t="s"/>
      <c r="I512" t="s"/>
      <c r="J512" t="n">
        <v>0.7003</v>
      </c>
      <c r="K512" t="n">
        <v>0</v>
      </c>
      <c r="L512" t="n">
        <v>0.784</v>
      </c>
      <c r="M512" t="n">
        <v>0.216</v>
      </c>
    </row>
    <row r="513" spans="1:13">
      <c r="A513" s="1">
        <f>HYPERLINK("http://www.twitter.com/NathanBLawrence/status/996081976368140288", "996081976368140288")</f>
        <v/>
      </c>
      <c r="B513" s="2" t="n">
        <v>43234.73407407408</v>
      </c>
      <c r="C513" t="n">
        <v>4</v>
      </c>
      <c r="D513" t="n">
        <v>2</v>
      </c>
      <c r="E513" t="s">
        <v>518</v>
      </c>
      <c r="F513">
        <f>HYPERLINK("http://pbs.twimg.com/media/DdLLLC7XcAAS0ak.jpg", "http://pbs.twimg.com/media/DdLLLC7XcAAS0ak.jpg")</f>
        <v/>
      </c>
      <c r="G513" t="s"/>
      <c r="H513" t="s"/>
      <c r="I513" t="s"/>
      <c r="J513" t="n">
        <v>0.1111</v>
      </c>
      <c r="K513" t="n">
        <v>0.062</v>
      </c>
      <c r="L513" t="n">
        <v>0.886</v>
      </c>
      <c r="M513" t="n">
        <v>0.052</v>
      </c>
    </row>
    <row r="514" spans="1:13">
      <c r="A514" s="1">
        <f>HYPERLINK("http://www.twitter.com/NathanBLawrence/status/996081923805077504", "996081923805077504")</f>
        <v/>
      </c>
      <c r="B514" s="2" t="n">
        <v>43234.73392361111</v>
      </c>
      <c r="C514" t="n">
        <v>0</v>
      </c>
      <c r="D514" t="n">
        <v>176</v>
      </c>
      <c r="E514" t="s">
        <v>519</v>
      </c>
      <c r="F514" t="s"/>
      <c r="G514" t="s"/>
      <c r="H514" t="s"/>
      <c r="I514" t="s"/>
      <c r="J514" t="n">
        <v>-0.3612</v>
      </c>
      <c r="K514" t="n">
        <v>0.098</v>
      </c>
      <c r="L514" t="n">
        <v>0.902</v>
      </c>
      <c r="M514" t="n">
        <v>0</v>
      </c>
    </row>
    <row r="515" spans="1:13">
      <c r="A515" s="1">
        <f>HYPERLINK("http://www.twitter.com/NathanBLawrence/status/996081297817731072", "996081297817731072")</f>
        <v/>
      </c>
      <c r="B515" s="2" t="n">
        <v>43234.73219907407</v>
      </c>
      <c r="C515" t="n">
        <v>0</v>
      </c>
      <c r="D515" t="n">
        <v>3</v>
      </c>
      <c r="E515" t="s">
        <v>520</v>
      </c>
      <c r="F515" t="s"/>
      <c r="G515" t="s"/>
      <c r="H515" t="s"/>
      <c r="I515" t="s"/>
      <c r="J515" t="n">
        <v>0</v>
      </c>
      <c r="K515" t="n">
        <v>0</v>
      </c>
      <c r="L515" t="n">
        <v>1</v>
      </c>
      <c r="M515" t="n">
        <v>0</v>
      </c>
    </row>
    <row r="516" spans="1:13">
      <c r="A516" s="1">
        <f>HYPERLINK("http://www.twitter.com/NathanBLawrence/status/996081257997103106", "996081257997103106")</f>
        <v/>
      </c>
      <c r="B516" s="2" t="n">
        <v>43234.73208333334</v>
      </c>
      <c r="C516" t="n">
        <v>4</v>
      </c>
      <c r="D516" t="n">
        <v>1</v>
      </c>
      <c r="E516" t="s">
        <v>521</v>
      </c>
      <c r="F516">
        <f>HYPERLINK("http://pbs.twimg.com/media/DdLKnKaX4AQM9j3.jpg", "http://pbs.twimg.com/media/DdLKnKaX4AQM9j3.jpg")</f>
        <v/>
      </c>
      <c r="G516" t="s"/>
      <c r="H516" t="s"/>
      <c r="I516" t="s"/>
      <c r="J516" t="n">
        <v>-0.7418</v>
      </c>
      <c r="K516" t="n">
        <v>0.169</v>
      </c>
      <c r="L516" t="n">
        <v>0.802</v>
      </c>
      <c r="M516" t="n">
        <v>0.029</v>
      </c>
    </row>
    <row r="517" spans="1:13">
      <c r="A517" s="1">
        <f>HYPERLINK("http://www.twitter.com/NathanBLawrence/status/996080438287519745", "996080438287519745")</f>
        <v/>
      </c>
      <c r="B517" s="2" t="n">
        <v>43234.72982638889</v>
      </c>
      <c r="C517" t="n">
        <v>0</v>
      </c>
      <c r="D517" t="n">
        <v>2</v>
      </c>
      <c r="E517" t="s">
        <v>522</v>
      </c>
      <c r="F517" t="s"/>
      <c r="G517" t="s"/>
      <c r="H517" t="s"/>
      <c r="I517" t="s"/>
      <c r="J517" t="n">
        <v>-0.2263</v>
      </c>
      <c r="K517" t="n">
        <v>0.16</v>
      </c>
      <c r="L517" t="n">
        <v>0.84</v>
      </c>
      <c r="M517" t="n">
        <v>0</v>
      </c>
    </row>
    <row r="518" spans="1:13">
      <c r="A518" s="1">
        <f>HYPERLINK("http://www.twitter.com/NathanBLawrence/status/996080384587771905", "996080384587771905")</f>
        <v/>
      </c>
      <c r="B518" s="2" t="n">
        <v>43234.72967592593</v>
      </c>
      <c r="C518" t="n">
        <v>0</v>
      </c>
      <c r="D518" t="n">
        <v>26</v>
      </c>
      <c r="E518" t="s">
        <v>523</v>
      </c>
      <c r="F518" t="s"/>
      <c r="G518" t="s"/>
      <c r="H518" t="s"/>
      <c r="I518" t="s"/>
      <c r="J518" t="n">
        <v>-0.6908</v>
      </c>
      <c r="K518" t="n">
        <v>0.222</v>
      </c>
      <c r="L518" t="n">
        <v>0.778</v>
      </c>
      <c r="M518" t="n">
        <v>0</v>
      </c>
    </row>
    <row r="519" spans="1:13">
      <c r="A519" s="1">
        <f>HYPERLINK("http://www.twitter.com/NathanBLawrence/status/996080189598781440", "996080189598781440")</f>
        <v/>
      </c>
      <c r="B519" s="2" t="n">
        <v>43234.72914351852</v>
      </c>
      <c r="C519" t="n">
        <v>0</v>
      </c>
      <c r="D519" t="n">
        <v>14</v>
      </c>
      <c r="E519" t="s">
        <v>524</v>
      </c>
      <c r="F519">
        <f>HYPERLINK("http://pbs.twimg.com/media/DdKSOVQXcAAFpad.jpg", "http://pbs.twimg.com/media/DdKSOVQXcAAFpad.jpg")</f>
        <v/>
      </c>
      <c r="G519" t="s"/>
      <c r="H519" t="s"/>
      <c r="I519" t="s"/>
      <c r="J519" t="n">
        <v>-0.34</v>
      </c>
      <c r="K519" t="n">
        <v>0.192</v>
      </c>
      <c r="L519" t="n">
        <v>0.698</v>
      </c>
      <c r="M519" t="n">
        <v>0.11</v>
      </c>
    </row>
    <row r="520" spans="1:13">
      <c r="A520" s="1">
        <f>HYPERLINK("http://www.twitter.com/NathanBLawrence/status/996077015068561411", "996077015068561411")</f>
        <v/>
      </c>
      <c r="B520" s="2" t="n">
        <v>43234.72038194445</v>
      </c>
      <c r="C520" t="n">
        <v>2</v>
      </c>
      <c r="D520" t="n">
        <v>1</v>
      </c>
      <c r="E520" t="s">
        <v>525</v>
      </c>
      <c r="F520">
        <f>HYPERLINK("http://pbs.twimg.com/media/DdLGpYkXkAEFZ8q.jpg", "http://pbs.twimg.com/media/DdLGpYkXkAEFZ8q.jpg")</f>
        <v/>
      </c>
      <c r="G520" t="s"/>
      <c r="H520" t="s"/>
      <c r="I520" t="s"/>
      <c r="J520" t="n">
        <v>0</v>
      </c>
      <c r="K520" t="n">
        <v>0</v>
      </c>
      <c r="L520" t="n">
        <v>1</v>
      </c>
      <c r="M520" t="n">
        <v>0</v>
      </c>
    </row>
    <row r="521" spans="1:13">
      <c r="A521" s="1">
        <f>HYPERLINK("http://www.twitter.com/NathanBLawrence/status/996076980268359682", "996076980268359682")</f>
        <v/>
      </c>
      <c r="B521" s="2" t="n">
        <v>43234.72027777778</v>
      </c>
      <c r="C521" t="n">
        <v>0</v>
      </c>
      <c r="D521" t="n">
        <v>10</v>
      </c>
      <c r="E521" t="s">
        <v>526</v>
      </c>
      <c r="F521" t="s"/>
      <c r="G521" t="s"/>
      <c r="H521" t="s"/>
      <c r="I521" t="s"/>
      <c r="J521" t="n">
        <v>-0.8225</v>
      </c>
      <c r="K521" t="n">
        <v>0.395</v>
      </c>
      <c r="L521" t="n">
        <v>0.493</v>
      </c>
      <c r="M521" t="n">
        <v>0.112</v>
      </c>
    </row>
    <row r="522" spans="1:13">
      <c r="A522" s="1">
        <f>HYPERLINK("http://www.twitter.com/NathanBLawrence/status/996076533533102081", "996076533533102081")</f>
        <v/>
      </c>
      <c r="B522" s="2" t="n">
        <v>43234.71905092592</v>
      </c>
      <c r="C522" t="n">
        <v>3</v>
      </c>
      <c r="D522" t="n">
        <v>2</v>
      </c>
      <c r="E522" t="s">
        <v>527</v>
      </c>
      <c r="F522">
        <f>HYPERLINK("http://pbs.twimg.com/media/DdLGH_rXUAAYJhB.jpg", "http://pbs.twimg.com/media/DdLGH_rXUAAYJhB.jpg")</f>
        <v/>
      </c>
      <c r="G522" t="s"/>
      <c r="H522" t="s"/>
      <c r="I522" t="s"/>
      <c r="J522" t="n">
        <v>-0.1759</v>
      </c>
      <c r="K522" t="n">
        <v>0.076</v>
      </c>
      <c r="L522" t="n">
        <v>0.881</v>
      </c>
      <c r="M522" t="n">
        <v>0.043</v>
      </c>
    </row>
    <row r="523" spans="1:13">
      <c r="A523" s="1">
        <f>HYPERLINK("http://www.twitter.com/NathanBLawrence/status/996075510840016897", "996075510840016897")</f>
        <v/>
      </c>
      <c r="B523" s="2" t="n">
        <v>43234.71622685185</v>
      </c>
      <c r="C523" t="n">
        <v>0</v>
      </c>
      <c r="D523" t="n">
        <v>79</v>
      </c>
      <c r="E523" t="s">
        <v>528</v>
      </c>
      <c r="F523" t="s"/>
      <c r="G523" t="s"/>
      <c r="H523" t="s"/>
      <c r="I523" t="s"/>
      <c r="J523" t="n">
        <v>0</v>
      </c>
      <c r="K523" t="n">
        <v>0</v>
      </c>
      <c r="L523" t="n">
        <v>1</v>
      </c>
      <c r="M523" t="n">
        <v>0</v>
      </c>
    </row>
    <row r="524" spans="1:13">
      <c r="A524" s="1">
        <f>HYPERLINK("http://www.twitter.com/NathanBLawrence/status/996062502386589696", "996062502386589696")</f>
        <v/>
      </c>
      <c r="B524" s="2" t="n">
        <v>43234.68033564815</v>
      </c>
      <c r="C524" t="n">
        <v>3</v>
      </c>
      <c r="D524" t="n">
        <v>3</v>
      </c>
      <c r="E524" t="s">
        <v>529</v>
      </c>
      <c r="F524" t="s"/>
      <c r="G524" t="s"/>
      <c r="H524" t="s"/>
      <c r="I524" t="s"/>
      <c r="J524" t="n">
        <v>0.1531</v>
      </c>
      <c r="K524" t="n">
        <v>0.089</v>
      </c>
      <c r="L524" t="n">
        <v>0.794</v>
      </c>
      <c r="M524" t="n">
        <v>0.117</v>
      </c>
    </row>
    <row r="525" spans="1:13">
      <c r="A525" s="1">
        <f>HYPERLINK("http://www.twitter.com/NathanBLawrence/status/996062292776226816", "996062292776226816")</f>
        <v/>
      </c>
      <c r="B525" s="2" t="n">
        <v>43234.67975694445</v>
      </c>
      <c r="C525" t="n">
        <v>0</v>
      </c>
      <c r="D525" t="n">
        <v>35</v>
      </c>
      <c r="E525" t="s">
        <v>530</v>
      </c>
      <c r="F525" t="s"/>
      <c r="G525" t="s"/>
      <c r="H525" t="s"/>
      <c r="I525" t="s"/>
      <c r="J525" t="n">
        <v>0.1027</v>
      </c>
      <c r="K525" t="n">
        <v>0.097</v>
      </c>
      <c r="L525" t="n">
        <v>0.741</v>
      </c>
      <c r="M525" t="n">
        <v>0.162</v>
      </c>
    </row>
    <row r="526" spans="1:13">
      <c r="A526" s="1">
        <f>HYPERLINK("http://www.twitter.com/NathanBLawrence/status/996058003995545601", "996058003995545601")</f>
        <v/>
      </c>
      <c r="B526" s="2" t="n">
        <v>43234.66791666667</v>
      </c>
      <c r="C526" t="n">
        <v>4</v>
      </c>
      <c r="D526" t="n">
        <v>2</v>
      </c>
      <c r="E526" t="s">
        <v>531</v>
      </c>
      <c r="F526">
        <f>HYPERLINK("http://pbs.twimg.com/media/DdK1b-KXUAAsZur.jpg", "http://pbs.twimg.com/media/DdK1b-KXUAAsZur.jpg")</f>
        <v/>
      </c>
      <c r="G526" t="s"/>
      <c r="H526" t="s"/>
      <c r="I526" t="s"/>
      <c r="J526" t="n">
        <v>-0.5093</v>
      </c>
      <c r="K526" t="n">
        <v>0.08</v>
      </c>
      <c r="L526" t="n">
        <v>0.891</v>
      </c>
      <c r="M526" t="n">
        <v>0.029</v>
      </c>
    </row>
    <row r="527" spans="1:13">
      <c r="A527" s="1">
        <f>HYPERLINK("http://www.twitter.com/NathanBLawrence/status/996057027729379328", "996057027729379328")</f>
        <v/>
      </c>
      <c r="B527" s="2" t="n">
        <v>43234.66521990741</v>
      </c>
      <c r="C527" t="n">
        <v>0</v>
      </c>
      <c r="D527" t="n">
        <v>2</v>
      </c>
      <c r="E527" t="s">
        <v>532</v>
      </c>
      <c r="F527" t="s"/>
      <c r="G527" t="s"/>
      <c r="H527" t="s"/>
      <c r="I527" t="s"/>
      <c r="J527" t="n">
        <v>0</v>
      </c>
      <c r="K527" t="n">
        <v>0</v>
      </c>
      <c r="L527" t="n">
        <v>1</v>
      </c>
      <c r="M527" t="n">
        <v>0</v>
      </c>
    </row>
    <row r="528" spans="1:13">
      <c r="A528" s="1">
        <f>HYPERLINK("http://www.twitter.com/NathanBLawrence/status/996056852231327746", "996056852231327746")</f>
        <v/>
      </c>
      <c r="B528" s="2" t="n">
        <v>43234.66474537037</v>
      </c>
      <c r="C528" t="n">
        <v>2</v>
      </c>
      <c r="D528" t="n">
        <v>2</v>
      </c>
      <c r="E528" t="s">
        <v>533</v>
      </c>
      <c r="F528" t="s"/>
      <c r="G528" t="s"/>
      <c r="H528" t="s"/>
      <c r="I528" t="s"/>
      <c r="J528" t="n">
        <v>0</v>
      </c>
      <c r="K528" t="n">
        <v>0</v>
      </c>
      <c r="L528" t="n">
        <v>1</v>
      </c>
      <c r="M528" t="n">
        <v>0</v>
      </c>
    </row>
    <row r="529" spans="1:13">
      <c r="A529" s="1">
        <f>HYPERLINK("http://www.twitter.com/NathanBLawrence/status/996056033595453441", "996056033595453441")</f>
        <v/>
      </c>
      <c r="B529" s="2" t="n">
        <v>43234.66247685185</v>
      </c>
      <c r="C529" t="n">
        <v>3</v>
      </c>
      <c r="D529" t="n">
        <v>2</v>
      </c>
      <c r="E529" t="s">
        <v>534</v>
      </c>
      <c r="F529">
        <f>HYPERLINK("http://pbs.twimg.com/media/DdKzp8TW4AAuJ1l.jpg", "http://pbs.twimg.com/media/DdKzp8TW4AAuJ1l.jpg")</f>
        <v/>
      </c>
      <c r="G529" t="s"/>
      <c r="H529" t="s"/>
      <c r="I529" t="s"/>
      <c r="J529" t="n">
        <v>-0.7783</v>
      </c>
      <c r="K529" t="n">
        <v>0.382</v>
      </c>
      <c r="L529" t="n">
        <v>0.618</v>
      </c>
      <c r="M529" t="n">
        <v>0</v>
      </c>
    </row>
    <row r="530" spans="1:13">
      <c r="A530" s="1">
        <f>HYPERLINK("http://www.twitter.com/NathanBLawrence/status/996054914869747712", "996054914869747712")</f>
        <v/>
      </c>
      <c r="B530" s="2" t="n">
        <v>43234.65939814815</v>
      </c>
      <c r="C530" t="n">
        <v>0</v>
      </c>
      <c r="D530" t="n">
        <v>0</v>
      </c>
      <c r="E530" t="s">
        <v>535</v>
      </c>
      <c r="F530">
        <f>HYPERLINK("http://pbs.twimg.com/media/DdKyoEfWsAA0MhV.jpg", "http://pbs.twimg.com/media/DdKyoEfWsAA0MhV.jpg")</f>
        <v/>
      </c>
      <c r="G530" t="s"/>
      <c r="H530" t="s"/>
      <c r="I530" t="s"/>
      <c r="J530" t="n">
        <v>0</v>
      </c>
      <c r="K530" t="n">
        <v>0</v>
      </c>
      <c r="L530" t="n">
        <v>1</v>
      </c>
      <c r="M530" t="n">
        <v>0</v>
      </c>
    </row>
    <row r="531" spans="1:13">
      <c r="A531" s="1">
        <f>HYPERLINK("http://www.twitter.com/NathanBLawrence/status/996054479547064334", "996054479547064334")</f>
        <v/>
      </c>
      <c r="B531" s="2" t="n">
        <v>43234.65819444445</v>
      </c>
      <c r="C531" t="n">
        <v>3</v>
      </c>
      <c r="D531" t="n">
        <v>3</v>
      </c>
      <c r="E531" t="s">
        <v>536</v>
      </c>
      <c r="F531">
        <f>HYPERLINK("http://pbs.twimg.com/media/DdKyOxLX4AA_1Bq.jpg", "http://pbs.twimg.com/media/DdKyOxLX4AA_1Bq.jpg")</f>
        <v/>
      </c>
      <c r="G531" t="s"/>
      <c r="H531" t="s"/>
      <c r="I531" t="s"/>
      <c r="J531" t="n">
        <v>-0.3174</v>
      </c>
      <c r="K531" t="n">
        <v>0.093</v>
      </c>
      <c r="L531" t="n">
        <v>0.845</v>
      </c>
      <c r="M531" t="n">
        <v>0.062</v>
      </c>
    </row>
    <row r="532" spans="1:13">
      <c r="A532" s="1">
        <f>HYPERLINK("http://www.twitter.com/NathanBLawrence/status/996053309722185728", "996053309722185728")</f>
        <v/>
      </c>
      <c r="B532" s="2" t="n">
        <v>43234.65496527778</v>
      </c>
      <c r="C532" t="n">
        <v>0</v>
      </c>
      <c r="D532" t="n">
        <v>14</v>
      </c>
      <c r="E532" t="s">
        <v>537</v>
      </c>
      <c r="F532" t="s"/>
      <c r="G532" t="s"/>
      <c r="H532" t="s"/>
      <c r="I532" t="s"/>
      <c r="J532" t="n">
        <v>0.128</v>
      </c>
      <c r="K532" t="n">
        <v>0</v>
      </c>
      <c r="L532" t="n">
        <v>0.927</v>
      </c>
      <c r="M532" t="n">
        <v>0.073</v>
      </c>
    </row>
    <row r="533" spans="1:13">
      <c r="A533" s="1">
        <f>HYPERLINK("http://www.twitter.com/NathanBLawrence/status/996053246417555458", "996053246417555458")</f>
        <v/>
      </c>
      <c r="B533" s="2" t="n">
        <v>43234.65479166667</v>
      </c>
      <c r="C533" t="n">
        <v>0</v>
      </c>
      <c r="D533" t="n">
        <v>3</v>
      </c>
      <c r="E533" t="s">
        <v>538</v>
      </c>
      <c r="F533" t="s"/>
      <c r="G533" t="s"/>
      <c r="H533" t="s"/>
      <c r="I533" t="s"/>
      <c r="J533" t="n">
        <v>-0.6486</v>
      </c>
      <c r="K533" t="n">
        <v>0.249</v>
      </c>
      <c r="L533" t="n">
        <v>0.751</v>
      </c>
      <c r="M533" t="n">
        <v>0</v>
      </c>
    </row>
    <row r="534" spans="1:13">
      <c r="A534" s="1">
        <f>HYPERLINK("http://www.twitter.com/NathanBLawrence/status/996053148388249600", "996053148388249600")</f>
        <v/>
      </c>
      <c r="B534" s="2" t="n">
        <v>43234.65452546296</v>
      </c>
      <c r="C534" t="n">
        <v>0</v>
      </c>
      <c r="D534" t="n">
        <v>36</v>
      </c>
      <c r="E534" t="s">
        <v>539</v>
      </c>
      <c r="F534" t="s"/>
      <c r="G534" t="s"/>
      <c r="H534" t="s"/>
      <c r="I534" t="s"/>
      <c r="J534" t="n">
        <v>0</v>
      </c>
      <c r="K534" t="n">
        <v>0</v>
      </c>
      <c r="L534" t="n">
        <v>1</v>
      </c>
      <c r="M534" t="n">
        <v>0</v>
      </c>
    </row>
    <row r="535" spans="1:13">
      <c r="A535" s="1">
        <f>HYPERLINK("http://www.twitter.com/NathanBLawrence/status/996053131929800706", "996053131929800706")</f>
        <v/>
      </c>
      <c r="B535" s="2" t="n">
        <v>43234.65447916667</v>
      </c>
      <c r="C535" t="n">
        <v>0</v>
      </c>
      <c r="D535" t="n">
        <v>4</v>
      </c>
      <c r="E535" t="s">
        <v>540</v>
      </c>
      <c r="F535" t="s"/>
      <c r="G535" t="s"/>
      <c r="H535" t="s"/>
      <c r="I535" t="s"/>
      <c r="J535" t="n">
        <v>-0.5707</v>
      </c>
      <c r="K535" t="n">
        <v>0.439</v>
      </c>
      <c r="L535" t="n">
        <v>0.5610000000000001</v>
      </c>
      <c r="M535" t="n">
        <v>0</v>
      </c>
    </row>
    <row r="536" spans="1:13">
      <c r="A536" s="1">
        <f>HYPERLINK("http://www.twitter.com/NathanBLawrence/status/996053107099537410", "996053107099537410")</f>
        <v/>
      </c>
      <c r="B536" s="2" t="n">
        <v>43234.65440972222</v>
      </c>
      <c r="C536" t="n">
        <v>0</v>
      </c>
      <c r="D536" t="n">
        <v>35</v>
      </c>
      <c r="E536" t="s">
        <v>541</v>
      </c>
      <c r="F536" t="s"/>
      <c r="G536" t="s"/>
      <c r="H536" t="s"/>
      <c r="I536" t="s"/>
      <c r="J536" t="n">
        <v>-0.6486</v>
      </c>
      <c r="K536" t="n">
        <v>0.218</v>
      </c>
      <c r="L536" t="n">
        <v>0.782</v>
      </c>
      <c r="M536" t="n">
        <v>0</v>
      </c>
    </row>
    <row r="537" spans="1:13">
      <c r="A537" s="1">
        <f>HYPERLINK("http://www.twitter.com/NathanBLawrence/status/996053080063008769", "996053080063008769")</f>
        <v/>
      </c>
      <c r="B537" s="2" t="n">
        <v>43234.65432870371</v>
      </c>
      <c r="C537" t="n">
        <v>0</v>
      </c>
      <c r="D537" t="n">
        <v>135</v>
      </c>
      <c r="E537" t="s">
        <v>542</v>
      </c>
      <c r="F537" t="s"/>
      <c r="G537" t="s"/>
      <c r="H537" t="s"/>
      <c r="I537" t="s"/>
      <c r="J537" t="n">
        <v>0</v>
      </c>
      <c r="K537" t="n">
        <v>0</v>
      </c>
      <c r="L537" t="n">
        <v>1</v>
      </c>
      <c r="M537" t="n">
        <v>0</v>
      </c>
    </row>
    <row r="538" spans="1:13">
      <c r="A538" s="1">
        <f>HYPERLINK("http://www.twitter.com/NathanBLawrence/status/996042946913939456", "996042946913939456")</f>
        <v/>
      </c>
      <c r="B538" s="2" t="n">
        <v>43234.62636574074</v>
      </c>
      <c r="C538" t="n">
        <v>0</v>
      </c>
      <c r="D538" t="n">
        <v>3</v>
      </c>
      <c r="E538" t="s">
        <v>543</v>
      </c>
      <c r="F538" t="s"/>
      <c r="G538" t="s"/>
      <c r="H538" t="s"/>
      <c r="I538" t="s"/>
      <c r="J538" t="n">
        <v>0</v>
      </c>
      <c r="K538" t="n">
        <v>0</v>
      </c>
      <c r="L538" t="n">
        <v>1</v>
      </c>
      <c r="M538" t="n">
        <v>0</v>
      </c>
    </row>
    <row r="539" spans="1:13">
      <c r="A539" s="1">
        <f>HYPERLINK("http://www.twitter.com/NathanBLawrence/status/996042885924642818", "996042885924642818")</f>
        <v/>
      </c>
      <c r="B539" s="2" t="n">
        <v>43234.6262037037</v>
      </c>
      <c r="C539" t="n">
        <v>0</v>
      </c>
      <c r="D539" t="n">
        <v>83</v>
      </c>
      <c r="E539" t="s">
        <v>544</v>
      </c>
      <c r="F539" t="s"/>
      <c r="G539" t="s"/>
      <c r="H539" t="s"/>
      <c r="I539" t="s"/>
      <c r="J539" t="n">
        <v>-0.296</v>
      </c>
      <c r="K539" t="n">
        <v>0.104</v>
      </c>
      <c r="L539" t="n">
        <v>0.896</v>
      </c>
      <c r="M539" t="n">
        <v>0</v>
      </c>
    </row>
    <row r="540" spans="1:13">
      <c r="A540" s="1">
        <f>HYPERLINK("http://www.twitter.com/NathanBLawrence/status/996042722309038080", "996042722309038080")</f>
        <v/>
      </c>
      <c r="B540" s="2" t="n">
        <v>43234.62575231482</v>
      </c>
      <c r="C540" t="n">
        <v>0</v>
      </c>
      <c r="D540" t="n">
        <v>11</v>
      </c>
      <c r="E540" t="s">
        <v>545</v>
      </c>
      <c r="F540" t="s"/>
      <c r="G540" t="s"/>
      <c r="H540" t="s"/>
      <c r="I540" t="s"/>
      <c r="J540" t="n">
        <v>0.5859</v>
      </c>
      <c r="K540" t="n">
        <v>0</v>
      </c>
      <c r="L540" t="n">
        <v>0.806</v>
      </c>
      <c r="M540" t="n">
        <v>0.194</v>
      </c>
    </row>
    <row r="541" spans="1:13">
      <c r="A541" s="1">
        <f>HYPERLINK("http://www.twitter.com/NathanBLawrence/status/996036923524354048", "996036923524354048")</f>
        <v/>
      </c>
      <c r="B541" s="2" t="n">
        <v>43234.60974537037</v>
      </c>
      <c r="C541" t="n">
        <v>0</v>
      </c>
      <c r="D541" t="n">
        <v>0</v>
      </c>
      <c r="E541" t="s">
        <v>546</v>
      </c>
      <c r="F541" t="s"/>
      <c r="G541" t="s"/>
      <c r="H541" t="s"/>
      <c r="I541" t="s"/>
      <c r="J541" t="n">
        <v>0.8300999999999999</v>
      </c>
      <c r="K541" t="n">
        <v>0</v>
      </c>
      <c r="L541" t="n">
        <v>0.392</v>
      </c>
      <c r="M541" t="n">
        <v>0.608</v>
      </c>
    </row>
    <row r="542" spans="1:13">
      <c r="A542" s="1">
        <f>HYPERLINK("http://www.twitter.com/NathanBLawrence/status/996036803755900929", "996036803755900929")</f>
        <v/>
      </c>
      <c r="B542" s="2" t="n">
        <v>43234.6094212963</v>
      </c>
      <c r="C542" t="n">
        <v>2</v>
      </c>
      <c r="D542" t="n">
        <v>1</v>
      </c>
      <c r="E542" t="s">
        <v>547</v>
      </c>
      <c r="F542" t="s"/>
      <c r="G542" t="s"/>
      <c r="H542" t="s"/>
      <c r="I542" t="s"/>
      <c r="J542" t="n">
        <v>-0.1027</v>
      </c>
      <c r="K542" t="n">
        <v>0.075</v>
      </c>
      <c r="L542" t="n">
        <v>0.859</v>
      </c>
      <c r="M542" t="n">
        <v>0.066</v>
      </c>
    </row>
    <row r="543" spans="1:13">
      <c r="A543" s="1">
        <f>HYPERLINK("http://www.twitter.com/NathanBLawrence/status/996031319594487808", "996031319594487808")</f>
        <v/>
      </c>
      <c r="B543" s="2" t="n">
        <v>43234.59428240741</v>
      </c>
      <c r="C543" t="n">
        <v>1</v>
      </c>
      <c r="D543" t="n">
        <v>1</v>
      </c>
      <c r="E543" t="s">
        <v>548</v>
      </c>
      <c r="F543" t="s"/>
      <c r="G543" t="s"/>
      <c r="H543" t="s"/>
      <c r="I543" t="s"/>
      <c r="J543" t="n">
        <v>0.9866</v>
      </c>
      <c r="K543" t="n">
        <v>0</v>
      </c>
      <c r="L543" t="n">
        <v>0.464</v>
      </c>
      <c r="M543" t="n">
        <v>0.536</v>
      </c>
    </row>
    <row r="544" spans="1:13">
      <c r="A544" s="1">
        <f>HYPERLINK("http://www.twitter.com/NathanBLawrence/status/996030762968338433", "996030762968338433")</f>
        <v/>
      </c>
      <c r="B544" s="2" t="n">
        <v>43234.59274305555</v>
      </c>
      <c r="C544" t="n">
        <v>7</v>
      </c>
      <c r="D544" t="n">
        <v>4</v>
      </c>
      <c r="E544" t="s">
        <v>549</v>
      </c>
      <c r="F544" t="s"/>
      <c r="G544" t="s"/>
      <c r="H544" t="s"/>
      <c r="I544" t="s"/>
      <c r="J544" t="n">
        <v>0.4515</v>
      </c>
      <c r="K544" t="n">
        <v>0.028</v>
      </c>
      <c r="L544" t="n">
        <v>0.887</v>
      </c>
      <c r="M544" t="n">
        <v>0.08599999999999999</v>
      </c>
    </row>
    <row r="545" spans="1:13">
      <c r="A545" s="1">
        <f>HYPERLINK("http://www.twitter.com/NathanBLawrence/status/996014622586089473", "996014622586089473")</f>
        <v/>
      </c>
      <c r="B545" s="2" t="n">
        <v>43234.54820601852</v>
      </c>
      <c r="C545" t="n">
        <v>0</v>
      </c>
      <c r="D545" t="n">
        <v>5</v>
      </c>
      <c r="E545" t="s">
        <v>550</v>
      </c>
      <c r="F545" t="s"/>
      <c r="G545" t="s"/>
      <c r="H545" t="s"/>
      <c r="I545" t="s"/>
      <c r="J545" t="n">
        <v>0</v>
      </c>
      <c r="K545" t="n">
        <v>0</v>
      </c>
      <c r="L545" t="n">
        <v>1</v>
      </c>
      <c r="M545" t="n">
        <v>0</v>
      </c>
    </row>
    <row r="546" spans="1:13">
      <c r="A546" s="1">
        <f>HYPERLINK("http://www.twitter.com/NathanBLawrence/status/996014461281619970", "996014461281619970")</f>
        <v/>
      </c>
      <c r="B546" s="2" t="n">
        <v>43234.5477662037</v>
      </c>
      <c r="C546" t="n">
        <v>0</v>
      </c>
      <c r="D546" t="n">
        <v>8</v>
      </c>
      <c r="E546" t="s">
        <v>551</v>
      </c>
      <c r="F546" t="s"/>
      <c r="G546" t="s"/>
      <c r="H546" t="s"/>
      <c r="I546" t="s"/>
      <c r="J546" t="n">
        <v>0</v>
      </c>
      <c r="K546" t="n">
        <v>0.146</v>
      </c>
      <c r="L546" t="n">
        <v>0.669</v>
      </c>
      <c r="M546" t="n">
        <v>0.185</v>
      </c>
    </row>
    <row r="547" spans="1:13">
      <c r="A547" s="1">
        <f>HYPERLINK("http://www.twitter.com/NathanBLawrence/status/996014099162124288", "996014099162124288")</f>
        <v/>
      </c>
      <c r="B547" s="2" t="n">
        <v>43234.54675925926</v>
      </c>
      <c r="C547" t="n">
        <v>0</v>
      </c>
      <c r="D547" t="n">
        <v>15</v>
      </c>
      <c r="E547" t="s">
        <v>552</v>
      </c>
      <c r="F547">
        <f>HYPERLINK("http://pbs.twimg.com/media/DdKKwCDW4AEa_tu.jpg", "http://pbs.twimg.com/media/DdKKwCDW4AEa_tu.jpg")</f>
        <v/>
      </c>
      <c r="G547" t="s"/>
      <c r="H547" t="s"/>
      <c r="I547" t="s"/>
      <c r="J547" t="n">
        <v>-0.2732</v>
      </c>
      <c r="K547" t="n">
        <v>0.095</v>
      </c>
      <c r="L547" t="n">
        <v>0.905</v>
      </c>
      <c r="M547" t="n">
        <v>0</v>
      </c>
    </row>
    <row r="548" spans="1:13">
      <c r="A548" s="1">
        <f>HYPERLINK("http://www.twitter.com/NathanBLawrence/status/996014026185433090", "996014026185433090")</f>
        <v/>
      </c>
      <c r="B548" s="2" t="n">
        <v>43234.5465625</v>
      </c>
      <c r="C548" t="n">
        <v>0</v>
      </c>
      <c r="D548" t="n">
        <v>19</v>
      </c>
      <c r="E548" t="s">
        <v>553</v>
      </c>
      <c r="F548">
        <f>HYPERLINK("http://pbs.twimg.com/media/DdKHAOYVQAEImFM.jpg", "http://pbs.twimg.com/media/DdKHAOYVQAEImFM.jpg")</f>
        <v/>
      </c>
      <c r="G548" t="s"/>
      <c r="H548" t="s"/>
      <c r="I548" t="s"/>
      <c r="J548" t="n">
        <v>-0.3939</v>
      </c>
      <c r="K548" t="n">
        <v>0.1</v>
      </c>
      <c r="L548" t="n">
        <v>0.9</v>
      </c>
      <c r="M548" t="n">
        <v>0</v>
      </c>
    </row>
    <row r="549" spans="1:13">
      <c r="A549" s="1">
        <f>HYPERLINK("http://www.twitter.com/NathanBLawrence/status/996013845884932097", "996013845884932097")</f>
        <v/>
      </c>
      <c r="B549" s="2" t="n">
        <v>43234.54606481481</v>
      </c>
      <c r="C549" t="n">
        <v>1</v>
      </c>
      <c r="D549" t="n">
        <v>0</v>
      </c>
      <c r="E549" t="s">
        <v>554</v>
      </c>
      <c r="F549" t="s"/>
      <c r="G549" t="s"/>
      <c r="H549" t="s"/>
      <c r="I549" t="s"/>
      <c r="J549" t="n">
        <v>0.2168</v>
      </c>
      <c r="K549" t="n">
        <v>0.06900000000000001</v>
      </c>
      <c r="L549" t="n">
        <v>0.845</v>
      </c>
      <c r="M549" t="n">
        <v>0.08599999999999999</v>
      </c>
    </row>
    <row r="550" spans="1:13">
      <c r="A550" s="1">
        <f>HYPERLINK("http://www.twitter.com/NathanBLawrence/status/996005914355425280", "996005914355425280")</f>
        <v/>
      </c>
      <c r="B550" s="2" t="n">
        <v>43234.52417824074</v>
      </c>
      <c r="C550" t="n">
        <v>0</v>
      </c>
      <c r="D550" t="n">
        <v>4</v>
      </c>
      <c r="E550" t="s">
        <v>555</v>
      </c>
      <c r="F550">
        <f>HYPERLINK("http://pbs.twimg.com/media/DdH1Yw-U8AAlPCO.jpg", "http://pbs.twimg.com/media/DdH1Yw-U8AAlPCO.jpg")</f>
        <v/>
      </c>
      <c r="G550" t="s"/>
      <c r="H550" t="s"/>
      <c r="I550" t="s"/>
      <c r="J550" t="n">
        <v>0</v>
      </c>
      <c r="K550" t="n">
        <v>0</v>
      </c>
      <c r="L550" t="n">
        <v>1</v>
      </c>
      <c r="M550" t="n">
        <v>0</v>
      </c>
    </row>
    <row r="551" spans="1:13">
      <c r="A551" s="1">
        <f>HYPERLINK("http://www.twitter.com/NathanBLawrence/status/996005674566987776", "996005674566987776")</f>
        <v/>
      </c>
      <c r="B551" s="2" t="n">
        <v>43234.52351851852</v>
      </c>
      <c r="C551" t="n">
        <v>0</v>
      </c>
      <c r="D551" t="n">
        <v>2</v>
      </c>
      <c r="E551" t="s">
        <v>556</v>
      </c>
      <c r="F551" t="s"/>
      <c r="G551" t="s"/>
      <c r="H551" t="s"/>
      <c r="I551" t="s"/>
      <c r="J551" t="n">
        <v>-0.743</v>
      </c>
      <c r="K551" t="n">
        <v>0.27</v>
      </c>
      <c r="L551" t="n">
        <v>0.73</v>
      </c>
      <c r="M551" t="n">
        <v>0</v>
      </c>
    </row>
    <row r="552" spans="1:13">
      <c r="A552" s="1">
        <f>HYPERLINK("http://www.twitter.com/NathanBLawrence/status/996005443251171329", "996005443251171329")</f>
        <v/>
      </c>
      <c r="B552" s="2" t="n">
        <v>43234.52288194445</v>
      </c>
      <c r="C552" t="n">
        <v>0</v>
      </c>
      <c r="D552" t="n">
        <v>1</v>
      </c>
      <c r="E552" t="s">
        <v>557</v>
      </c>
      <c r="F552" t="s"/>
      <c r="G552" t="s"/>
      <c r="H552" t="s"/>
      <c r="I552" t="s"/>
      <c r="J552" t="n">
        <v>0.4019</v>
      </c>
      <c r="K552" t="n">
        <v>0</v>
      </c>
      <c r="L552" t="n">
        <v>0.899</v>
      </c>
      <c r="M552" t="n">
        <v>0.101</v>
      </c>
    </row>
    <row r="553" spans="1:13">
      <c r="A553" s="1">
        <f>HYPERLINK("http://www.twitter.com/NathanBLawrence/status/996005273872556032", "996005273872556032")</f>
        <v/>
      </c>
      <c r="B553" s="2" t="n">
        <v>43234.52240740741</v>
      </c>
      <c r="C553" t="n">
        <v>0</v>
      </c>
      <c r="D553" t="n">
        <v>98</v>
      </c>
      <c r="E553" t="s">
        <v>558</v>
      </c>
      <c r="F553" t="s"/>
      <c r="G553" t="s"/>
      <c r="H553" t="s"/>
      <c r="I553" t="s"/>
      <c r="J553" t="n">
        <v>0.2023</v>
      </c>
      <c r="K553" t="n">
        <v>0</v>
      </c>
      <c r="L553" t="n">
        <v>0.921</v>
      </c>
      <c r="M553" t="n">
        <v>0.079</v>
      </c>
    </row>
    <row r="554" spans="1:13">
      <c r="A554" s="1">
        <f>HYPERLINK("http://www.twitter.com/NathanBLawrence/status/996004548362883072", "996004548362883072")</f>
        <v/>
      </c>
      <c r="B554" s="2" t="n">
        <v>43234.52040509259</v>
      </c>
      <c r="C554" t="n">
        <v>0</v>
      </c>
      <c r="D554" t="n">
        <v>0</v>
      </c>
      <c r="E554" t="s">
        <v>559</v>
      </c>
      <c r="F554" t="s"/>
      <c r="G554" t="s"/>
      <c r="H554" t="s"/>
      <c r="I554" t="s"/>
      <c r="J554" t="n">
        <v>0</v>
      </c>
      <c r="K554" t="n">
        <v>0</v>
      </c>
      <c r="L554" t="n">
        <v>1</v>
      </c>
      <c r="M554" t="n">
        <v>0</v>
      </c>
    </row>
    <row r="555" spans="1:13">
      <c r="A555" s="1">
        <f>HYPERLINK("http://www.twitter.com/NathanBLawrence/status/995997257991417858", "995997257991417858")</f>
        <v/>
      </c>
      <c r="B555" s="2" t="n">
        <v>43234.50028935185</v>
      </c>
      <c r="C555" t="n">
        <v>0</v>
      </c>
      <c r="D555" t="n">
        <v>4</v>
      </c>
      <c r="E555" t="s">
        <v>560</v>
      </c>
      <c r="F555" t="s"/>
      <c r="G555" t="s"/>
      <c r="H555" t="s"/>
      <c r="I555" t="s"/>
      <c r="J555" t="n">
        <v>0.5612</v>
      </c>
      <c r="K555" t="n">
        <v>0</v>
      </c>
      <c r="L555" t="n">
        <v>0.84</v>
      </c>
      <c r="M555" t="n">
        <v>0.16</v>
      </c>
    </row>
    <row r="556" spans="1:13">
      <c r="A556" s="1">
        <f>HYPERLINK("http://www.twitter.com/NathanBLawrence/status/995997221928783872", "995997221928783872")</f>
        <v/>
      </c>
      <c r="B556" s="2" t="n">
        <v>43234.50019675926</v>
      </c>
      <c r="C556" t="n">
        <v>0</v>
      </c>
      <c r="D556" t="n">
        <v>4</v>
      </c>
      <c r="E556" t="s">
        <v>561</v>
      </c>
      <c r="F556" t="s"/>
      <c r="G556" t="s"/>
      <c r="H556" t="s"/>
      <c r="I556" t="s"/>
      <c r="J556" t="n">
        <v>0.4939</v>
      </c>
      <c r="K556" t="n">
        <v>0</v>
      </c>
      <c r="L556" t="n">
        <v>0.862</v>
      </c>
      <c r="M556" t="n">
        <v>0.138</v>
      </c>
    </row>
    <row r="557" spans="1:13">
      <c r="A557" s="1">
        <f>HYPERLINK("http://www.twitter.com/NathanBLawrence/status/995996981125410816", "995996981125410816")</f>
        <v/>
      </c>
      <c r="B557" s="2" t="n">
        <v>43234.49952546296</v>
      </c>
      <c r="C557" t="n">
        <v>2</v>
      </c>
      <c r="D557" t="n">
        <v>0</v>
      </c>
      <c r="E557" t="s">
        <v>562</v>
      </c>
      <c r="F557">
        <f>HYPERLINK("http://pbs.twimg.com/media/DdJ9-JvVwAAtcNw.jpg", "http://pbs.twimg.com/media/DdJ9-JvVwAAtcNw.jpg")</f>
        <v/>
      </c>
      <c r="G557" t="s"/>
      <c r="H557" t="s"/>
      <c r="I557" t="s"/>
      <c r="J557" t="n">
        <v>-0.8243</v>
      </c>
      <c r="K557" t="n">
        <v>0.245</v>
      </c>
      <c r="L557" t="n">
        <v>0.665</v>
      </c>
      <c r="M557" t="n">
        <v>0.09</v>
      </c>
    </row>
    <row r="558" spans="1:13">
      <c r="A558" s="1">
        <f>HYPERLINK("http://www.twitter.com/NathanBLawrence/status/995995820142022661", "995995820142022661")</f>
        <v/>
      </c>
      <c r="B558" s="2" t="n">
        <v>43234.49631944444</v>
      </c>
      <c r="C558" t="n">
        <v>1</v>
      </c>
      <c r="D558" t="n">
        <v>0</v>
      </c>
      <c r="E558" t="s">
        <v>563</v>
      </c>
      <c r="F558" t="s"/>
      <c r="G558" t="s"/>
      <c r="H558" t="s"/>
      <c r="I558" t="s"/>
      <c r="J558" t="n">
        <v>-0.5859</v>
      </c>
      <c r="K558" t="n">
        <v>0.18</v>
      </c>
      <c r="L558" t="n">
        <v>0.703</v>
      </c>
      <c r="M558" t="n">
        <v>0.118</v>
      </c>
    </row>
    <row r="559" spans="1:13">
      <c r="A559" s="1">
        <f>HYPERLINK("http://www.twitter.com/NathanBLawrence/status/995994657845858304", "995994657845858304")</f>
        <v/>
      </c>
      <c r="B559" s="2" t="n">
        <v>43234.49311342592</v>
      </c>
      <c r="C559" t="n">
        <v>0</v>
      </c>
      <c r="D559" t="n">
        <v>2</v>
      </c>
      <c r="E559" t="s">
        <v>564</v>
      </c>
      <c r="F559" t="s"/>
      <c r="G559" t="s"/>
      <c r="H559" t="s"/>
      <c r="I559" t="s"/>
      <c r="J559" t="n">
        <v>0</v>
      </c>
      <c r="K559" t="n">
        <v>0</v>
      </c>
      <c r="L559" t="n">
        <v>1</v>
      </c>
      <c r="M559" t="n">
        <v>0</v>
      </c>
    </row>
    <row r="560" spans="1:13">
      <c r="A560" s="1">
        <f>HYPERLINK("http://www.twitter.com/NathanBLawrence/status/995994612635402240", "995994612635402240")</f>
        <v/>
      </c>
      <c r="B560" s="2" t="n">
        <v>43234.49298611111</v>
      </c>
      <c r="C560" t="n">
        <v>0</v>
      </c>
      <c r="D560" t="n">
        <v>0</v>
      </c>
      <c r="E560" t="s">
        <v>565</v>
      </c>
      <c r="F560" t="s"/>
      <c r="G560" t="s"/>
      <c r="H560" t="s"/>
      <c r="I560" t="s"/>
      <c r="J560" t="n">
        <v>0</v>
      </c>
      <c r="K560" t="n">
        <v>0</v>
      </c>
      <c r="L560" t="n">
        <v>1</v>
      </c>
      <c r="M560" t="n">
        <v>0</v>
      </c>
    </row>
    <row r="561" spans="1:13">
      <c r="A561" s="1">
        <f>HYPERLINK("http://www.twitter.com/NathanBLawrence/status/995994360062889984", "995994360062889984")</f>
        <v/>
      </c>
      <c r="B561" s="2" t="n">
        <v>43234.49229166667</v>
      </c>
      <c r="C561" t="n">
        <v>0</v>
      </c>
      <c r="D561" t="n">
        <v>0</v>
      </c>
      <c r="E561" t="s">
        <v>566</v>
      </c>
      <c r="F561" t="s"/>
      <c r="G561" t="s"/>
      <c r="H561" t="s"/>
      <c r="I561" t="s"/>
      <c r="J561" t="n">
        <v>0</v>
      </c>
      <c r="K561" t="n">
        <v>0</v>
      </c>
      <c r="L561" t="n">
        <v>1</v>
      </c>
      <c r="M561" t="n">
        <v>0</v>
      </c>
    </row>
    <row r="562" spans="1:13">
      <c r="A562" s="1">
        <f>HYPERLINK("http://www.twitter.com/NathanBLawrence/status/995994153761820672", "995994153761820672")</f>
        <v/>
      </c>
      <c r="B562" s="2" t="n">
        <v>43234.49172453704</v>
      </c>
      <c r="C562" t="n">
        <v>1</v>
      </c>
      <c r="D562" t="n">
        <v>0</v>
      </c>
      <c r="E562" t="s">
        <v>567</v>
      </c>
      <c r="F562" t="s"/>
      <c r="G562" t="s"/>
      <c r="H562" t="s"/>
      <c r="I562" t="s"/>
      <c r="J562" t="n">
        <v>0.8779</v>
      </c>
      <c r="K562" t="n">
        <v>0.058</v>
      </c>
      <c r="L562" t="n">
        <v>0.672</v>
      </c>
      <c r="M562" t="n">
        <v>0.271</v>
      </c>
    </row>
    <row r="563" spans="1:13">
      <c r="A563" s="1">
        <f>HYPERLINK("http://www.twitter.com/NathanBLawrence/status/995993239747485696", "995993239747485696")</f>
        <v/>
      </c>
      <c r="B563" s="2" t="n">
        <v>43234.48920138889</v>
      </c>
      <c r="C563" t="n">
        <v>0</v>
      </c>
      <c r="D563" t="n">
        <v>0</v>
      </c>
      <c r="E563" t="s">
        <v>568</v>
      </c>
      <c r="F563">
        <f>HYPERLINK("http://pbs.twimg.com/media/DdJ6khVVMAA12Zu.jpg", "http://pbs.twimg.com/media/DdJ6khVVMAA12Zu.jpg")</f>
        <v/>
      </c>
      <c r="G563" t="s"/>
      <c r="H563" t="s"/>
      <c r="I563" t="s"/>
      <c r="J563" t="n">
        <v>-0.4019</v>
      </c>
      <c r="K563" t="n">
        <v>0.107</v>
      </c>
      <c r="L563" t="n">
        <v>0.842</v>
      </c>
      <c r="M563" t="n">
        <v>0.051</v>
      </c>
    </row>
    <row r="564" spans="1:13">
      <c r="A564" s="1">
        <f>HYPERLINK("http://www.twitter.com/NathanBLawrence/status/995991979443056642", "995991979443056642")</f>
        <v/>
      </c>
      <c r="B564" s="2" t="n">
        <v>43234.48572916666</v>
      </c>
      <c r="C564" t="n">
        <v>1</v>
      </c>
      <c r="D564" t="n">
        <v>0</v>
      </c>
      <c r="E564" t="s">
        <v>569</v>
      </c>
      <c r="F564" t="s"/>
      <c r="G564" t="s"/>
      <c r="H564" t="s"/>
      <c r="I564" t="s"/>
      <c r="J564" t="n">
        <v>-0.7964</v>
      </c>
      <c r="K564" t="n">
        <v>0.236</v>
      </c>
      <c r="L564" t="n">
        <v>0.667</v>
      </c>
      <c r="M564" t="n">
        <v>0.097</v>
      </c>
    </row>
    <row r="565" spans="1:13">
      <c r="A565" s="1">
        <f>HYPERLINK("http://www.twitter.com/NathanBLawrence/status/995991199583531008", "995991199583531008")</f>
        <v/>
      </c>
      <c r="B565" s="2" t="n">
        <v>43234.48357638889</v>
      </c>
      <c r="C565" t="n">
        <v>0</v>
      </c>
      <c r="D565" t="n">
        <v>51</v>
      </c>
      <c r="E565" t="s">
        <v>570</v>
      </c>
      <c r="F565" t="s"/>
      <c r="G565" t="s"/>
      <c r="H565" t="s"/>
      <c r="I565" t="s"/>
      <c r="J565" t="n">
        <v>0</v>
      </c>
      <c r="K565" t="n">
        <v>0</v>
      </c>
      <c r="L565" t="n">
        <v>1</v>
      </c>
      <c r="M565" t="n">
        <v>0</v>
      </c>
    </row>
    <row r="566" spans="1:13">
      <c r="A566" s="1">
        <f>HYPERLINK("http://www.twitter.com/NathanBLawrence/status/995989972359491584", "995989972359491584")</f>
        <v/>
      </c>
      <c r="B566" s="2" t="n">
        <v>43234.48018518519</v>
      </c>
      <c r="C566" t="n">
        <v>0</v>
      </c>
      <c r="D566" t="n">
        <v>2</v>
      </c>
      <c r="E566" t="s">
        <v>571</v>
      </c>
      <c r="F566" t="s"/>
      <c r="G566" t="s"/>
      <c r="H566" t="s"/>
      <c r="I566" t="s"/>
      <c r="J566" t="n">
        <v>0.2057</v>
      </c>
      <c r="K566" t="n">
        <v>0</v>
      </c>
      <c r="L566" t="n">
        <v>0.885</v>
      </c>
      <c r="M566" t="n">
        <v>0.115</v>
      </c>
    </row>
    <row r="567" spans="1:13">
      <c r="A567" s="1">
        <f>HYPERLINK("http://www.twitter.com/NathanBLawrence/status/995882231947284480", "995882231947284480")</f>
        <v/>
      </c>
      <c r="B567" s="2" t="n">
        <v>43234.18288194444</v>
      </c>
      <c r="C567" t="n">
        <v>0</v>
      </c>
      <c r="D567" t="n">
        <v>0</v>
      </c>
      <c r="E567" t="s">
        <v>572</v>
      </c>
      <c r="F567" t="s"/>
      <c r="G567" t="s"/>
      <c r="H567" t="s"/>
      <c r="I567" t="s"/>
      <c r="J567" t="n">
        <v>0.2023</v>
      </c>
      <c r="K567" t="n">
        <v>0.412</v>
      </c>
      <c r="L567" t="n">
        <v>0.294</v>
      </c>
      <c r="M567" t="n">
        <v>0.294</v>
      </c>
    </row>
    <row r="568" spans="1:13">
      <c r="A568" s="1">
        <f>HYPERLINK("http://www.twitter.com/NathanBLawrence/status/995881893861224448", "995881893861224448")</f>
        <v/>
      </c>
      <c r="B568" s="2" t="n">
        <v>43234.18194444444</v>
      </c>
      <c r="C568" t="n">
        <v>0</v>
      </c>
      <c r="D568" t="n">
        <v>30</v>
      </c>
      <c r="E568" t="s">
        <v>573</v>
      </c>
      <c r="F568" t="s"/>
      <c r="G568" t="s"/>
      <c r="H568" t="s"/>
      <c r="I568" t="s"/>
      <c r="J568" t="n">
        <v>0.128</v>
      </c>
      <c r="K568" t="n">
        <v>0.104</v>
      </c>
      <c r="L568" t="n">
        <v>0.772</v>
      </c>
      <c r="M568" t="n">
        <v>0.124</v>
      </c>
    </row>
    <row r="569" spans="1:13">
      <c r="A569" s="1">
        <f>HYPERLINK("http://www.twitter.com/NathanBLawrence/status/995833133751824384", "995833133751824384")</f>
        <v/>
      </c>
      <c r="B569" s="2" t="n">
        <v>43234.04739583333</v>
      </c>
      <c r="C569" t="n">
        <v>0</v>
      </c>
      <c r="D569" t="n">
        <v>24</v>
      </c>
      <c r="E569" t="s">
        <v>574</v>
      </c>
      <c r="F569" t="s"/>
      <c r="G569" t="s"/>
      <c r="H569" t="s"/>
      <c r="I569" t="s"/>
      <c r="J569" t="n">
        <v>0</v>
      </c>
      <c r="K569" t="n">
        <v>0</v>
      </c>
      <c r="L569" t="n">
        <v>1</v>
      </c>
      <c r="M569" t="n">
        <v>0</v>
      </c>
    </row>
    <row r="570" spans="1:13">
      <c r="A570" s="1">
        <f>HYPERLINK("http://www.twitter.com/NathanBLawrence/status/995833067616002048", "995833067616002048")</f>
        <v/>
      </c>
      <c r="B570" s="2" t="n">
        <v>43234.04721064815</v>
      </c>
      <c r="C570" t="n">
        <v>0</v>
      </c>
      <c r="D570" t="n">
        <v>1</v>
      </c>
      <c r="E570" t="s">
        <v>575</v>
      </c>
      <c r="F570" t="s"/>
      <c r="G570" t="s"/>
      <c r="H570" t="s"/>
      <c r="I570" t="s"/>
      <c r="J570" t="n">
        <v>0</v>
      </c>
      <c r="K570" t="n">
        <v>0</v>
      </c>
      <c r="L570" t="n">
        <v>1</v>
      </c>
      <c r="M570" t="n">
        <v>0</v>
      </c>
    </row>
    <row r="571" spans="1:13">
      <c r="A571" s="1">
        <f>HYPERLINK("http://www.twitter.com/NathanBLawrence/status/995832795925745670", "995832795925745670")</f>
        <v/>
      </c>
      <c r="B571" s="2" t="n">
        <v>43234.04645833333</v>
      </c>
      <c r="C571" t="n">
        <v>0</v>
      </c>
      <c r="D571" t="n">
        <v>6</v>
      </c>
      <c r="E571" t="s">
        <v>576</v>
      </c>
      <c r="F571" t="s"/>
      <c r="G571" t="s"/>
      <c r="H571" t="s"/>
      <c r="I571" t="s"/>
      <c r="J571" t="n">
        <v>0</v>
      </c>
      <c r="K571" t="n">
        <v>0</v>
      </c>
      <c r="L571" t="n">
        <v>1</v>
      </c>
      <c r="M571" t="n">
        <v>0</v>
      </c>
    </row>
    <row r="572" spans="1:13">
      <c r="A572" s="1">
        <f>HYPERLINK("http://www.twitter.com/NathanBLawrence/status/995832758244126720", "995832758244126720")</f>
        <v/>
      </c>
      <c r="B572" s="2" t="n">
        <v>43234.04635416667</v>
      </c>
      <c r="C572" t="n">
        <v>0</v>
      </c>
      <c r="D572" t="n">
        <v>14</v>
      </c>
      <c r="E572" t="s">
        <v>577</v>
      </c>
      <c r="F572">
        <f>HYPERLINK("http://pbs.twimg.com/media/DdHgHhPVMAA-zIf.jpg", "http://pbs.twimg.com/media/DdHgHhPVMAA-zIf.jpg")</f>
        <v/>
      </c>
      <c r="G572" t="s"/>
      <c r="H572" t="s"/>
      <c r="I572" t="s"/>
      <c r="J572" t="n">
        <v>0.4548</v>
      </c>
      <c r="K572" t="n">
        <v>0.055</v>
      </c>
      <c r="L572" t="n">
        <v>0.803</v>
      </c>
      <c r="M572" t="n">
        <v>0.143</v>
      </c>
    </row>
    <row r="573" spans="1:13">
      <c r="A573" s="1">
        <f>HYPERLINK("http://www.twitter.com/NathanBLawrence/status/995832214578450432", "995832214578450432")</f>
        <v/>
      </c>
      <c r="B573" s="2" t="n">
        <v>43234.04486111111</v>
      </c>
      <c r="C573" t="n">
        <v>0</v>
      </c>
      <c r="D573" t="n">
        <v>1</v>
      </c>
      <c r="E573" t="s">
        <v>578</v>
      </c>
      <c r="F573">
        <f>HYPERLINK("http://pbs.twimg.com/media/DdHY8s5V4AA-YNg.jpg", "http://pbs.twimg.com/media/DdHY8s5V4AA-YNg.jpg")</f>
        <v/>
      </c>
      <c r="G573" t="s"/>
      <c r="H573" t="s"/>
      <c r="I573" t="s"/>
      <c r="J573" t="n">
        <v>-0.872</v>
      </c>
      <c r="K573" t="n">
        <v>0.432</v>
      </c>
      <c r="L573" t="n">
        <v>0.5679999999999999</v>
      </c>
      <c r="M573" t="n">
        <v>0</v>
      </c>
    </row>
    <row r="574" spans="1:13">
      <c r="A574" s="1">
        <f>HYPERLINK("http://www.twitter.com/NathanBLawrence/status/995815673136865280", "995815673136865280")</f>
        <v/>
      </c>
      <c r="B574" s="2" t="n">
        <v>43233.99921296296</v>
      </c>
      <c r="C574" t="n">
        <v>0</v>
      </c>
      <c r="D574" t="n">
        <v>12</v>
      </c>
      <c r="E574" t="s">
        <v>579</v>
      </c>
      <c r="F574" t="s"/>
      <c r="G574" t="s"/>
      <c r="H574" t="s"/>
      <c r="I574" t="s"/>
      <c r="J574" t="n">
        <v>-0.6249</v>
      </c>
      <c r="K574" t="n">
        <v>0.178</v>
      </c>
      <c r="L574" t="n">
        <v>0.769</v>
      </c>
      <c r="M574" t="n">
        <v>0.053</v>
      </c>
    </row>
    <row r="575" spans="1:13">
      <c r="A575" s="1">
        <f>HYPERLINK("http://www.twitter.com/NathanBLawrence/status/995815650961580035", "995815650961580035")</f>
        <v/>
      </c>
      <c r="B575" s="2" t="n">
        <v>43233.99915509259</v>
      </c>
      <c r="C575" t="n">
        <v>0</v>
      </c>
      <c r="D575" t="n">
        <v>9</v>
      </c>
      <c r="E575" t="s">
        <v>580</v>
      </c>
      <c r="F575" t="s"/>
      <c r="G575" t="s"/>
      <c r="H575" t="s"/>
      <c r="I575" t="s"/>
      <c r="J575" t="n">
        <v>0.2584</v>
      </c>
      <c r="K575" t="n">
        <v>0</v>
      </c>
      <c r="L575" t="n">
        <v>0.922</v>
      </c>
      <c r="M575" t="n">
        <v>0.078</v>
      </c>
    </row>
    <row r="576" spans="1:13">
      <c r="A576" s="1">
        <f>HYPERLINK("http://www.twitter.com/NathanBLawrence/status/995815537371426816", "995815537371426816")</f>
        <v/>
      </c>
      <c r="B576" s="2" t="n">
        <v>43233.99884259259</v>
      </c>
      <c r="C576" t="n">
        <v>3</v>
      </c>
      <c r="D576" t="n">
        <v>1</v>
      </c>
      <c r="E576" t="s">
        <v>581</v>
      </c>
      <c r="F576">
        <f>HYPERLINK("http://pbs.twimg.com/media/DdHY8s5V4AA-YNg.jpg", "http://pbs.twimg.com/media/DdHY8s5V4AA-YNg.jpg")</f>
        <v/>
      </c>
      <c r="G576" t="s"/>
      <c r="H576" t="s"/>
      <c r="I576" t="s"/>
      <c r="J576" t="n">
        <v>-0.9382</v>
      </c>
      <c r="K576" t="n">
        <v>0.326</v>
      </c>
      <c r="L576" t="n">
        <v>0.638</v>
      </c>
      <c r="M576" t="n">
        <v>0.036</v>
      </c>
    </row>
    <row r="577" spans="1:13">
      <c r="A577" s="1">
        <f>HYPERLINK("http://www.twitter.com/NathanBLawrence/status/995814614863663105", "995814614863663105")</f>
        <v/>
      </c>
      <c r="B577" s="2" t="n">
        <v>43233.9962962963</v>
      </c>
      <c r="C577" t="n">
        <v>0</v>
      </c>
      <c r="D577" t="n">
        <v>11</v>
      </c>
      <c r="E577" t="s">
        <v>582</v>
      </c>
      <c r="F577" t="s"/>
      <c r="G577" t="s"/>
      <c r="H577" t="s"/>
      <c r="I577" t="s"/>
      <c r="J577" t="n">
        <v>0.3303</v>
      </c>
      <c r="K577" t="n">
        <v>0</v>
      </c>
      <c r="L577" t="n">
        <v>0.884</v>
      </c>
      <c r="M577" t="n">
        <v>0.116</v>
      </c>
    </row>
    <row r="578" spans="1:13">
      <c r="A578" s="1">
        <f>HYPERLINK("http://www.twitter.com/NathanBLawrence/status/995813475862695936", "995813475862695936")</f>
        <v/>
      </c>
      <c r="B578" s="2" t="n">
        <v>43233.99314814815</v>
      </c>
      <c r="C578" t="n">
        <v>5</v>
      </c>
      <c r="D578" t="n">
        <v>4</v>
      </c>
      <c r="E578" t="s">
        <v>583</v>
      </c>
      <c r="F578" t="s"/>
      <c r="G578" t="s"/>
      <c r="H578" t="s"/>
      <c r="I578" t="s"/>
      <c r="J578" t="n">
        <v>-0.8652</v>
      </c>
      <c r="K578" t="n">
        <v>0.157</v>
      </c>
      <c r="L578" t="n">
        <v>0.843</v>
      </c>
      <c r="M578" t="n">
        <v>0</v>
      </c>
    </row>
    <row r="579" spans="1:13">
      <c r="A579" s="1">
        <f>HYPERLINK("http://www.twitter.com/NathanBLawrence/status/995812489723088896", "995812489723088896")</f>
        <v/>
      </c>
      <c r="B579" s="2" t="n">
        <v>43233.99042824074</v>
      </c>
      <c r="C579" t="n">
        <v>0</v>
      </c>
      <c r="D579" t="n">
        <v>10</v>
      </c>
      <c r="E579" t="s">
        <v>584</v>
      </c>
      <c r="F579" t="s"/>
      <c r="G579" t="s"/>
      <c r="H579" t="s"/>
      <c r="I579" t="s"/>
      <c r="J579" t="n">
        <v>0</v>
      </c>
      <c r="K579" t="n">
        <v>0</v>
      </c>
      <c r="L579" t="n">
        <v>1</v>
      </c>
      <c r="M579" t="n">
        <v>0</v>
      </c>
    </row>
    <row r="580" spans="1:13">
      <c r="A580" s="1">
        <f>HYPERLINK("http://www.twitter.com/NathanBLawrence/status/995811721917943810", "995811721917943810")</f>
        <v/>
      </c>
      <c r="B580" s="2" t="n">
        <v>43233.98831018519</v>
      </c>
      <c r="C580" t="n">
        <v>0</v>
      </c>
      <c r="D580" t="n">
        <v>6</v>
      </c>
      <c r="E580" t="s">
        <v>585</v>
      </c>
      <c r="F580" t="s"/>
      <c r="G580" t="s"/>
      <c r="H580" t="s"/>
      <c r="I580" t="s"/>
      <c r="J580" t="n">
        <v>-0.8622</v>
      </c>
      <c r="K580" t="n">
        <v>0.304</v>
      </c>
      <c r="L580" t="n">
        <v>0.633</v>
      </c>
      <c r="M580" t="n">
        <v>0.063</v>
      </c>
    </row>
    <row r="581" spans="1:13">
      <c r="A581" s="1">
        <f>HYPERLINK("http://www.twitter.com/NathanBLawrence/status/995811586945241088", "995811586945241088")</f>
        <v/>
      </c>
      <c r="B581" s="2" t="n">
        <v>43233.98793981481</v>
      </c>
      <c r="C581" t="n">
        <v>13</v>
      </c>
      <c r="D581" t="n">
        <v>8</v>
      </c>
      <c r="E581" t="s">
        <v>586</v>
      </c>
      <c r="F581" t="s"/>
      <c r="G581" t="s"/>
      <c r="H581" t="s"/>
      <c r="I581" t="s"/>
      <c r="J581" t="n">
        <v>0.5027</v>
      </c>
      <c r="K581" t="n">
        <v>0.034</v>
      </c>
      <c r="L581" t="n">
        <v>0.878</v>
      </c>
      <c r="M581" t="n">
        <v>0.089</v>
      </c>
    </row>
    <row r="582" spans="1:13">
      <c r="A582" s="1">
        <f>HYPERLINK("http://www.twitter.com/NathanBLawrence/status/995810903487647745", "995810903487647745")</f>
        <v/>
      </c>
      <c r="B582" s="2" t="n">
        <v>43233.98605324074</v>
      </c>
      <c r="C582" t="n">
        <v>0</v>
      </c>
      <c r="D582" t="n">
        <v>13</v>
      </c>
      <c r="E582" t="s">
        <v>587</v>
      </c>
      <c r="F582">
        <f>HYPERLINK("http://pbs.twimg.com/media/DdHUo8VW0AAxpjQ.jpg", "http://pbs.twimg.com/media/DdHUo8VW0AAxpjQ.jpg")</f>
        <v/>
      </c>
      <c r="G582" t="s"/>
      <c r="H582" t="s"/>
      <c r="I582" t="s"/>
      <c r="J582" t="n">
        <v>-0.3182</v>
      </c>
      <c r="K582" t="n">
        <v>0.103</v>
      </c>
      <c r="L582" t="n">
        <v>0.897</v>
      </c>
      <c r="M582" t="n">
        <v>0</v>
      </c>
    </row>
    <row r="583" spans="1:13">
      <c r="A583" s="1">
        <f>HYPERLINK("http://www.twitter.com/NathanBLawrence/status/995804011537330176", "995804011537330176")</f>
        <v/>
      </c>
      <c r="B583" s="2" t="n">
        <v>43233.96703703704</v>
      </c>
      <c r="C583" t="n">
        <v>0</v>
      </c>
      <c r="D583" t="n">
        <v>0</v>
      </c>
      <c r="E583" t="s">
        <v>588</v>
      </c>
      <c r="F583">
        <f>HYPERLINK("http://pbs.twimg.com/media/DdHOd4CUQAAJR5o.jpg", "http://pbs.twimg.com/media/DdHOd4CUQAAJR5o.jpg")</f>
        <v/>
      </c>
      <c r="G583" t="s"/>
      <c r="H583" t="s"/>
      <c r="I583" t="s"/>
      <c r="J583" t="n">
        <v>-0.7668</v>
      </c>
      <c r="K583" t="n">
        <v>0.157</v>
      </c>
      <c r="L583" t="n">
        <v>0.843</v>
      </c>
      <c r="M583" t="n">
        <v>0</v>
      </c>
    </row>
    <row r="584" spans="1:13">
      <c r="A584" s="1">
        <f>HYPERLINK("http://www.twitter.com/NathanBLawrence/status/995803263181185024", "995803263181185024")</f>
        <v/>
      </c>
      <c r="B584" s="2" t="n">
        <v>43233.96496527778</v>
      </c>
      <c r="C584" t="n">
        <v>0</v>
      </c>
      <c r="D584" t="n">
        <v>11</v>
      </c>
      <c r="E584" t="s">
        <v>589</v>
      </c>
      <c r="F584">
        <f>HYPERLINK("http://pbs.twimg.com/media/DdGx-lYVwAEOB_6.jpg", "http://pbs.twimg.com/media/DdGx-lYVwAEOB_6.jpg")</f>
        <v/>
      </c>
      <c r="G584" t="s"/>
      <c r="H584" t="s"/>
      <c r="I584" t="s"/>
      <c r="J584" t="n">
        <v>0.4939</v>
      </c>
      <c r="K584" t="n">
        <v>0</v>
      </c>
      <c r="L584" t="n">
        <v>0.8110000000000001</v>
      </c>
      <c r="M584" t="n">
        <v>0.189</v>
      </c>
    </row>
    <row r="585" spans="1:13">
      <c r="A585" s="1">
        <f>HYPERLINK("http://www.twitter.com/NathanBLawrence/status/995802972989939712", "995802972989939712")</f>
        <v/>
      </c>
      <c r="B585" s="2" t="n">
        <v>43233.96416666666</v>
      </c>
      <c r="C585" t="n">
        <v>0</v>
      </c>
      <c r="D585" t="n">
        <v>13</v>
      </c>
      <c r="E585" t="s">
        <v>590</v>
      </c>
      <c r="F585">
        <f>HYPERLINK("http://pbs.twimg.com/media/DdHK8WIXcAAS_jj.jpg", "http://pbs.twimg.com/media/DdHK8WIXcAAS_jj.jpg")</f>
        <v/>
      </c>
      <c r="G585" t="s"/>
      <c r="H585" t="s"/>
      <c r="I585" t="s"/>
      <c r="J585" t="n">
        <v>-0.2023</v>
      </c>
      <c r="K585" t="n">
        <v>0.128</v>
      </c>
      <c r="L585" t="n">
        <v>0.775</v>
      </c>
      <c r="M585" t="n">
        <v>0.097</v>
      </c>
    </row>
    <row r="586" spans="1:13">
      <c r="A586" s="1">
        <f>HYPERLINK("http://www.twitter.com/NathanBLawrence/status/995802942199488512", "995802942199488512")</f>
        <v/>
      </c>
      <c r="B586" s="2" t="n">
        <v>43233.96408564815</v>
      </c>
      <c r="C586" t="n">
        <v>0</v>
      </c>
      <c r="D586" t="n">
        <v>3</v>
      </c>
      <c r="E586" t="s">
        <v>591</v>
      </c>
      <c r="F586" t="s"/>
      <c r="G586" t="s"/>
      <c r="H586" t="s"/>
      <c r="I586" t="s"/>
      <c r="J586" t="n">
        <v>0</v>
      </c>
      <c r="K586" t="n">
        <v>0</v>
      </c>
      <c r="L586" t="n">
        <v>1</v>
      </c>
      <c r="M586" t="n">
        <v>0</v>
      </c>
    </row>
    <row r="587" spans="1:13">
      <c r="A587" s="1">
        <f>HYPERLINK("http://www.twitter.com/NathanBLawrence/status/995802900684255232", "995802900684255232")</f>
        <v/>
      </c>
      <c r="B587" s="2" t="n">
        <v>43233.96396990741</v>
      </c>
      <c r="C587" t="n">
        <v>0</v>
      </c>
      <c r="D587" t="n">
        <v>0</v>
      </c>
      <c r="E587" t="s">
        <v>592</v>
      </c>
      <c r="F587" t="s"/>
      <c r="G587" t="s"/>
      <c r="H587" t="s"/>
      <c r="I587" t="s"/>
      <c r="J587" t="n">
        <v>0.4291</v>
      </c>
      <c r="K587" t="n">
        <v>0</v>
      </c>
      <c r="L587" t="n">
        <v>0.923</v>
      </c>
      <c r="M587" t="n">
        <v>0.077</v>
      </c>
    </row>
    <row r="588" spans="1:13">
      <c r="A588" s="1">
        <f>HYPERLINK("http://www.twitter.com/NathanBLawrence/status/995760789234561025", "995760789234561025")</f>
        <v/>
      </c>
      <c r="B588" s="2" t="n">
        <v>43233.8477662037</v>
      </c>
      <c r="C588" t="n">
        <v>1</v>
      </c>
      <c r="D588" t="n">
        <v>0</v>
      </c>
      <c r="E588" t="s">
        <v>593</v>
      </c>
      <c r="F588" t="s"/>
      <c r="G588" t="s"/>
      <c r="H588" t="s"/>
      <c r="I588" t="s"/>
      <c r="J588" t="n">
        <v>-0.4588</v>
      </c>
      <c r="K588" t="n">
        <v>0.182</v>
      </c>
      <c r="L588" t="n">
        <v>0.8179999999999999</v>
      </c>
      <c r="M588" t="n">
        <v>0</v>
      </c>
    </row>
    <row r="589" spans="1:13">
      <c r="A589" s="1">
        <f>HYPERLINK("http://www.twitter.com/NathanBLawrence/status/995760305249685504", "995760305249685504")</f>
        <v/>
      </c>
      <c r="B589" s="2" t="n">
        <v>43233.84642361111</v>
      </c>
      <c r="C589" t="n">
        <v>0</v>
      </c>
      <c r="D589" t="n">
        <v>7</v>
      </c>
      <c r="E589" t="s">
        <v>594</v>
      </c>
      <c r="F589" t="s"/>
      <c r="G589" t="s"/>
      <c r="H589" t="s"/>
      <c r="I589" t="s"/>
      <c r="J589" t="n">
        <v>0.6531</v>
      </c>
      <c r="K589" t="n">
        <v>0</v>
      </c>
      <c r="L589" t="n">
        <v>0.797</v>
      </c>
      <c r="M589" t="n">
        <v>0.203</v>
      </c>
    </row>
    <row r="590" spans="1:13">
      <c r="A590" s="1">
        <f>HYPERLINK("http://www.twitter.com/NathanBLawrence/status/995759952785498113", "995759952785498113")</f>
        <v/>
      </c>
      <c r="B590" s="2" t="n">
        <v>43233.84545138889</v>
      </c>
      <c r="C590" t="n">
        <v>0</v>
      </c>
      <c r="D590" t="n">
        <v>0</v>
      </c>
      <c r="E590" t="s">
        <v>595</v>
      </c>
      <c r="F590">
        <f>HYPERLINK("http://pbs.twimg.com/media/DdGmZT1VwAAotOF.jpg", "http://pbs.twimg.com/media/DdGmZT1VwAAotOF.jpg")</f>
        <v/>
      </c>
      <c r="G590" t="s"/>
      <c r="H590" t="s"/>
      <c r="I590" t="s"/>
      <c r="J590" t="n">
        <v>-0.4215</v>
      </c>
      <c r="K590" t="n">
        <v>0.212</v>
      </c>
      <c r="L590" t="n">
        <v>0.673</v>
      </c>
      <c r="M590" t="n">
        <v>0.114</v>
      </c>
    </row>
    <row r="591" spans="1:13">
      <c r="A591" s="1">
        <f>HYPERLINK("http://www.twitter.com/NathanBLawrence/status/995758128053522433", "995758128053522433")</f>
        <v/>
      </c>
      <c r="B591" s="2" t="n">
        <v>43233.84041666667</v>
      </c>
      <c r="C591" t="n">
        <v>0</v>
      </c>
      <c r="D591" t="n">
        <v>11</v>
      </c>
      <c r="E591" t="s">
        <v>596</v>
      </c>
      <c r="F591" t="s"/>
      <c r="G591" t="s"/>
      <c r="H591" t="s"/>
      <c r="I591" t="s"/>
      <c r="J591" t="n">
        <v>0</v>
      </c>
      <c r="K591" t="n">
        <v>0</v>
      </c>
      <c r="L591" t="n">
        <v>1</v>
      </c>
      <c r="M591" t="n">
        <v>0</v>
      </c>
    </row>
    <row r="592" spans="1:13">
      <c r="A592" s="1">
        <f>HYPERLINK("http://www.twitter.com/NathanBLawrence/status/995755465756827649", "995755465756827649")</f>
        <v/>
      </c>
      <c r="B592" s="2" t="n">
        <v>43233.83306712963</v>
      </c>
      <c r="C592" t="n">
        <v>0</v>
      </c>
      <c r="D592" t="n">
        <v>0</v>
      </c>
      <c r="E592" t="s">
        <v>597</v>
      </c>
      <c r="F592" t="s"/>
      <c r="G592" t="s"/>
      <c r="H592" t="s"/>
      <c r="I592" t="s"/>
      <c r="J592" t="n">
        <v>-0.9524</v>
      </c>
      <c r="K592" t="n">
        <v>0.465</v>
      </c>
      <c r="L592" t="n">
        <v>0.489</v>
      </c>
      <c r="M592" t="n">
        <v>0.046</v>
      </c>
    </row>
    <row r="593" spans="1:13">
      <c r="A593" s="1">
        <f>HYPERLINK("http://www.twitter.com/NathanBLawrence/status/995754824472891393", "995754824472891393")</f>
        <v/>
      </c>
      <c r="B593" s="2" t="n">
        <v>43233.83130787037</v>
      </c>
      <c r="C593" t="n">
        <v>0</v>
      </c>
      <c r="D593" t="n">
        <v>152</v>
      </c>
      <c r="E593" t="s">
        <v>598</v>
      </c>
      <c r="F593" t="s"/>
      <c r="G593" t="s"/>
      <c r="H593" t="s"/>
      <c r="I593" t="s"/>
      <c r="J593" t="n">
        <v>0.4754</v>
      </c>
      <c r="K593" t="n">
        <v>0</v>
      </c>
      <c r="L593" t="n">
        <v>0.829</v>
      </c>
      <c r="M593" t="n">
        <v>0.171</v>
      </c>
    </row>
    <row r="594" spans="1:13">
      <c r="A594" s="1">
        <f>HYPERLINK("http://www.twitter.com/NathanBLawrence/status/995754773801525249", "995754773801525249")</f>
        <v/>
      </c>
      <c r="B594" s="2" t="n">
        <v>43233.83115740741</v>
      </c>
      <c r="C594" t="n">
        <v>0</v>
      </c>
      <c r="D594" t="n">
        <v>7</v>
      </c>
      <c r="E594" t="s">
        <v>599</v>
      </c>
      <c r="F594">
        <f>HYPERLINK("http://pbs.twimg.com/media/DdFz4LtVAAAvskt.jpg", "http://pbs.twimg.com/media/DdFz4LtVAAAvskt.jpg")</f>
        <v/>
      </c>
      <c r="G594" t="s"/>
      <c r="H594" t="s"/>
      <c r="I594" t="s"/>
      <c r="J594" t="n">
        <v>0</v>
      </c>
      <c r="K594" t="n">
        <v>0</v>
      </c>
      <c r="L594" t="n">
        <v>1</v>
      </c>
      <c r="M594" t="n">
        <v>0</v>
      </c>
    </row>
    <row r="595" spans="1:13">
      <c r="A595" s="1">
        <f>HYPERLINK("http://www.twitter.com/NathanBLawrence/status/995754374348623872", "995754374348623872")</f>
        <v/>
      </c>
      <c r="B595" s="2" t="n">
        <v>43233.83005787037</v>
      </c>
      <c r="C595" t="n">
        <v>0</v>
      </c>
      <c r="D595" t="n">
        <v>6</v>
      </c>
      <c r="E595" t="s">
        <v>600</v>
      </c>
      <c r="F595" t="s"/>
      <c r="G595" t="s"/>
      <c r="H595" t="s"/>
      <c r="I595" t="s"/>
      <c r="J595" t="n">
        <v>0</v>
      </c>
      <c r="K595" t="n">
        <v>0</v>
      </c>
      <c r="L595" t="n">
        <v>1</v>
      </c>
      <c r="M595" t="n">
        <v>0</v>
      </c>
    </row>
    <row r="596" spans="1:13">
      <c r="A596" s="1">
        <f>HYPERLINK("http://www.twitter.com/NathanBLawrence/status/995754324146905088", "995754324146905088")</f>
        <v/>
      </c>
      <c r="B596" s="2" t="n">
        <v>43233.82991898148</v>
      </c>
      <c r="C596" t="n">
        <v>0</v>
      </c>
      <c r="D596" t="n">
        <v>7</v>
      </c>
      <c r="E596" t="s">
        <v>601</v>
      </c>
      <c r="F596">
        <f>HYPERLINK("http://pbs.twimg.com/media/DdGUejmWkAUog75.jpg", "http://pbs.twimg.com/media/DdGUejmWkAUog75.jpg")</f>
        <v/>
      </c>
      <c r="G596" t="s"/>
      <c r="H596" t="s"/>
      <c r="I596" t="s"/>
      <c r="J596" t="n">
        <v>0</v>
      </c>
      <c r="K596" t="n">
        <v>0</v>
      </c>
      <c r="L596" t="n">
        <v>1</v>
      </c>
      <c r="M596" t="n">
        <v>0</v>
      </c>
    </row>
    <row r="597" spans="1:13">
      <c r="A597" s="1">
        <f>HYPERLINK("http://www.twitter.com/NathanBLawrence/status/995754297852821504", "995754297852821504")</f>
        <v/>
      </c>
      <c r="B597" s="2" t="n">
        <v>43233.82984953704</v>
      </c>
      <c r="C597" t="n">
        <v>0</v>
      </c>
      <c r="D597" t="n">
        <v>1</v>
      </c>
      <c r="E597" t="s">
        <v>602</v>
      </c>
      <c r="F597" t="s"/>
      <c r="G597" t="s"/>
      <c r="H597" t="s"/>
      <c r="I597" t="s"/>
      <c r="J597" t="n">
        <v>0.508</v>
      </c>
      <c r="K597" t="n">
        <v>0.13</v>
      </c>
      <c r="L597" t="n">
        <v>0.57</v>
      </c>
      <c r="M597" t="n">
        <v>0.3</v>
      </c>
    </row>
    <row r="598" spans="1:13">
      <c r="A598" s="1">
        <f>HYPERLINK("http://www.twitter.com/NathanBLawrence/status/995754289497825285", "995754289497825285")</f>
        <v/>
      </c>
      <c r="B598" s="2" t="n">
        <v>43233.82982638889</v>
      </c>
      <c r="C598" t="n">
        <v>0</v>
      </c>
      <c r="D598" t="n">
        <v>1</v>
      </c>
      <c r="E598" t="s">
        <v>603</v>
      </c>
      <c r="F598" t="s"/>
      <c r="G598" t="s"/>
      <c r="H598" t="s"/>
      <c r="I598" t="s"/>
      <c r="J598" t="n">
        <v>-0.5411</v>
      </c>
      <c r="K598" t="n">
        <v>0.143</v>
      </c>
      <c r="L598" t="n">
        <v>0.857</v>
      </c>
      <c r="M598" t="n">
        <v>0</v>
      </c>
    </row>
    <row r="599" spans="1:13">
      <c r="A599" s="1">
        <f>HYPERLINK("http://www.twitter.com/NathanBLawrence/status/995746668162244609", "995746668162244609")</f>
        <v/>
      </c>
      <c r="B599" s="2" t="n">
        <v>43233.8087962963</v>
      </c>
      <c r="C599" t="n">
        <v>0</v>
      </c>
      <c r="D599" t="n">
        <v>3</v>
      </c>
      <c r="E599" t="s">
        <v>604</v>
      </c>
      <c r="F599" t="s"/>
      <c r="G599" t="s"/>
      <c r="H599" t="s"/>
      <c r="I599" t="s"/>
      <c r="J599" t="n">
        <v>-0.7574</v>
      </c>
      <c r="K599" t="n">
        <v>0.255</v>
      </c>
      <c r="L599" t="n">
        <v>0.745</v>
      </c>
      <c r="M599" t="n">
        <v>0</v>
      </c>
    </row>
    <row r="600" spans="1:13">
      <c r="A600" s="1">
        <f>HYPERLINK("http://www.twitter.com/NathanBLawrence/status/995746383981416448", "995746383981416448")</f>
        <v/>
      </c>
      <c r="B600" s="2" t="n">
        <v>43233.80800925926</v>
      </c>
      <c r="C600" t="n">
        <v>0</v>
      </c>
      <c r="D600" t="n">
        <v>1</v>
      </c>
      <c r="E600" t="s">
        <v>605</v>
      </c>
      <c r="F600">
        <f>HYPERLINK("http://pbs.twimg.com/media/DdF7TLAVwAEFjFW.jpg", "http://pbs.twimg.com/media/DdF7TLAVwAEFjFW.jpg")</f>
        <v/>
      </c>
      <c r="G600" t="s"/>
      <c r="H600" t="s"/>
      <c r="I600" t="s"/>
      <c r="J600" t="n">
        <v>0</v>
      </c>
      <c r="K600" t="n">
        <v>0</v>
      </c>
      <c r="L600" t="n">
        <v>1</v>
      </c>
      <c r="M600" t="n">
        <v>0</v>
      </c>
    </row>
    <row r="601" spans="1:13">
      <c r="A601" s="1">
        <f>HYPERLINK("http://www.twitter.com/NathanBLawrence/status/995746296735698945", "995746296735698945")</f>
        <v/>
      </c>
      <c r="B601" s="2" t="n">
        <v>43233.8077662037</v>
      </c>
      <c r="C601" t="n">
        <v>0</v>
      </c>
      <c r="D601" t="n">
        <v>1</v>
      </c>
      <c r="E601" t="s">
        <v>606</v>
      </c>
      <c r="F601">
        <f>HYPERLINK("http://pbs.twimg.com/media/DdF870ZVwAEVB63.jpg", "http://pbs.twimg.com/media/DdF870ZVwAEVB63.jpg")</f>
        <v/>
      </c>
      <c r="G601" t="s"/>
      <c r="H601" t="s"/>
      <c r="I601" t="s"/>
      <c r="J601" t="n">
        <v>0.5661</v>
      </c>
      <c r="K601" t="n">
        <v>0.061</v>
      </c>
      <c r="L601" t="n">
        <v>0.73</v>
      </c>
      <c r="M601" t="n">
        <v>0.209</v>
      </c>
    </row>
    <row r="602" spans="1:13">
      <c r="A602" s="1">
        <f>HYPERLINK("http://www.twitter.com/NathanBLawrence/status/995746193010577408", "995746193010577408")</f>
        <v/>
      </c>
      <c r="B602" s="2" t="n">
        <v>43233.80748842593</v>
      </c>
      <c r="C602" t="n">
        <v>0</v>
      </c>
      <c r="D602" t="n">
        <v>1</v>
      </c>
      <c r="E602" t="s">
        <v>607</v>
      </c>
      <c r="F602">
        <f>HYPERLINK("http://pbs.twimg.com/media/DdGVPw7U8AA2gAm.jpg", "http://pbs.twimg.com/media/DdGVPw7U8AA2gAm.jpg")</f>
        <v/>
      </c>
      <c r="G602" t="s"/>
      <c r="H602" t="s"/>
      <c r="I602" t="s"/>
      <c r="J602" t="n">
        <v>-0.0191</v>
      </c>
      <c r="K602" t="n">
        <v>0.103</v>
      </c>
      <c r="L602" t="n">
        <v>0.798</v>
      </c>
      <c r="M602" t="n">
        <v>0.099</v>
      </c>
    </row>
    <row r="603" spans="1:13">
      <c r="A603" s="1">
        <f>HYPERLINK("http://www.twitter.com/NathanBLawrence/status/995746154410401792", "995746154410401792")</f>
        <v/>
      </c>
      <c r="B603" s="2" t="n">
        <v>43233.80737268519</v>
      </c>
      <c r="C603" t="n">
        <v>0</v>
      </c>
      <c r="D603" t="n">
        <v>1</v>
      </c>
      <c r="E603" t="s">
        <v>608</v>
      </c>
      <c r="F603">
        <f>HYPERLINK("http://pbs.twimg.com/media/DdGWSVgV4AE0WC-.jpg", "http://pbs.twimg.com/media/DdGWSVgV4AE0WC-.jpg")</f>
        <v/>
      </c>
      <c r="G603" t="s"/>
      <c r="H603" t="s"/>
      <c r="I603" t="s"/>
      <c r="J603" t="n">
        <v>0.765</v>
      </c>
      <c r="K603" t="n">
        <v>0</v>
      </c>
      <c r="L603" t="n">
        <v>0.645</v>
      </c>
      <c r="M603" t="n">
        <v>0.355</v>
      </c>
    </row>
    <row r="604" spans="1:13">
      <c r="A604" s="1">
        <f>HYPERLINK("http://www.twitter.com/NathanBLawrence/status/995746122705592320", "995746122705592320")</f>
        <v/>
      </c>
      <c r="B604" s="2" t="n">
        <v>43233.80729166666</v>
      </c>
      <c r="C604" t="n">
        <v>0</v>
      </c>
      <c r="D604" t="n">
        <v>2</v>
      </c>
      <c r="E604" t="s">
        <v>609</v>
      </c>
      <c r="F604" t="s"/>
      <c r="G604" t="s"/>
      <c r="H604" t="s"/>
      <c r="I604" t="s"/>
      <c r="J604" t="n">
        <v>0</v>
      </c>
      <c r="K604" t="n">
        <v>0</v>
      </c>
      <c r="L604" t="n">
        <v>1</v>
      </c>
      <c r="M604" t="n">
        <v>0</v>
      </c>
    </row>
    <row r="605" spans="1:13">
      <c r="A605" s="1">
        <f>HYPERLINK("http://www.twitter.com/NathanBLawrence/status/995742967515185153", "995742967515185153")</f>
        <v/>
      </c>
      <c r="B605" s="2" t="n">
        <v>43233.79858796296</v>
      </c>
      <c r="C605" t="n">
        <v>0</v>
      </c>
      <c r="D605" t="n">
        <v>1</v>
      </c>
      <c r="E605" t="s">
        <v>610</v>
      </c>
      <c r="F605" t="s"/>
      <c r="G605" t="s"/>
      <c r="H605" t="s"/>
      <c r="I605" t="s"/>
      <c r="J605" t="n">
        <v>0</v>
      </c>
      <c r="K605" t="n">
        <v>0</v>
      </c>
      <c r="L605" t="n">
        <v>1</v>
      </c>
      <c r="M605" t="n">
        <v>0</v>
      </c>
    </row>
    <row r="606" spans="1:13">
      <c r="A606" s="1">
        <f>HYPERLINK("http://www.twitter.com/NathanBLawrence/status/995742769988669441", "995742769988669441")</f>
        <v/>
      </c>
      <c r="B606" s="2" t="n">
        <v>43233.79804398148</v>
      </c>
      <c r="C606" t="n">
        <v>0</v>
      </c>
      <c r="D606" t="n">
        <v>2</v>
      </c>
      <c r="E606" t="s">
        <v>611</v>
      </c>
      <c r="F606" t="s"/>
      <c r="G606" t="s"/>
      <c r="H606" t="s"/>
      <c r="I606" t="s"/>
      <c r="J606" t="n">
        <v>-0.3612</v>
      </c>
      <c r="K606" t="n">
        <v>0.116</v>
      </c>
      <c r="L606" t="n">
        <v>0.884</v>
      </c>
      <c r="M606" t="n">
        <v>0</v>
      </c>
    </row>
    <row r="607" spans="1:13">
      <c r="A607" s="1">
        <f>HYPERLINK("http://www.twitter.com/NathanBLawrence/status/995742608445108235", "995742608445108235")</f>
        <v/>
      </c>
      <c r="B607" s="2" t="n">
        <v>43233.79759259259</v>
      </c>
      <c r="C607" t="n">
        <v>0</v>
      </c>
      <c r="D607" t="n">
        <v>2</v>
      </c>
      <c r="E607" t="s">
        <v>612</v>
      </c>
      <c r="F607">
        <f>HYPERLINK("http://pbs.twimg.com/media/DdGRm2GVwAAzSWu.jpg", "http://pbs.twimg.com/media/DdGRm2GVwAAzSWu.jpg")</f>
        <v/>
      </c>
      <c r="G607" t="s"/>
      <c r="H607" t="s"/>
      <c r="I607" t="s"/>
      <c r="J607" t="n">
        <v>0</v>
      </c>
      <c r="K607" t="n">
        <v>0</v>
      </c>
      <c r="L607" t="n">
        <v>1</v>
      </c>
      <c r="M607" t="n">
        <v>0</v>
      </c>
    </row>
    <row r="608" spans="1:13">
      <c r="A608" s="1">
        <f>HYPERLINK("http://www.twitter.com/NathanBLawrence/status/995742589763641344", "995742589763641344")</f>
        <v/>
      </c>
      <c r="B608" s="2" t="n">
        <v>43233.79754629629</v>
      </c>
      <c r="C608" t="n">
        <v>3</v>
      </c>
      <c r="D608" t="n">
        <v>2</v>
      </c>
      <c r="E608" t="s">
        <v>613</v>
      </c>
      <c r="F608" t="s"/>
      <c r="G608" t="s"/>
      <c r="H608" t="s"/>
      <c r="I608" t="s"/>
      <c r="J608" t="n">
        <v>0</v>
      </c>
      <c r="K608" t="n">
        <v>0</v>
      </c>
      <c r="L608" t="n">
        <v>1</v>
      </c>
      <c r="M608" t="n">
        <v>0</v>
      </c>
    </row>
    <row r="609" spans="1:13">
      <c r="A609" s="1">
        <f>HYPERLINK("http://www.twitter.com/NathanBLawrence/status/995742258279387136", "995742258279387136")</f>
        <v/>
      </c>
      <c r="B609" s="2" t="n">
        <v>43233.79663194445</v>
      </c>
      <c r="C609" t="n">
        <v>0</v>
      </c>
      <c r="D609" t="n">
        <v>5</v>
      </c>
      <c r="E609" t="s">
        <v>614</v>
      </c>
      <c r="F609">
        <f>HYPERLINK("http://pbs.twimg.com/media/DdF8WP9VwAA-C67.jpg", "http://pbs.twimg.com/media/DdF8WP9VwAA-C67.jpg")</f>
        <v/>
      </c>
      <c r="G609" t="s"/>
      <c r="H609" t="s"/>
      <c r="I609" t="s"/>
      <c r="J609" t="n">
        <v>0</v>
      </c>
      <c r="K609" t="n">
        <v>0</v>
      </c>
      <c r="L609" t="n">
        <v>1</v>
      </c>
      <c r="M609" t="n">
        <v>0</v>
      </c>
    </row>
    <row r="610" spans="1:13">
      <c r="A610" s="1">
        <f>HYPERLINK("http://www.twitter.com/NathanBLawrence/status/995742239325384705", "995742239325384705")</f>
        <v/>
      </c>
      <c r="B610" s="2" t="n">
        <v>43233.79657407408</v>
      </c>
      <c r="C610" t="n">
        <v>2</v>
      </c>
      <c r="D610" t="n">
        <v>1</v>
      </c>
      <c r="E610" t="s">
        <v>615</v>
      </c>
      <c r="F610">
        <f>HYPERLINK("http://pbs.twimg.com/media/DdGWSVgV4AE0WC-.jpg", "http://pbs.twimg.com/media/DdGWSVgV4AE0WC-.jpg")</f>
        <v/>
      </c>
      <c r="G610" t="s"/>
      <c r="H610" t="s"/>
      <c r="I610" t="s"/>
      <c r="J610" t="n">
        <v>0.4404</v>
      </c>
      <c r="K610" t="n">
        <v>0.116</v>
      </c>
      <c r="L610" t="n">
        <v>0.713</v>
      </c>
      <c r="M610" t="n">
        <v>0.171</v>
      </c>
    </row>
    <row r="611" spans="1:13">
      <c r="A611" s="1">
        <f>HYPERLINK("http://www.twitter.com/NathanBLawrence/status/995741275184943104", "995741275184943104")</f>
        <v/>
      </c>
      <c r="B611" s="2" t="n">
        <v>43233.79391203704</v>
      </c>
      <c r="C611" t="n">
        <v>0</v>
      </c>
      <c r="D611" t="n">
        <v>5</v>
      </c>
      <c r="E611" t="s">
        <v>616</v>
      </c>
      <c r="F611" t="s"/>
      <c r="G611" t="s"/>
      <c r="H611" t="s"/>
      <c r="I611" t="s"/>
      <c r="J611" t="n">
        <v>0</v>
      </c>
      <c r="K611" t="n">
        <v>0</v>
      </c>
      <c r="L611" t="n">
        <v>1</v>
      </c>
      <c r="M611" t="n">
        <v>0</v>
      </c>
    </row>
    <row r="612" spans="1:13">
      <c r="A612" s="1">
        <f>HYPERLINK("http://www.twitter.com/NathanBLawrence/status/995741125121015808", "995741125121015808")</f>
        <v/>
      </c>
      <c r="B612" s="2" t="n">
        <v>43233.79349537037</v>
      </c>
      <c r="C612" t="n">
        <v>0</v>
      </c>
      <c r="D612" t="n">
        <v>1</v>
      </c>
      <c r="E612" t="s">
        <v>617</v>
      </c>
      <c r="F612" t="s"/>
      <c r="G612" t="s"/>
      <c r="H612" t="s"/>
      <c r="I612" t="s"/>
      <c r="J612" t="n">
        <v>0.2235</v>
      </c>
      <c r="K612" t="n">
        <v>0</v>
      </c>
      <c r="L612" t="n">
        <v>0.91</v>
      </c>
      <c r="M612" t="n">
        <v>0.09</v>
      </c>
    </row>
    <row r="613" spans="1:13">
      <c r="A613" s="1">
        <f>HYPERLINK("http://www.twitter.com/NathanBLawrence/status/995741095060541440", "995741095060541440")</f>
        <v/>
      </c>
      <c r="B613" s="2" t="n">
        <v>43233.79341435185</v>
      </c>
      <c r="C613" t="n">
        <v>1</v>
      </c>
      <c r="D613" t="n">
        <v>1</v>
      </c>
      <c r="E613" t="s">
        <v>618</v>
      </c>
      <c r="F613">
        <f>HYPERLINK("http://pbs.twimg.com/media/DdGVPw7U8AA2gAm.jpg", "http://pbs.twimg.com/media/DdGVPw7U8AA2gAm.jpg")</f>
        <v/>
      </c>
      <c r="G613" t="s"/>
      <c r="H613" t="s"/>
      <c r="I613" t="s"/>
      <c r="J613" t="n">
        <v>-0.6142</v>
      </c>
      <c r="K613" t="n">
        <v>0.182</v>
      </c>
      <c r="L613" t="n">
        <v>0.706</v>
      </c>
      <c r="M613" t="n">
        <v>0.111</v>
      </c>
    </row>
    <row r="614" spans="1:13">
      <c r="A614" s="1">
        <f>HYPERLINK("http://www.twitter.com/NathanBLawrence/status/995739460301152256", "995739460301152256")</f>
        <v/>
      </c>
      <c r="B614" s="2" t="n">
        <v>43233.78890046296</v>
      </c>
      <c r="C614" t="n">
        <v>0</v>
      </c>
      <c r="D614" t="n">
        <v>4</v>
      </c>
      <c r="E614" t="s">
        <v>619</v>
      </c>
      <c r="F614" t="s"/>
      <c r="G614" t="s"/>
      <c r="H614" t="s"/>
      <c r="I614" t="s"/>
      <c r="J614" t="n">
        <v>0</v>
      </c>
      <c r="K614" t="n">
        <v>0</v>
      </c>
      <c r="L614" t="n">
        <v>1</v>
      </c>
      <c r="M614" t="n">
        <v>0</v>
      </c>
    </row>
    <row r="615" spans="1:13">
      <c r="A615" s="1">
        <f>HYPERLINK("http://www.twitter.com/NathanBLawrence/status/995739433612824576", "995739433612824576")</f>
        <v/>
      </c>
      <c r="B615" s="2" t="n">
        <v>43233.78883101852</v>
      </c>
      <c r="C615" t="n">
        <v>0</v>
      </c>
      <c r="D615" t="n">
        <v>8</v>
      </c>
      <c r="E615" t="s">
        <v>620</v>
      </c>
      <c r="F615" t="s"/>
      <c r="G615" t="s"/>
      <c r="H615" t="s"/>
      <c r="I615" t="s"/>
      <c r="J615" t="n">
        <v>-0.7269</v>
      </c>
      <c r="K615" t="n">
        <v>0.288</v>
      </c>
      <c r="L615" t="n">
        <v>0.661</v>
      </c>
      <c r="M615" t="n">
        <v>0.051</v>
      </c>
    </row>
    <row r="616" spans="1:13">
      <c r="A616" s="1">
        <f>HYPERLINK("http://www.twitter.com/NathanBLawrence/status/995729316423094272", "995729316423094272")</f>
        <v/>
      </c>
      <c r="B616" s="2" t="n">
        <v>43233.76091435185</v>
      </c>
      <c r="C616" t="n">
        <v>0</v>
      </c>
      <c r="D616" t="n">
        <v>8</v>
      </c>
      <c r="E616" t="s">
        <v>621</v>
      </c>
      <c r="F616" t="s"/>
      <c r="G616" t="s"/>
      <c r="H616" t="s"/>
      <c r="I616" t="s"/>
      <c r="J616" t="n">
        <v>0</v>
      </c>
      <c r="K616" t="n">
        <v>0</v>
      </c>
      <c r="L616" t="n">
        <v>1</v>
      </c>
      <c r="M616" t="n">
        <v>0</v>
      </c>
    </row>
    <row r="617" spans="1:13">
      <c r="A617" s="1">
        <f>HYPERLINK("http://www.twitter.com/NathanBLawrence/status/995729248517345280", "995729248517345280")</f>
        <v/>
      </c>
      <c r="B617" s="2" t="n">
        <v>43233.76072916666</v>
      </c>
      <c r="C617" t="n">
        <v>0</v>
      </c>
      <c r="D617" t="n">
        <v>6</v>
      </c>
      <c r="E617" t="s">
        <v>622</v>
      </c>
      <c r="F617">
        <f>HYPERLINK("http://pbs.twimg.com/media/DdGJHrBWAAAdk9i.jpg", "http://pbs.twimg.com/media/DdGJHrBWAAAdk9i.jpg")</f>
        <v/>
      </c>
      <c r="G617" t="s"/>
      <c r="H617" t="s"/>
      <c r="I617" t="s"/>
      <c r="J617" t="n">
        <v>-0.1027</v>
      </c>
      <c r="K617" t="n">
        <v>0.06900000000000001</v>
      </c>
      <c r="L617" t="n">
        <v>0.931</v>
      </c>
      <c r="M617" t="n">
        <v>0</v>
      </c>
    </row>
    <row r="618" spans="1:13">
      <c r="A618" s="1">
        <f>HYPERLINK("http://www.twitter.com/NathanBLawrence/status/995729169618292737", "995729169618292737")</f>
        <v/>
      </c>
      <c r="B618" s="2" t="n">
        <v>43233.76050925926</v>
      </c>
      <c r="C618" t="n">
        <v>0</v>
      </c>
      <c r="D618" t="n">
        <v>7</v>
      </c>
      <c r="E618" t="s">
        <v>623</v>
      </c>
      <c r="F618">
        <f>HYPERLINK("http://pbs.twimg.com/media/DdGHpmyW0AECE0R.jpg", "http://pbs.twimg.com/media/DdGHpmyW0AECE0R.jpg")</f>
        <v/>
      </c>
      <c r="G618" t="s"/>
      <c r="H618" t="s"/>
      <c r="I618" t="s"/>
      <c r="J618" t="n">
        <v>0</v>
      </c>
      <c r="K618" t="n">
        <v>0</v>
      </c>
      <c r="L618" t="n">
        <v>1</v>
      </c>
      <c r="M618" t="n">
        <v>0</v>
      </c>
    </row>
    <row r="619" spans="1:13">
      <c r="A619" s="1">
        <f>HYPERLINK("http://www.twitter.com/NathanBLawrence/status/995724206779387905", "995724206779387905")</f>
        <v/>
      </c>
      <c r="B619" s="2" t="n">
        <v>43233.74681712963</v>
      </c>
      <c r="C619" t="n">
        <v>0</v>
      </c>
      <c r="D619" t="n">
        <v>11490</v>
      </c>
      <c r="E619" t="s">
        <v>624</v>
      </c>
      <c r="F619" t="s"/>
      <c r="G619" t="s"/>
      <c r="H619" t="s"/>
      <c r="I619" t="s"/>
      <c r="J619" t="n">
        <v>-0.8294</v>
      </c>
      <c r="K619" t="n">
        <v>0.252</v>
      </c>
      <c r="L619" t="n">
        <v>0.748</v>
      </c>
      <c r="M619" t="n">
        <v>0</v>
      </c>
    </row>
    <row r="620" spans="1:13">
      <c r="A620" s="1">
        <f>HYPERLINK("http://www.twitter.com/NathanBLawrence/status/995724178929090560", "995724178929090560")</f>
        <v/>
      </c>
      <c r="B620" s="2" t="n">
        <v>43233.74673611111</v>
      </c>
      <c r="C620" t="n">
        <v>0</v>
      </c>
      <c r="D620" t="n">
        <v>1</v>
      </c>
      <c r="E620" t="s">
        <v>625</v>
      </c>
      <c r="F620" t="s"/>
      <c r="G620" t="s"/>
      <c r="H620" t="s"/>
      <c r="I620" t="s"/>
      <c r="J620" t="n">
        <v>-0.5423</v>
      </c>
      <c r="K620" t="n">
        <v>0.28</v>
      </c>
      <c r="L620" t="n">
        <v>0.72</v>
      </c>
      <c r="M620" t="n">
        <v>0</v>
      </c>
    </row>
    <row r="621" spans="1:13">
      <c r="A621" s="1">
        <f>HYPERLINK("http://www.twitter.com/NathanBLawrence/status/995723996514615296", "995723996514615296")</f>
        <v/>
      </c>
      <c r="B621" s="2" t="n">
        <v>43233.74623842593</v>
      </c>
      <c r="C621" t="n">
        <v>0</v>
      </c>
      <c r="D621" t="n">
        <v>2</v>
      </c>
      <c r="E621" t="s">
        <v>626</v>
      </c>
      <c r="F621" t="s"/>
      <c r="G621" t="s"/>
      <c r="H621" t="s"/>
      <c r="I621" t="s"/>
      <c r="J621" t="n">
        <v>-0.5599</v>
      </c>
      <c r="K621" t="n">
        <v>0.263</v>
      </c>
      <c r="L621" t="n">
        <v>0.625</v>
      </c>
      <c r="M621" t="n">
        <v>0.112</v>
      </c>
    </row>
    <row r="622" spans="1:13">
      <c r="A622" s="1">
        <f>HYPERLINK("http://www.twitter.com/NathanBLawrence/status/995723911437438976", "995723911437438976")</f>
        <v/>
      </c>
      <c r="B622" s="2" t="n">
        <v>43233.74599537037</v>
      </c>
      <c r="C622" t="n">
        <v>0</v>
      </c>
      <c r="D622" t="n">
        <v>2</v>
      </c>
      <c r="E622" t="s">
        <v>627</v>
      </c>
      <c r="F622" t="s"/>
      <c r="G622" t="s"/>
      <c r="H622" t="s"/>
      <c r="I622" t="s"/>
      <c r="J622" t="n">
        <v>0.5859</v>
      </c>
      <c r="K622" t="n">
        <v>0</v>
      </c>
      <c r="L622" t="n">
        <v>0.696</v>
      </c>
      <c r="M622" t="n">
        <v>0.304</v>
      </c>
    </row>
    <row r="623" spans="1:13">
      <c r="A623" s="1">
        <f>HYPERLINK("http://www.twitter.com/NathanBLawrence/status/995723874183667712", "995723874183667712")</f>
        <v/>
      </c>
      <c r="B623" s="2" t="n">
        <v>43233.7458912037</v>
      </c>
      <c r="C623" t="n">
        <v>0</v>
      </c>
      <c r="D623" t="n">
        <v>6</v>
      </c>
      <c r="E623" t="s">
        <v>628</v>
      </c>
      <c r="F623" t="s"/>
      <c r="G623" t="s"/>
      <c r="H623" t="s"/>
      <c r="I623" t="s"/>
      <c r="J623" t="n">
        <v>0</v>
      </c>
      <c r="K623" t="n">
        <v>0</v>
      </c>
      <c r="L623" t="n">
        <v>1</v>
      </c>
      <c r="M623" t="n">
        <v>0</v>
      </c>
    </row>
    <row r="624" spans="1:13">
      <c r="A624" s="1">
        <f>HYPERLINK("http://www.twitter.com/NathanBLawrence/status/995723776955383808", "995723776955383808")</f>
        <v/>
      </c>
      <c r="B624" s="2" t="n">
        <v>43233.745625</v>
      </c>
      <c r="C624" t="n">
        <v>0</v>
      </c>
      <c r="D624" t="n">
        <v>6</v>
      </c>
      <c r="E624" t="s">
        <v>629</v>
      </c>
      <c r="F624" t="s"/>
      <c r="G624" t="s"/>
      <c r="H624" t="s"/>
      <c r="I624" t="s"/>
      <c r="J624" t="n">
        <v>0</v>
      </c>
      <c r="K624" t="n">
        <v>0</v>
      </c>
      <c r="L624" t="n">
        <v>1</v>
      </c>
      <c r="M624" t="n">
        <v>0</v>
      </c>
    </row>
    <row r="625" spans="1:13">
      <c r="A625" s="1">
        <f>HYPERLINK("http://www.twitter.com/NathanBLawrence/status/995723741580668933", "995723741580668933")</f>
        <v/>
      </c>
      <c r="B625" s="2" t="n">
        <v>43233.74553240741</v>
      </c>
      <c r="C625" t="n">
        <v>0</v>
      </c>
      <c r="D625" t="n">
        <v>2</v>
      </c>
      <c r="E625" t="s">
        <v>630</v>
      </c>
      <c r="F625" t="s"/>
      <c r="G625" t="s"/>
      <c r="H625" t="s"/>
      <c r="I625" t="s"/>
      <c r="J625" t="n">
        <v>0</v>
      </c>
      <c r="K625" t="n">
        <v>0</v>
      </c>
      <c r="L625" t="n">
        <v>1</v>
      </c>
      <c r="M625" t="n">
        <v>0</v>
      </c>
    </row>
    <row r="626" spans="1:13">
      <c r="A626" s="1">
        <f>HYPERLINK("http://www.twitter.com/NathanBLawrence/status/995723580674625537", "995723580674625537")</f>
        <v/>
      </c>
      <c r="B626" s="2" t="n">
        <v>43233.74508101852</v>
      </c>
      <c r="C626" t="n">
        <v>0</v>
      </c>
      <c r="D626" t="n">
        <v>1</v>
      </c>
      <c r="E626" t="s">
        <v>631</v>
      </c>
      <c r="F626" t="s"/>
      <c r="G626" t="s"/>
      <c r="H626" t="s"/>
      <c r="I626" t="s"/>
      <c r="J626" t="n">
        <v>0</v>
      </c>
      <c r="K626" t="n">
        <v>0</v>
      </c>
      <c r="L626" t="n">
        <v>1</v>
      </c>
      <c r="M626" t="n">
        <v>0</v>
      </c>
    </row>
    <row r="627" spans="1:13">
      <c r="A627" s="1">
        <f>HYPERLINK("http://www.twitter.com/NathanBLawrence/status/995723116876845058", "995723116876845058")</f>
        <v/>
      </c>
      <c r="B627" s="2" t="n">
        <v>43233.74380787037</v>
      </c>
      <c r="C627" t="n">
        <v>0</v>
      </c>
      <c r="D627" t="n">
        <v>1</v>
      </c>
      <c r="E627" t="s">
        <v>632</v>
      </c>
      <c r="F627" t="s"/>
      <c r="G627" t="s"/>
      <c r="H627" t="s"/>
      <c r="I627" t="s"/>
      <c r="J627" t="n">
        <v>0</v>
      </c>
      <c r="K627" t="n">
        <v>0</v>
      </c>
      <c r="L627" t="n">
        <v>1</v>
      </c>
      <c r="M627" t="n">
        <v>0</v>
      </c>
    </row>
    <row r="628" spans="1:13">
      <c r="A628" s="1">
        <f>HYPERLINK("http://www.twitter.com/NathanBLawrence/status/995715581545517057", "995715581545517057")</f>
        <v/>
      </c>
      <c r="B628" s="2" t="n">
        <v>43233.72300925926</v>
      </c>
      <c r="C628" t="n">
        <v>0</v>
      </c>
      <c r="D628" t="n">
        <v>3</v>
      </c>
      <c r="E628" t="s">
        <v>633</v>
      </c>
      <c r="F628">
        <f>HYPERLINK("http://pbs.twimg.com/media/DdFs_wYVMAAGaDa.jpg", "http://pbs.twimg.com/media/DdFs_wYVMAAGaDa.jpg")</f>
        <v/>
      </c>
      <c r="G628" t="s"/>
      <c r="H628" t="s"/>
      <c r="I628" t="s"/>
      <c r="J628" t="n">
        <v>0</v>
      </c>
      <c r="K628" t="n">
        <v>0</v>
      </c>
      <c r="L628" t="n">
        <v>1</v>
      </c>
      <c r="M628" t="n">
        <v>0</v>
      </c>
    </row>
    <row r="629" spans="1:13">
      <c r="A629" s="1">
        <f>HYPERLINK("http://www.twitter.com/NathanBLawrence/status/995715563434409984", "995715563434409984")</f>
        <v/>
      </c>
      <c r="B629" s="2" t="n">
        <v>43233.72296296297</v>
      </c>
      <c r="C629" t="n">
        <v>0</v>
      </c>
      <c r="D629" t="n">
        <v>1</v>
      </c>
      <c r="E629" t="s">
        <v>634</v>
      </c>
      <c r="F629">
        <f>HYPERLINK("http://pbs.twimg.com/media/DdFucmPVQAA0Tg_.jpg", "http://pbs.twimg.com/media/DdFucmPVQAA0Tg_.jpg")</f>
        <v/>
      </c>
      <c r="G629" t="s"/>
      <c r="H629" t="s"/>
      <c r="I629" t="s"/>
      <c r="J629" t="n">
        <v>0.4588</v>
      </c>
      <c r="K629" t="n">
        <v>0</v>
      </c>
      <c r="L629" t="n">
        <v>0.875</v>
      </c>
      <c r="M629" t="n">
        <v>0.125</v>
      </c>
    </row>
    <row r="630" spans="1:13">
      <c r="A630" s="1">
        <f>HYPERLINK("http://www.twitter.com/NathanBLawrence/status/995715550067281923", "995715550067281923")</f>
        <v/>
      </c>
      <c r="B630" s="2" t="n">
        <v>43233.72292824074</v>
      </c>
      <c r="C630" t="n">
        <v>0</v>
      </c>
      <c r="D630" t="n">
        <v>1</v>
      </c>
      <c r="E630" t="s">
        <v>635</v>
      </c>
      <c r="F630" t="s"/>
      <c r="G630" t="s"/>
      <c r="H630" t="s"/>
      <c r="I630" t="s"/>
      <c r="J630" t="n">
        <v>-0.5367</v>
      </c>
      <c r="K630" t="n">
        <v>0.154</v>
      </c>
      <c r="L630" t="n">
        <v>0.846</v>
      </c>
      <c r="M630" t="n">
        <v>0</v>
      </c>
    </row>
    <row r="631" spans="1:13">
      <c r="A631" s="1">
        <f>HYPERLINK("http://www.twitter.com/NathanBLawrence/status/995715536519663616", "995715536519663616")</f>
        <v/>
      </c>
      <c r="B631" s="2" t="n">
        <v>43233.72289351852</v>
      </c>
      <c r="C631" t="n">
        <v>0</v>
      </c>
      <c r="D631" t="n">
        <v>1</v>
      </c>
      <c r="E631" t="s">
        <v>636</v>
      </c>
      <c r="F631">
        <f>HYPERLINK("http://pbs.twimg.com/media/DdFwiseV4AAmJ19.jpg", "http://pbs.twimg.com/media/DdFwiseV4AAmJ19.jpg")</f>
        <v/>
      </c>
      <c r="G631" t="s"/>
      <c r="H631" t="s"/>
      <c r="I631" t="s"/>
      <c r="J631" t="n">
        <v>0</v>
      </c>
      <c r="K631" t="n">
        <v>0</v>
      </c>
      <c r="L631" t="n">
        <v>1</v>
      </c>
      <c r="M631" t="n">
        <v>0</v>
      </c>
    </row>
    <row r="632" spans="1:13">
      <c r="A632" s="1">
        <f>HYPERLINK("http://www.twitter.com/NathanBLawrence/status/995715462402068481", "995715462402068481")</f>
        <v/>
      </c>
      <c r="B632" s="2" t="n">
        <v>43233.72268518519</v>
      </c>
      <c r="C632" t="n">
        <v>0</v>
      </c>
      <c r="D632" t="n">
        <v>1</v>
      </c>
      <c r="E632" t="s">
        <v>637</v>
      </c>
      <c r="F632" t="s"/>
      <c r="G632" t="s"/>
      <c r="H632" t="s"/>
      <c r="I632" t="s"/>
      <c r="J632" t="n">
        <v>0</v>
      </c>
      <c r="K632" t="n">
        <v>0</v>
      </c>
      <c r="L632" t="n">
        <v>1</v>
      </c>
      <c r="M632" t="n">
        <v>0</v>
      </c>
    </row>
    <row r="633" spans="1:13">
      <c r="A633" s="1">
        <f>HYPERLINK("http://www.twitter.com/NathanBLawrence/status/995714365176377344", "995714365176377344")</f>
        <v/>
      </c>
      <c r="B633" s="2" t="n">
        <v>43233.71965277778</v>
      </c>
      <c r="C633" t="n">
        <v>2</v>
      </c>
      <c r="D633" t="n">
        <v>1</v>
      </c>
      <c r="E633" t="s">
        <v>638</v>
      </c>
      <c r="F633">
        <f>HYPERLINK("http://pbs.twimg.com/media/DdF870ZVwAEVB63.jpg", "http://pbs.twimg.com/media/DdF870ZVwAEVB63.jpg")</f>
        <v/>
      </c>
      <c r="G633" t="s"/>
      <c r="H633" t="s"/>
      <c r="I633" t="s"/>
      <c r="J633" t="n">
        <v>0.7149</v>
      </c>
      <c r="K633" t="n">
        <v>0.034</v>
      </c>
      <c r="L633" t="n">
        <v>0.796</v>
      </c>
      <c r="M633" t="n">
        <v>0.17</v>
      </c>
    </row>
    <row r="634" spans="1:13">
      <c r="A634" s="1">
        <f>HYPERLINK("http://www.twitter.com/NathanBLawrence/status/995712968322056193", "995712968322056193")</f>
        <v/>
      </c>
      <c r="B634" s="2" t="n">
        <v>43233.71579861111</v>
      </c>
      <c r="C634" t="n">
        <v>2</v>
      </c>
      <c r="D634" t="n">
        <v>1</v>
      </c>
      <c r="E634" t="s">
        <v>639</v>
      </c>
      <c r="F634" t="s"/>
      <c r="G634" t="s"/>
      <c r="H634" t="s"/>
      <c r="I634" t="s"/>
      <c r="J634" t="n">
        <v>0</v>
      </c>
      <c r="K634" t="n">
        <v>0</v>
      </c>
      <c r="L634" t="n">
        <v>1</v>
      </c>
      <c r="M634" t="n">
        <v>0</v>
      </c>
    </row>
    <row r="635" spans="1:13">
      <c r="A635" s="1">
        <f>HYPERLINK("http://www.twitter.com/NathanBLawrence/status/995712778399830019", "995712778399830019")</f>
        <v/>
      </c>
      <c r="B635" s="2" t="n">
        <v>43233.71527777778</v>
      </c>
      <c r="C635" t="n">
        <v>0</v>
      </c>
      <c r="D635" t="n">
        <v>6</v>
      </c>
      <c r="E635" t="s">
        <v>640</v>
      </c>
      <c r="F635" t="s"/>
      <c r="G635" t="s"/>
      <c r="H635" t="s"/>
      <c r="I635" t="s"/>
      <c r="J635" t="n">
        <v>0</v>
      </c>
      <c r="K635" t="n">
        <v>0</v>
      </c>
      <c r="L635" t="n">
        <v>1</v>
      </c>
      <c r="M635" t="n">
        <v>0</v>
      </c>
    </row>
    <row r="636" spans="1:13">
      <c r="A636" s="1">
        <f>HYPERLINK("http://www.twitter.com/NathanBLawrence/status/995712672753647616", "995712672753647616")</f>
        <v/>
      </c>
      <c r="B636" s="2" t="n">
        <v>43233.71498842593</v>
      </c>
      <c r="C636" t="n">
        <v>0</v>
      </c>
      <c r="D636" t="n">
        <v>10</v>
      </c>
      <c r="E636" t="s">
        <v>641</v>
      </c>
      <c r="F636" t="s"/>
      <c r="G636" t="s"/>
      <c r="H636" t="s"/>
      <c r="I636" t="s"/>
      <c r="J636" t="n">
        <v>0</v>
      </c>
      <c r="K636" t="n">
        <v>0</v>
      </c>
      <c r="L636" t="n">
        <v>1</v>
      </c>
      <c r="M636" t="n">
        <v>0</v>
      </c>
    </row>
    <row r="637" spans="1:13">
      <c r="A637" s="1">
        <f>HYPERLINK("http://www.twitter.com/NathanBLawrence/status/995712568604938242", "995712568604938242")</f>
        <v/>
      </c>
      <c r="B637" s="2" t="n">
        <v>43233.71469907407</v>
      </c>
      <c r="C637" t="n">
        <v>2</v>
      </c>
      <c r="D637" t="n">
        <v>1</v>
      </c>
      <c r="E637" t="s">
        <v>642</v>
      </c>
      <c r="F637">
        <f>HYPERLINK("http://pbs.twimg.com/media/DdF7TLAVwAEFjFW.jpg", "http://pbs.twimg.com/media/DdF7TLAVwAEFjFW.jpg")</f>
        <v/>
      </c>
      <c r="G637" t="s"/>
      <c r="H637" t="s"/>
      <c r="I637" t="s"/>
      <c r="J637" t="n">
        <v>0.6767</v>
      </c>
      <c r="K637" t="n">
        <v>0.04</v>
      </c>
      <c r="L637" t="n">
        <v>0.84</v>
      </c>
      <c r="M637" t="n">
        <v>0.12</v>
      </c>
    </row>
    <row r="638" spans="1:13">
      <c r="A638" s="1">
        <f>HYPERLINK("http://www.twitter.com/NathanBLawrence/status/995700740852273154", "995700740852273154")</f>
        <v/>
      </c>
      <c r="B638" s="2" t="n">
        <v>43233.68206018519</v>
      </c>
      <c r="C638" t="n">
        <v>2</v>
      </c>
      <c r="D638" t="n">
        <v>1</v>
      </c>
      <c r="E638" t="s">
        <v>643</v>
      </c>
      <c r="F638">
        <f>HYPERLINK("http://pbs.twimg.com/media/DdFwiseV4AAmJ19.jpg", "http://pbs.twimg.com/media/DdFwiseV4AAmJ19.jpg")</f>
        <v/>
      </c>
      <c r="G638" t="s"/>
      <c r="H638" t="s"/>
      <c r="I638" t="s"/>
      <c r="J638" t="n">
        <v>-0.7929</v>
      </c>
      <c r="K638" t="n">
        <v>0.138</v>
      </c>
      <c r="L638" t="n">
        <v>0.862</v>
      </c>
      <c r="M638" t="n">
        <v>0</v>
      </c>
    </row>
    <row r="639" spans="1:13">
      <c r="A639" s="1">
        <f>HYPERLINK("http://www.twitter.com/NathanBLawrence/status/995699068834861057", "995699068834861057")</f>
        <v/>
      </c>
      <c r="B639" s="2" t="n">
        <v>43233.67744212963</v>
      </c>
      <c r="C639" t="n">
        <v>2</v>
      </c>
      <c r="D639" t="n">
        <v>1</v>
      </c>
      <c r="E639" t="s">
        <v>644</v>
      </c>
      <c r="F639" t="s"/>
      <c r="G639" t="s"/>
      <c r="H639" t="s"/>
      <c r="I639" t="s"/>
      <c r="J639" t="n">
        <v>-0.7026</v>
      </c>
      <c r="K639" t="n">
        <v>0.124</v>
      </c>
      <c r="L639" t="n">
        <v>0.85</v>
      </c>
      <c r="M639" t="n">
        <v>0.026</v>
      </c>
    </row>
    <row r="640" spans="1:13">
      <c r="A640" s="1">
        <f>HYPERLINK("http://www.twitter.com/NathanBLawrence/status/995698436115718144", "995698436115718144")</f>
        <v/>
      </c>
      <c r="B640" s="2" t="n">
        <v>43233.67570601852</v>
      </c>
      <c r="C640" t="n">
        <v>1</v>
      </c>
      <c r="D640" t="n">
        <v>1</v>
      </c>
      <c r="E640" t="s">
        <v>645</v>
      </c>
      <c r="F640">
        <f>HYPERLINK("http://pbs.twimg.com/media/DdFucmPVQAA0Tg_.jpg", "http://pbs.twimg.com/media/DdFucmPVQAA0Tg_.jpg")</f>
        <v/>
      </c>
      <c r="G640" t="s"/>
      <c r="H640" t="s"/>
      <c r="I640" t="s"/>
      <c r="J640" t="n">
        <v>0.5266999999999999</v>
      </c>
      <c r="K640" t="n">
        <v>0</v>
      </c>
      <c r="L640" t="n">
        <v>0.918</v>
      </c>
      <c r="M640" t="n">
        <v>0.082</v>
      </c>
    </row>
    <row r="641" spans="1:13">
      <c r="A641" s="1">
        <f>HYPERLINK("http://www.twitter.com/NathanBLawrence/status/995696841529446400", "995696841529446400")</f>
        <v/>
      </c>
      <c r="B641" s="2" t="n">
        <v>43233.6712962963</v>
      </c>
      <c r="C641" t="n">
        <v>2</v>
      </c>
      <c r="D641" t="n">
        <v>3</v>
      </c>
      <c r="E641" t="s">
        <v>646</v>
      </c>
      <c r="F641">
        <f>HYPERLINK("http://pbs.twimg.com/media/DdFs_wYVMAAGaDa.jpg", "http://pbs.twimg.com/media/DdFs_wYVMAAGaDa.jpg")</f>
        <v/>
      </c>
      <c r="G641" t="s"/>
      <c r="H641" t="s"/>
      <c r="I641" t="s"/>
      <c r="J641" t="n">
        <v>0.875</v>
      </c>
      <c r="K641" t="n">
        <v>0</v>
      </c>
      <c r="L641" t="n">
        <v>0.796</v>
      </c>
      <c r="M641" t="n">
        <v>0.204</v>
      </c>
    </row>
    <row r="642" spans="1:13">
      <c r="A642" s="1">
        <f>HYPERLINK("http://www.twitter.com/NathanBLawrence/status/995695066374131712", "995695066374131712")</f>
        <v/>
      </c>
      <c r="B642" s="2" t="n">
        <v>43233.66640046296</v>
      </c>
      <c r="C642" t="n">
        <v>1</v>
      </c>
      <c r="D642" t="n">
        <v>0</v>
      </c>
      <c r="E642" t="s">
        <v>647</v>
      </c>
      <c r="F642" t="s"/>
      <c r="G642" t="s"/>
      <c r="H642" t="s"/>
      <c r="I642" t="s"/>
      <c r="J642" t="n">
        <v>0</v>
      </c>
      <c r="K642" t="n">
        <v>0</v>
      </c>
      <c r="L642" t="n">
        <v>1</v>
      </c>
      <c r="M642" t="n">
        <v>0</v>
      </c>
    </row>
    <row r="643" spans="1:13">
      <c r="A643" s="1">
        <f>HYPERLINK("http://www.twitter.com/NathanBLawrence/status/995694271876468736", "995694271876468736")</f>
        <v/>
      </c>
      <c r="B643" s="2" t="n">
        <v>43233.66421296296</v>
      </c>
      <c r="C643" t="n">
        <v>0</v>
      </c>
      <c r="D643" t="n">
        <v>2</v>
      </c>
      <c r="E643" t="s">
        <v>648</v>
      </c>
      <c r="F643">
        <f>HYPERLINK("http://pbs.twimg.com/media/DdFf4ziUwAg1_Wk.jpg", "http://pbs.twimg.com/media/DdFf4ziUwAg1_Wk.jpg")</f>
        <v/>
      </c>
      <c r="G643" t="s"/>
      <c r="H643" t="s"/>
      <c r="I643" t="s"/>
      <c r="J643" t="n">
        <v>-0.2263</v>
      </c>
      <c r="K643" t="n">
        <v>0.161</v>
      </c>
      <c r="L643" t="n">
        <v>0.712</v>
      </c>
      <c r="M643" t="n">
        <v>0.127</v>
      </c>
    </row>
    <row r="644" spans="1:13">
      <c r="A644" s="1">
        <f>HYPERLINK("http://www.twitter.com/NathanBLawrence/status/995694262456143874", "995694262456143874")</f>
        <v/>
      </c>
      <c r="B644" s="2" t="n">
        <v>43233.66417824074</v>
      </c>
      <c r="C644" t="n">
        <v>0</v>
      </c>
      <c r="D644" t="n">
        <v>1</v>
      </c>
      <c r="E644" t="s">
        <v>649</v>
      </c>
      <c r="F644" t="s"/>
      <c r="G644" t="s"/>
      <c r="H644" t="s"/>
      <c r="I644" t="s"/>
      <c r="J644" t="n">
        <v>-0.1027</v>
      </c>
      <c r="K644" t="n">
        <v>0.08500000000000001</v>
      </c>
      <c r="L644" t="n">
        <v>0.915</v>
      </c>
      <c r="M644" t="n">
        <v>0</v>
      </c>
    </row>
    <row r="645" spans="1:13">
      <c r="A645" s="1">
        <f>HYPERLINK("http://www.twitter.com/NathanBLawrence/status/995682426214076417", "995682426214076417")</f>
        <v/>
      </c>
      <c r="B645" s="2" t="n">
        <v>43233.63151620371</v>
      </c>
      <c r="C645" t="n">
        <v>6</v>
      </c>
      <c r="D645" t="n">
        <v>2</v>
      </c>
      <c r="E645" t="s">
        <v>650</v>
      </c>
      <c r="F645">
        <f>HYPERLINK("http://pbs.twimg.com/media/DdFf4ziUwAg1_Wk.jpg", "http://pbs.twimg.com/media/DdFf4ziUwAg1_Wk.jpg")</f>
        <v/>
      </c>
      <c r="G645" t="s"/>
      <c r="H645" t="s"/>
      <c r="I645" t="s"/>
      <c r="J645" t="n">
        <v>-0.3182</v>
      </c>
      <c r="K645" t="n">
        <v>0.139</v>
      </c>
      <c r="L645" t="n">
        <v>0.779</v>
      </c>
      <c r="M645" t="n">
        <v>0.083</v>
      </c>
    </row>
    <row r="646" spans="1:13">
      <c r="A646" s="1">
        <f>HYPERLINK("http://www.twitter.com/NathanBLawrence/status/995682041453842434", "995682041453842434")</f>
        <v/>
      </c>
      <c r="B646" s="2" t="n">
        <v>43233.63046296296</v>
      </c>
      <c r="C646" t="n">
        <v>0</v>
      </c>
      <c r="D646" t="n">
        <v>6</v>
      </c>
      <c r="E646" t="s">
        <v>651</v>
      </c>
      <c r="F646" t="s"/>
      <c r="G646" t="s"/>
      <c r="H646" t="s"/>
      <c r="I646" t="s"/>
      <c r="J646" t="n">
        <v>0</v>
      </c>
      <c r="K646" t="n">
        <v>0</v>
      </c>
      <c r="L646" t="n">
        <v>1</v>
      </c>
      <c r="M646" t="n">
        <v>0</v>
      </c>
    </row>
    <row r="647" spans="1:13">
      <c r="A647" s="1">
        <f>HYPERLINK("http://www.twitter.com/NathanBLawrence/status/995682022092918784", "995682022092918784")</f>
        <v/>
      </c>
      <c r="B647" s="2" t="n">
        <v>43233.63040509259</v>
      </c>
      <c r="C647" t="n">
        <v>0</v>
      </c>
      <c r="D647" t="n">
        <v>3</v>
      </c>
      <c r="E647" t="s">
        <v>652</v>
      </c>
      <c r="F647">
        <f>HYPERLINK("http://pbs.twimg.com/media/DdCDnhrVMAEHrZ4.jpg", "http://pbs.twimg.com/media/DdCDnhrVMAEHrZ4.jpg")</f>
        <v/>
      </c>
      <c r="G647" t="s"/>
      <c r="H647" t="s"/>
      <c r="I647" t="s"/>
      <c r="J647" t="n">
        <v>0</v>
      </c>
      <c r="K647" t="n">
        <v>0</v>
      </c>
      <c r="L647" t="n">
        <v>1</v>
      </c>
      <c r="M647" t="n">
        <v>0</v>
      </c>
    </row>
    <row r="648" spans="1:13">
      <c r="A648" s="1">
        <f>HYPERLINK("http://www.twitter.com/NathanBLawrence/status/995681990417543168", "995681990417543168")</f>
        <v/>
      </c>
      <c r="B648" s="2" t="n">
        <v>43233.63032407407</v>
      </c>
      <c r="C648" t="n">
        <v>0</v>
      </c>
      <c r="D648" t="n">
        <v>4</v>
      </c>
      <c r="E648" t="s">
        <v>653</v>
      </c>
      <c r="F648" t="s"/>
      <c r="G648" t="s"/>
      <c r="H648" t="s"/>
      <c r="I648" t="s"/>
      <c r="J648" t="n">
        <v>0.3612</v>
      </c>
      <c r="K648" t="n">
        <v>0</v>
      </c>
      <c r="L648" t="n">
        <v>0.857</v>
      </c>
      <c r="M648" t="n">
        <v>0.143</v>
      </c>
    </row>
    <row r="649" spans="1:13">
      <c r="A649" s="1">
        <f>HYPERLINK("http://www.twitter.com/NathanBLawrence/status/995681969781526528", "995681969781526528")</f>
        <v/>
      </c>
      <c r="B649" s="2" t="n">
        <v>43233.63026620371</v>
      </c>
      <c r="C649" t="n">
        <v>0</v>
      </c>
      <c r="D649" t="n">
        <v>2</v>
      </c>
      <c r="E649" t="s">
        <v>654</v>
      </c>
      <c r="F649" t="s"/>
      <c r="G649" t="s"/>
      <c r="H649" t="s"/>
      <c r="I649" t="s"/>
      <c r="J649" t="n">
        <v>0.7184</v>
      </c>
      <c r="K649" t="n">
        <v>0.135</v>
      </c>
      <c r="L649" t="n">
        <v>0.468</v>
      </c>
      <c r="M649" t="n">
        <v>0.398</v>
      </c>
    </row>
    <row r="650" spans="1:13">
      <c r="A650" s="1">
        <f>HYPERLINK("http://www.twitter.com/NathanBLawrence/status/995681951615987714", "995681951615987714")</f>
        <v/>
      </c>
      <c r="B650" s="2" t="n">
        <v>43233.63020833334</v>
      </c>
      <c r="C650" t="n">
        <v>0</v>
      </c>
      <c r="D650" t="n">
        <v>1</v>
      </c>
      <c r="E650" t="s">
        <v>655</v>
      </c>
      <c r="F650" t="s"/>
      <c r="G650" t="s"/>
      <c r="H650" t="s"/>
      <c r="I650" t="s"/>
      <c r="J650" t="n">
        <v>0.3612</v>
      </c>
      <c r="K650" t="n">
        <v>0</v>
      </c>
      <c r="L650" t="n">
        <v>0.889</v>
      </c>
      <c r="M650" t="n">
        <v>0.111</v>
      </c>
    </row>
    <row r="651" spans="1:13">
      <c r="A651" s="1">
        <f>HYPERLINK("http://www.twitter.com/NathanBLawrence/status/995656776618999809", "995656776618999809")</f>
        <v/>
      </c>
      <c r="B651" s="2" t="n">
        <v>43233.56074074074</v>
      </c>
      <c r="C651" t="n">
        <v>0</v>
      </c>
      <c r="D651" t="n">
        <v>1</v>
      </c>
      <c r="E651" t="s">
        <v>656</v>
      </c>
      <c r="F651" t="s"/>
      <c r="G651" t="s"/>
      <c r="H651" t="s"/>
      <c r="I651" t="s"/>
      <c r="J651" t="n">
        <v>0.1531</v>
      </c>
      <c r="K651" t="n">
        <v>0.08500000000000001</v>
      </c>
      <c r="L651" t="n">
        <v>0.8090000000000001</v>
      </c>
      <c r="M651" t="n">
        <v>0.107</v>
      </c>
    </row>
    <row r="652" spans="1:13">
      <c r="A652" s="1">
        <f>HYPERLINK("http://www.twitter.com/NathanBLawrence/status/995656629604544512", "995656629604544512")</f>
        <v/>
      </c>
      <c r="B652" s="2" t="n">
        <v>43233.56033564815</v>
      </c>
      <c r="C652" t="n">
        <v>0</v>
      </c>
      <c r="D652" t="n">
        <v>5</v>
      </c>
      <c r="E652" t="s">
        <v>657</v>
      </c>
      <c r="F652">
        <f>HYPERLINK("http://pbs.twimg.com/media/DdFDea1XUAEyMXT.jpg", "http://pbs.twimg.com/media/DdFDea1XUAEyMXT.jpg")</f>
        <v/>
      </c>
      <c r="G652" t="s"/>
      <c r="H652" t="s"/>
      <c r="I652" t="s"/>
      <c r="J652" t="n">
        <v>-0.5707</v>
      </c>
      <c r="K652" t="n">
        <v>0.216</v>
      </c>
      <c r="L652" t="n">
        <v>0.784</v>
      </c>
      <c r="M652" t="n">
        <v>0</v>
      </c>
    </row>
    <row r="653" spans="1:13">
      <c r="A653" s="1">
        <f>HYPERLINK("http://www.twitter.com/NathanBLawrence/status/995656599497854976", "995656599497854976")</f>
        <v/>
      </c>
      <c r="B653" s="2" t="n">
        <v>43233.56025462963</v>
      </c>
      <c r="C653" t="n">
        <v>0</v>
      </c>
      <c r="D653" t="n">
        <v>1</v>
      </c>
      <c r="E653" t="s">
        <v>658</v>
      </c>
      <c r="F653">
        <f>HYPERLINK("http://pbs.twimg.com/media/DdFEuGKU8AAHLAM.jpg", "http://pbs.twimg.com/media/DdFEuGKU8AAHLAM.jpg")</f>
        <v/>
      </c>
      <c r="G653" t="s"/>
      <c r="H653" t="s"/>
      <c r="I653" t="s"/>
      <c r="J653" t="n">
        <v>-0.34</v>
      </c>
      <c r="K653" t="n">
        <v>0.146</v>
      </c>
      <c r="L653" t="n">
        <v>0.854</v>
      </c>
      <c r="M653" t="n">
        <v>0</v>
      </c>
    </row>
    <row r="654" spans="1:13">
      <c r="A654" s="1">
        <f>HYPERLINK("http://www.twitter.com/NathanBLawrence/status/995656327480401920", "995656327480401920")</f>
        <v/>
      </c>
      <c r="B654" s="2" t="n">
        <v>43233.55950231481</v>
      </c>
      <c r="C654" t="n">
        <v>0</v>
      </c>
      <c r="D654" t="n">
        <v>0</v>
      </c>
      <c r="E654" t="s">
        <v>659</v>
      </c>
      <c r="F654" t="s"/>
      <c r="G654" t="s"/>
      <c r="H654" t="s"/>
      <c r="I654" t="s"/>
      <c r="J654" t="n">
        <v>0.5574</v>
      </c>
      <c r="K654" t="n">
        <v>0.152</v>
      </c>
      <c r="L654" t="n">
        <v>0.524</v>
      </c>
      <c r="M654" t="n">
        <v>0.324</v>
      </c>
    </row>
    <row r="655" spans="1:13">
      <c r="A655" s="1">
        <f>HYPERLINK("http://www.twitter.com/NathanBLawrence/status/995655654638608386", "995655654638608386")</f>
        <v/>
      </c>
      <c r="B655" s="2" t="n">
        <v>43233.55765046296</v>
      </c>
      <c r="C655" t="n">
        <v>0</v>
      </c>
      <c r="D655" t="n">
        <v>12</v>
      </c>
      <c r="E655" t="s">
        <v>660</v>
      </c>
      <c r="F655">
        <f>HYPERLINK("http://pbs.twimg.com/media/DdCHdYmXkAA-ydw.jpg", "http://pbs.twimg.com/media/DdCHdYmXkAA-ydw.jpg")</f>
        <v/>
      </c>
      <c r="G655" t="s"/>
      <c r="H655" t="s"/>
      <c r="I655" t="s"/>
      <c r="J655" t="n">
        <v>0.5319</v>
      </c>
      <c r="K655" t="n">
        <v>0</v>
      </c>
      <c r="L655" t="n">
        <v>0.879</v>
      </c>
      <c r="M655" t="n">
        <v>0.121</v>
      </c>
    </row>
    <row r="656" spans="1:13">
      <c r="A656" s="1">
        <f>HYPERLINK("http://www.twitter.com/NathanBLawrence/status/995655372013752320", "995655372013752320")</f>
        <v/>
      </c>
      <c r="B656" s="2" t="n">
        <v>43233.55686342593</v>
      </c>
      <c r="C656" t="n">
        <v>0</v>
      </c>
      <c r="D656" t="n">
        <v>0</v>
      </c>
      <c r="E656" t="s">
        <v>661</v>
      </c>
      <c r="F656">
        <f>HYPERLINK("http://pbs.twimg.com/media/DdFHROxVwAAmWB4.jpg", "http://pbs.twimg.com/media/DdFHROxVwAAmWB4.jpg")</f>
        <v/>
      </c>
      <c r="G656" t="s"/>
      <c r="H656" t="s"/>
      <c r="I656" t="s"/>
      <c r="J656" t="n">
        <v>-0.2846</v>
      </c>
      <c r="K656" t="n">
        <v>0.093</v>
      </c>
      <c r="L656" t="n">
        <v>0.84</v>
      </c>
      <c r="M656" t="n">
        <v>0.067</v>
      </c>
    </row>
    <row r="657" spans="1:13">
      <c r="A657" s="1">
        <f>HYPERLINK("http://www.twitter.com/NathanBLawrence/status/995652614984491013", "995652614984491013")</f>
        <v/>
      </c>
      <c r="B657" s="2" t="n">
        <v>43233.54925925926</v>
      </c>
      <c r="C657" t="n">
        <v>0</v>
      </c>
      <c r="D657" t="n">
        <v>1</v>
      </c>
      <c r="E657" t="s">
        <v>662</v>
      </c>
      <c r="F657">
        <f>HYPERLINK("http://pbs.twimg.com/media/DdFBZvVX0AIxoDK.jpg", "http://pbs.twimg.com/media/DdFBZvVX0AIxoDK.jpg")</f>
        <v/>
      </c>
      <c r="G657" t="s"/>
      <c r="H657" t="s"/>
      <c r="I657" t="s"/>
      <c r="J657" t="n">
        <v>-0.5859</v>
      </c>
      <c r="K657" t="n">
        <v>0.202</v>
      </c>
      <c r="L657" t="n">
        <v>0.798</v>
      </c>
      <c r="M657" t="n">
        <v>0</v>
      </c>
    </row>
    <row r="658" spans="1:13">
      <c r="A658" s="1">
        <f>HYPERLINK("http://www.twitter.com/NathanBLawrence/status/995652585993461761", "995652585993461761")</f>
        <v/>
      </c>
      <c r="B658" s="2" t="n">
        <v>43233.54917824074</v>
      </c>
      <c r="C658" t="n">
        <v>0</v>
      </c>
      <c r="D658" t="n">
        <v>4</v>
      </c>
      <c r="E658" t="s">
        <v>663</v>
      </c>
      <c r="F658" t="s"/>
      <c r="G658" t="s"/>
      <c r="H658" t="s"/>
      <c r="I658" t="s"/>
      <c r="J658" t="n">
        <v>-0.4767</v>
      </c>
      <c r="K658" t="n">
        <v>0.223</v>
      </c>
      <c r="L658" t="n">
        <v>0.677</v>
      </c>
      <c r="M658" t="n">
        <v>0.1</v>
      </c>
    </row>
    <row r="659" spans="1:13">
      <c r="A659" s="1">
        <f>HYPERLINK("http://www.twitter.com/NathanBLawrence/status/995652557417713664", "995652557417713664")</f>
        <v/>
      </c>
      <c r="B659" s="2" t="n">
        <v>43233.54909722223</v>
      </c>
      <c r="C659" t="n">
        <v>2</v>
      </c>
      <c r="D659" t="n">
        <v>1</v>
      </c>
      <c r="E659" t="s">
        <v>664</v>
      </c>
      <c r="F659">
        <f>HYPERLINK("http://pbs.twimg.com/media/DdFEuGKU8AAHLAM.jpg", "http://pbs.twimg.com/media/DdFEuGKU8AAHLAM.jpg")</f>
        <v/>
      </c>
      <c r="G659" t="s"/>
      <c r="H659" t="s"/>
      <c r="I659" t="s"/>
      <c r="J659" t="n">
        <v>-0.34</v>
      </c>
      <c r="K659" t="n">
        <v>0.167</v>
      </c>
      <c r="L659" t="n">
        <v>0.833</v>
      </c>
      <c r="M659" t="n">
        <v>0</v>
      </c>
    </row>
    <row r="660" spans="1:13">
      <c r="A660" s="1">
        <f>HYPERLINK("http://www.twitter.com/NathanBLawrence/status/995652070110834689", "995652070110834689")</f>
        <v/>
      </c>
      <c r="B660" s="2" t="n">
        <v>43233.54775462963</v>
      </c>
      <c r="C660" t="n">
        <v>0</v>
      </c>
      <c r="D660" t="n">
        <v>34</v>
      </c>
      <c r="E660" t="s">
        <v>665</v>
      </c>
      <c r="F660" t="s"/>
      <c r="G660" t="s"/>
      <c r="H660" t="s"/>
      <c r="I660" t="s"/>
      <c r="J660" t="n">
        <v>-0.3818</v>
      </c>
      <c r="K660" t="n">
        <v>0.11</v>
      </c>
      <c r="L660" t="n">
        <v>0.89</v>
      </c>
      <c r="M660" t="n">
        <v>0</v>
      </c>
    </row>
    <row r="661" spans="1:13">
      <c r="A661" s="1">
        <f>HYPERLINK("http://www.twitter.com/NathanBLawrence/status/995648908847132673", "995648908847132673")</f>
        <v/>
      </c>
      <c r="B661" s="2" t="n">
        <v>43233.53902777778</v>
      </c>
      <c r="C661" t="n">
        <v>1</v>
      </c>
      <c r="D661" t="n">
        <v>1</v>
      </c>
      <c r="E661" t="s">
        <v>666</v>
      </c>
      <c r="F661">
        <f>HYPERLINK("http://pbs.twimg.com/media/DdFBZvVX0AIxoDK.jpg", "http://pbs.twimg.com/media/DdFBZvVX0AIxoDK.jpg")</f>
        <v/>
      </c>
      <c r="G661" t="s"/>
      <c r="H661" t="s"/>
      <c r="I661" t="s"/>
      <c r="J661" t="n">
        <v>-0.0788</v>
      </c>
      <c r="K661" t="n">
        <v>0.165</v>
      </c>
      <c r="L661" t="n">
        <v>0.674</v>
      </c>
      <c r="M661" t="n">
        <v>0.16</v>
      </c>
    </row>
    <row r="662" spans="1:13">
      <c r="A662" s="1">
        <f>HYPERLINK("http://www.twitter.com/NathanBLawrence/status/995648080992260096", "995648080992260096")</f>
        <v/>
      </c>
      <c r="B662" s="2" t="n">
        <v>43233.53674768518</v>
      </c>
      <c r="C662" t="n">
        <v>0</v>
      </c>
      <c r="D662" t="n">
        <v>8</v>
      </c>
      <c r="E662" t="s">
        <v>667</v>
      </c>
      <c r="F662" t="s"/>
      <c r="G662" t="s"/>
      <c r="H662" t="s"/>
      <c r="I662" t="s"/>
      <c r="J662" t="n">
        <v>0</v>
      </c>
      <c r="K662" t="n">
        <v>0</v>
      </c>
      <c r="L662" t="n">
        <v>1</v>
      </c>
      <c r="M662" t="n">
        <v>0</v>
      </c>
    </row>
    <row r="663" spans="1:13">
      <c r="A663" s="1">
        <f>HYPERLINK("http://www.twitter.com/NathanBLawrence/status/995647929724624896", "995647929724624896")</f>
        <v/>
      </c>
      <c r="B663" s="2" t="n">
        <v>43233.53633101852</v>
      </c>
      <c r="C663" t="n">
        <v>0</v>
      </c>
      <c r="D663" t="n">
        <v>9</v>
      </c>
      <c r="E663" t="s">
        <v>668</v>
      </c>
      <c r="F663" t="s"/>
      <c r="G663" t="s"/>
      <c r="H663" t="s"/>
      <c r="I663" t="s"/>
      <c r="J663" t="n">
        <v>0</v>
      </c>
      <c r="K663" t="n">
        <v>0</v>
      </c>
      <c r="L663" t="n">
        <v>1</v>
      </c>
      <c r="M663" t="n">
        <v>0</v>
      </c>
    </row>
    <row r="664" spans="1:13">
      <c r="A664" s="1">
        <f>HYPERLINK("http://www.twitter.com/NathanBLawrence/status/995647916957208577", "995647916957208577")</f>
        <v/>
      </c>
      <c r="B664" s="2" t="n">
        <v>43233.5362962963</v>
      </c>
      <c r="C664" t="n">
        <v>0</v>
      </c>
      <c r="D664" t="n">
        <v>9</v>
      </c>
      <c r="E664" t="s">
        <v>669</v>
      </c>
      <c r="F664" t="s"/>
      <c r="G664" t="s"/>
      <c r="H664" t="s"/>
      <c r="I664" t="s"/>
      <c r="J664" t="n">
        <v>0</v>
      </c>
      <c r="K664" t="n">
        <v>0</v>
      </c>
      <c r="L664" t="n">
        <v>1</v>
      </c>
      <c r="M664" t="n">
        <v>0</v>
      </c>
    </row>
    <row r="665" spans="1:13">
      <c r="A665" s="1">
        <f>HYPERLINK("http://www.twitter.com/NathanBLawrence/status/995647867443347456", "995647867443347456")</f>
        <v/>
      </c>
      <c r="B665" s="2" t="n">
        <v>43233.5361574074</v>
      </c>
      <c r="C665" t="n">
        <v>1</v>
      </c>
      <c r="D665" t="n">
        <v>0</v>
      </c>
      <c r="E665" t="s">
        <v>670</v>
      </c>
      <c r="F665">
        <f>HYPERLINK("http://pbs.twimg.com/media/DdFAc60X0AAKkc4.jpg", "http://pbs.twimg.com/media/DdFAc60X0AAKkc4.jpg")</f>
        <v/>
      </c>
      <c r="G665" t="s"/>
      <c r="H665" t="s"/>
      <c r="I665" t="s"/>
      <c r="J665" t="n">
        <v>-0.6369</v>
      </c>
      <c r="K665" t="n">
        <v>0.154</v>
      </c>
      <c r="L665" t="n">
        <v>0.846</v>
      </c>
      <c r="M665" t="n">
        <v>0</v>
      </c>
    </row>
    <row r="666" spans="1:13">
      <c r="A666" s="1">
        <f>HYPERLINK("http://www.twitter.com/NathanBLawrence/status/995647305658363905", "995647305658363905")</f>
        <v/>
      </c>
      <c r="B666" s="2" t="n">
        <v>43233.53460648148</v>
      </c>
      <c r="C666" t="n">
        <v>0</v>
      </c>
      <c r="D666" t="n">
        <v>1</v>
      </c>
      <c r="E666" t="s">
        <v>671</v>
      </c>
      <c r="F666" t="s"/>
      <c r="G666" t="s"/>
      <c r="H666" t="s"/>
      <c r="I666" t="s"/>
      <c r="J666" t="n">
        <v>0.2732</v>
      </c>
      <c r="K666" t="n">
        <v>0.185</v>
      </c>
      <c r="L666" t="n">
        <v>0.5639999999999999</v>
      </c>
      <c r="M666" t="n">
        <v>0.251</v>
      </c>
    </row>
    <row r="667" spans="1:13">
      <c r="A667" s="1">
        <f>HYPERLINK("http://www.twitter.com/NathanBLawrence/status/995646350128766976", "995646350128766976")</f>
        <v/>
      </c>
      <c r="B667" s="2" t="n">
        <v>43233.53196759259</v>
      </c>
      <c r="C667" t="n">
        <v>0</v>
      </c>
      <c r="D667" t="n">
        <v>0</v>
      </c>
      <c r="E667" t="s">
        <v>672</v>
      </c>
      <c r="F667" t="s"/>
      <c r="G667" t="s"/>
      <c r="H667" t="s"/>
      <c r="I667" t="s"/>
      <c r="J667" t="n">
        <v>0</v>
      </c>
      <c r="K667" t="n">
        <v>0</v>
      </c>
      <c r="L667" t="n">
        <v>1</v>
      </c>
      <c r="M667" t="n">
        <v>0</v>
      </c>
    </row>
    <row r="668" spans="1:13">
      <c r="A668" s="1">
        <f>HYPERLINK("http://www.twitter.com/NathanBLawrence/status/995645466657394693", "995645466657394693")</f>
        <v/>
      </c>
      <c r="B668" s="2" t="n">
        <v>43233.52953703704</v>
      </c>
      <c r="C668" t="n">
        <v>0</v>
      </c>
      <c r="D668" t="n">
        <v>1</v>
      </c>
      <c r="E668" t="s">
        <v>673</v>
      </c>
      <c r="F668">
        <f>HYPERLINK("http://pbs.twimg.com/media/DdE7wR9V0AAvVgT.jpg", "http://pbs.twimg.com/media/DdE7wR9V0AAvVgT.jpg")</f>
        <v/>
      </c>
      <c r="G668" t="s"/>
      <c r="H668" t="s"/>
      <c r="I668" t="s"/>
      <c r="J668" t="n">
        <v>0</v>
      </c>
      <c r="K668" t="n">
        <v>0</v>
      </c>
      <c r="L668" t="n">
        <v>1</v>
      </c>
      <c r="M668" t="n">
        <v>0</v>
      </c>
    </row>
    <row r="669" spans="1:13">
      <c r="A669" s="1">
        <f>HYPERLINK("http://www.twitter.com/NathanBLawrence/status/995645404116111361", "995645404116111361")</f>
        <v/>
      </c>
      <c r="B669" s="2" t="n">
        <v>43233.52936342593</v>
      </c>
      <c r="C669" t="n">
        <v>0</v>
      </c>
      <c r="D669" t="n">
        <v>1</v>
      </c>
      <c r="E669" t="s">
        <v>674</v>
      </c>
      <c r="F669" t="s"/>
      <c r="G669" t="s"/>
      <c r="H669" t="s"/>
      <c r="I669" t="s"/>
      <c r="J669" t="n">
        <v>0.2321</v>
      </c>
      <c r="K669" t="n">
        <v>0.08</v>
      </c>
      <c r="L669" t="n">
        <v>0.802</v>
      </c>
      <c r="M669" t="n">
        <v>0.117</v>
      </c>
    </row>
    <row r="670" spans="1:13">
      <c r="A670" s="1">
        <f>HYPERLINK("http://www.twitter.com/NathanBLawrence/status/995645335887319040", "995645335887319040")</f>
        <v/>
      </c>
      <c r="B670" s="2" t="n">
        <v>43233.52916666667</v>
      </c>
      <c r="C670" t="n">
        <v>0</v>
      </c>
      <c r="D670" t="n">
        <v>0</v>
      </c>
      <c r="E670" t="s">
        <v>675</v>
      </c>
      <c r="F670" t="s"/>
      <c r="G670" t="s"/>
      <c r="H670" t="s"/>
      <c r="I670" t="s"/>
      <c r="J670" t="n">
        <v>-0.857</v>
      </c>
      <c r="K670" t="n">
        <v>0.274</v>
      </c>
      <c r="L670" t="n">
        <v>0.726</v>
      </c>
      <c r="M670" t="n">
        <v>0</v>
      </c>
    </row>
    <row r="671" spans="1:13">
      <c r="A671" s="1">
        <f>HYPERLINK("http://www.twitter.com/NathanBLawrence/status/995644756528189441", "995644756528189441")</f>
        <v/>
      </c>
      <c r="B671" s="2" t="n">
        <v>43233.52756944444</v>
      </c>
      <c r="C671" t="n">
        <v>0</v>
      </c>
      <c r="D671" t="n">
        <v>2</v>
      </c>
      <c r="E671" t="s">
        <v>676</v>
      </c>
      <c r="F671" t="s"/>
      <c r="G671" t="s"/>
      <c r="H671" t="s"/>
      <c r="I671" t="s"/>
      <c r="J671" t="n">
        <v>0.6249</v>
      </c>
      <c r="K671" t="n">
        <v>0.063</v>
      </c>
      <c r="L671" t="n">
        <v>0.676</v>
      </c>
      <c r="M671" t="n">
        <v>0.261</v>
      </c>
    </row>
    <row r="672" spans="1:13">
      <c r="A672" s="1">
        <f>HYPERLINK("http://www.twitter.com/NathanBLawrence/status/995644524469858304", "995644524469858304")</f>
        <v/>
      </c>
      <c r="B672" s="2" t="n">
        <v>43233.52693287037</v>
      </c>
      <c r="C672" t="n">
        <v>0</v>
      </c>
      <c r="D672" t="n">
        <v>0</v>
      </c>
      <c r="E672" t="s">
        <v>677</v>
      </c>
      <c r="F672" t="s"/>
      <c r="G672" t="s"/>
      <c r="H672" t="s"/>
      <c r="I672" t="s"/>
      <c r="J672" t="n">
        <v>0.5803</v>
      </c>
      <c r="K672" t="n">
        <v>0</v>
      </c>
      <c r="L672" t="n">
        <v>0.8149999999999999</v>
      </c>
      <c r="M672" t="n">
        <v>0.185</v>
      </c>
    </row>
    <row r="673" spans="1:13">
      <c r="A673" s="1">
        <f>HYPERLINK("http://www.twitter.com/NathanBLawrence/status/995643871852982278", "995643871852982278")</f>
        <v/>
      </c>
      <c r="B673" s="2" t="n">
        <v>43233.52512731482</v>
      </c>
      <c r="C673" t="n">
        <v>0</v>
      </c>
      <c r="D673" t="n">
        <v>1</v>
      </c>
      <c r="E673" t="s">
        <v>678</v>
      </c>
      <c r="F673" t="s"/>
      <c r="G673" t="s"/>
      <c r="H673" t="s"/>
      <c r="I673" t="s"/>
      <c r="J673" t="n">
        <v>-0.3818</v>
      </c>
      <c r="K673" t="n">
        <v>0.184</v>
      </c>
      <c r="L673" t="n">
        <v>0.8159999999999999</v>
      </c>
      <c r="M673" t="n">
        <v>0</v>
      </c>
    </row>
    <row r="674" spans="1:13">
      <c r="A674" s="1">
        <f>HYPERLINK("http://www.twitter.com/NathanBLawrence/status/995643751942025216", "995643751942025216")</f>
        <v/>
      </c>
      <c r="B674" s="2" t="n">
        <v>43233.52480324074</v>
      </c>
      <c r="C674" t="n">
        <v>0</v>
      </c>
      <c r="D674" t="n">
        <v>9</v>
      </c>
      <c r="E674" t="s">
        <v>679</v>
      </c>
      <c r="F674" t="s"/>
      <c r="G674" t="s"/>
      <c r="H674" t="s"/>
      <c r="I674" t="s"/>
      <c r="J674" t="n">
        <v>0.2732</v>
      </c>
      <c r="K674" t="n">
        <v>0.063</v>
      </c>
      <c r="L674" t="n">
        <v>0.821</v>
      </c>
      <c r="M674" t="n">
        <v>0.116</v>
      </c>
    </row>
    <row r="675" spans="1:13">
      <c r="A675" s="1">
        <f>HYPERLINK("http://www.twitter.com/NathanBLawrence/status/995643626276507653", "995643626276507653")</f>
        <v/>
      </c>
      <c r="B675" s="2" t="n">
        <v>43233.52445601852</v>
      </c>
      <c r="C675" t="n">
        <v>0</v>
      </c>
      <c r="D675" t="n">
        <v>7</v>
      </c>
      <c r="E675" t="s">
        <v>680</v>
      </c>
      <c r="F675" t="s"/>
      <c r="G675" t="s"/>
      <c r="H675" t="s"/>
      <c r="I675" t="s"/>
      <c r="J675" t="n">
        <v>0.7713</v>
      </c>
      <c r="K675" t="n">
        <v>0</v>
      </c>
      <c r="L675" t="n">
        <v>0.74</v>
      </c>
      <c r="M675" t="n">
        <v>0.26</v>
      </c>
    </row>
    <row r="676" spans="1:13">
      <c r="A676" s="1">
        <f>HYPERLINK("http://www.twitter.com/NathanBLawrence/status/995643377990422528", "995643377990422528")</f>
        <v/>
      </c>
      <c r="B676" s="2" t="n">
        <v>43233.52377314815</v>
      </c>
      <c r="C676" t="n">
        <v>1</v>
      </c>
      <c r="D676" t="n">
        <v>1</v>
      </c>
      <c r="E676" t="s">
        <v>681</v>
      </c>
      <c r="F676" t="s"/>
      <c r="G676" t="s"/>
      <c r="H676" t="s"/>
      <c r="I676" t="s"/>
      <c r="J676" t="n">
        <v>0.2321</v>
      </c>
      <c r="K676" t="n">
        <v>0.07199999999999999</v>
      </c>
      <c r="L676" t="n">
        <v>0.824</v>
      </c>
      <c r="M676" t="n">
        <v>0.105</v>
      </c>
    </row>
    <row r="677" spans="1:13">
      <c r="A677" s="1">
        <f>HYPERLINK("http://www.twitter.com/NathanBLawrence/status/995642606943162370", "995642606943162370")</f>
        <v/>
      </c>
      <c r="B677" s="2" t="n">
        <v>43233.52164351852</v>
      </c>
      <c r="C677" t="n">
        <v>1</v>
      </c>
      <c r="D677" t="n">
        <v>1</v>
      </c>
      <c r="E677" t="s">
        <v>682</v>
      </c>
      <c r="F677" t="s"/>
      <c r="G677" t="s"/>
      <c r="H677" t="s"/>
      <c r="I677" t="s"/>
      <c r="J677" t="n">
        <v>-0.3818</v>
      </c>
      <c r="K677" t="n">
        <v>0.205</v>
      </c>
      <c r="L677" t="n">
        <v>0.795</v>
      </c>
      <c r="M677" t="n">
        <v>0</v>
      </c>
    </row>
    <row r="678" spans="1:13">
      <c r="A678" s="1">
        <f>HYPERLINK("http://www.twitter.com/NathanBLawrence/status/995642141954265088", "995642141954265088")</f>
        <v/>
      </c>
      <c r="B678" s="2" t="n">
        <v>43233.5203587963</v>
      </c>
      <c r="C678" t="n">
        <v>0</v>
      </c>
      <c r="D678" t="n">
        <v>50</v>
      </c>
      <c r="E678" t="s">
        <v>683</v>
      </c>
      <c r="F678">
        <f>HYPERLINK("https://video.twimg.com/ext_tw_video/995543178987147264/pu/vid/626x360/QCQ0OrQdorXUFaux.mp4?tag=3", "https://video.twimg.com/ext_tw_video/995543178987147264/pu/vid/626x360/QCQ0OrQdorXUFaux.mp4?tag=3")</f>
        <v/>
      </c>
      <c r="G678" t="s"/>
      <c r="H678" t="s"/>
      <c r="I678" t="s"/>
      <c r="J678" t="n">
        <v>0.7429</v>
      </c>
      <c r="K678" t="n">
        <v>0</v>
      </c>
      <c r="L678" t="n">
        <v>0.759</v>
      </c>
      <c r="M678" t="n">
        <v>0.241</v>
      </c>
    </row>
    <row r="679" spans="1:13">
      <c r="A679" s="1">
        <f>HYPERLINK("http://www.twitter.com/NathanBLawrence/status/995641620325421056", "995641620325421056")</f>
        <v/>
      </c>
      <c r="B679" s="2" t="n">
        <v>43233.51892361111</v>
      </c>
      <c r="C679" t="n">
        <v>0</v>
      </c>
      <c r="D679" t="n">
        <v>0</v>
      </c>
      <c r="E679" t="s">
        <v>684</v>
      </c>
      <c r="F679" t="s"/>
      <c r="G679" t="s"/>
      <c r="H679" t="s"/>
      <c r="I679" t="s"/>
      <c r="J679" t="n">
        <v>-0.6767</v>
      </c>
      <c r="K679" t="n">
        <v>0.159</v>
      </c>
      <c r="L679" t="n">
        <v>0.787</v>
      </c>
      <c r="M679" t="n">
        <v>0.054</v>
      </c>
    </row>
    <row r="680" spans="1:13">
      <c r="A680" s="1">
        <f>HYPERLINK("http://www.twitter.com/NathanBLawrence/status/995640474743574528", "995640474743574528")</f>
        <v/>
      </c>
      <c r="B680" s="2" t="n">
        <v>43233.51575231482</v>
      </c>
      <c r="C680" t="n">
        <v>0</v>
      </c>
      <c r="D680" t="n">
        <v>5</v>
      </c>
      <c r="E680" t="s">
        <v>685</v>
      </c>
      <c r="F680" t="s"/>
      <c r="G680" t="s"/>
      <c r="H680" t="s"/>
      <c r="I680" t="s"/>
      <c r="J680" t="n">
        <v>-0.86</v>
      </c>
      <c r="K680" t="n">
        <v>0.323</v>
      </c>
      <c r="L680" t="n">
        <v>0.677</v>
      </c>
      <c r="M680" t="n">
        <v>0</v>
      </c>
    </row>
    <row r="681" spans="1:13">
      <c r="A681" s="1">
        <f>HYPERLINK("http://www.twitter.com/NathanBLawrence/status/995640241917759488", "995640241917759488")</f>
        <v/>
      </c>
      <c r="B681" s="2" t="n">
        <v>43233.51511574074</v>
      </c>
      <c r="C681" t="n">
        <v>0</v>
      </c>
      <c r="D681" t="n">
        <v>0</v>
      </c>
      <c r="E681" t="s">
        <v>686</v>
      </c>
      <c r="F681" t="s"/>
      <c r="G681" t="s"/>
      <c r="H681" t="s"/>
      <c r="I681" t="s"/>
      <c r="J681" t="n">
        <v>-0.3612</v>
      </c>
      <c r="K681" t="n">
        <v>0.116</v>
      </c>
      <c r="L681" t="n">
        <v>0.884</v>
      </c>
      <c r="M681" t="n">
        <v>0</v>
      </c>
    </row>
    <row r="682" spans="1:13">
      <c r="A682" s="1">
        <f>HYPERLINK("http://www.twitter.com/NathanBLawrence/status/995639206927052800", "995639206927052800")</f>
        <v/>
      </c>
      <c r="B682" s="2" t="n">
        <v>43233.51225694444</v>
      </c>
      <c r="C682" t="n">
        <v>0</v>
      </c>
      <c r="D682" t="n">
        <v>0</v>
      </c>
      <c r="E682" t="s">
        <v>687</v>
      </c>
      <c r="F682" t="s"/>
      <c r="G682" t="s"/>
      <c r="H682" t="s"/>
      <c r="I682" t="s"/>
      <c r="J682" t="n">
        <v>-0.8088</v>
      </c>
      <c r="K682" t="n">
        <v>0.251</v>
      </c>
      <c r="L682" t="n">
        <v>0.6860000000000001</v>
      </c>
      <c r="M682" t="n">
        <v>0.063</v>
      </c>
    </row>
    <row r="683" spans="1:13">
      <c r="A683" s="1">
        <f>HYPERLINK("http://www.twitter.com/NathanBLawrence/status/995638595204603904", "995638595204603904")</f>
        <v/>
      </c>
      <c r="B683" s="2" t="n">
        <v>43233.51056712963</v>
      </c>
      <c r="C683" t="n">
        <v>0</v>
      </c>
      <c r="D683" t="n">
        <v>127</v>
      </c>
      <c r="E683" t="s">
        <v>688</v>
      </c>
      <c r="F683" t="s"/>
      <c r="G683" t="s"/>
      <c r="H683" t="s"/>
      <c r="I683" t="s"/>
      <c r="J683" t="n">
        <v>0.7717000000000001</v>
      </c>
      <c r="K683" t="n">
        <v>0</v>
      </c>
      <c r="L683" t="n">
        <v>0.749</v>
      </c>
      <c r="M683" t="n">
        <v>0.251</v>
      </c>
    </row>
    <row r="684" spans="1:13">
      <c r="A684" s="1">
        <f>HYPERLINK("http://www.twitter.com/NathanBLawrence/status/995551456789975040", "995551456789975040")</f>
        <v/>
      </c>
      <c r="B684" s="2" t="n">
        <v>43233.27011574074</v>
      </c>
      <c r="C684" t="n">
        <v>0</v>
      </c>
      <c r="D684" t="n">
        <v>1</v>
      </c>
      <c r="E684" t="s">
        <v>689</v>
      </c>
      <c r="F684" t="s"/>
      <c r="G684" t="s"/>
      <c r="H684" t="s"/>
      <c r="I684" t="s"/>
      <c r="J684" t="n">
        <v>-0.3919</v>
      </c>
      <c r="K684" t="n">
        <v>0.154</v>
      </c>
      <c r="L684" t="n">
        <v>0.846</v>
      </c>
      <c r="M684" t="n">
        <v>0</v>
      </c>
    </row>
    <row r="685" spans="1:13">
      <c r="A685" s="1">
        <f>HYPERLINK("http://www.twitter.com/NathanBLawrence/status/995551444202815488", "995551444202815488")</f>
        <v/>
      </c>
      <c r="B685" s="2" t="n">
        <v>43233.27008101852</v>
      </c>
      <c r="C685" t="n">
        <v>0</v>
      </c>
      <c r="D685" t="n">
        <v>2</v>
      </c>
      <c r="E685" t="s">
        <v>690</v>
      </c>
      <c r="F685" t="s"/>
      <c r="G685" t="s"/>
      <c r="H685" t="s"/>
      <c r="I685" t="s"/>
      <c r="J685" t="n">
        <v>0.6369</v>
      </c>
      <c r="K685" t="n">
        <v>0</v>
      </c>
      <c r="L685" t="n">
        <v>0.781</v>
      </c>
      <c r="M685" t="n">
        <v>0.219</v>
      </c>
    </row>
    <row r="686" spans="1:13">
      <c r="A686" s="1">
        <f>HYPERLINK("http://www.twitter.com/NathanBLawrence/status/995551429434789888", "995551429434789888")</f>
        <v/>
      </c>
      <c r="B686" s="2" t="n">
        <v>43233.27003472222</v>
      </c>
      <c r="C686" t="n">
        <v>0</v>
      </c>
      <c r="D686" t="n">
        <v>1</v>
      </c>
      <c r="E686" t="s">
        <v>691</v>
      </c>
      <c r="F686" t="s"/>
      <c r="G686" t="s"/>
      <c r="H686" t="s"/>
      <c r="I686" t="s"/>
      <c r="J686" t="n">
        <v>0.7964</v>
      </c>
      <c r="K686" t="n">
        <v>0</v>
      </c>
      <c r="L686" t="n">
        <v>0.616</v>
      </c>
      <c r="M686" t="n">
        <v>0.384</v>
      </c>
    </row>
    <row r="687" spans="1:13">
      <c r="A687" s="1">
        <f>HYPERLINK("http://www.twitter.com/NathanBLawrence/status/995551398384275456", "995551398384275456")</f>
        <v/>
      </c>
      <c r="B687" s="2" t="n">
        <v>43233.2699537037</v>
      </c>
      <c r="C687" t="n">
        <v>0</v>
      </c>
      <c r="D687" t="n">
        <v>4</v>
      </c>
      <c r="E687" t="s">
        <v>648</v>
      </c>
      <c r="F687">
        <f>HYPERLINK("http://pbs.twimg.com/media/DdDAaqPV0AAWX5C.jpg", "http://pbs.twimg.com/media/DdDAaqPV0AAWX5C.jpg")</f>
        <v/>
      </c>
      <c r="G687" t="s"/>
      <c r="H687" t="s"/>
      <c r="I687" t="s"/>
      <c r="J687" t="n">
        <v>-0.2263</v>
      </c>
      <c r="K687" t="n">
        <v>0.161</v>
      </c>
      <c r="L687" t="n">
        <v>0.712</v>
      </c>
      <c r="M687" t="n">
        <v>0.127</v>
      </c>
    </row>
    <row r="688" spans="1:13">
      <c r="A688" s="1">
        <f>HYPERLINK("http://www.twitter.com/NathanBLawrence/status/995551362569199616", "995551362569199616")</f>
        <v/>
      </c>
      <c r="B688" s="2" t="n">
        <v>43233.26984953704</v>
      </c>
      <c r="C688" t="n">
        <v>0</v>
      </c>
      <c r="D688" t="n">
        <v>1</v>
      </c>
      <c r="E688" t="s">
        <v>692</v>
      </c>
      <c r="F688" t="s"/>
      <c r="G688" t="s"/>
      <c r="H688" t="s"/>
      <c r="I688" t="s"/>
      <c r="J688" t="n">
        <v>0</v>
      </c>
      <c r="K688" t="n">
        <v>0</v>
      </c>
      <c r="L688" t="n">
        <v>1</v>
      </c>
      <c r="M688" t="n">
        <v>0</v>
      </c>
    </row>
    <row r="689" spans="1:13">
      <c r="A689" s="1">
        <f>HYPERLINK("http://www.twitter.com/NathanBLawrence/status/995551350040743936", "995551350040743936")</f>
        <v/>
      </c>
      <c r="B689" s="2" t="n">
        <v>43233.26981481481</v>
      </c>
      <c r="C689" t="n">
        <v>0</v>
      </c>
      <c r="D689" t="n">
        <v>1</v>
      </c>
      <c r="E689" t="s">
        <v>693</v>
      </c>
      <c r="F689" t="s"/>
      <c r="G689" t="s"/>
      <c r="H689" t="s"/>
      <c r="I689" t="s"/>
      <c r="J689" t="n">
        <v>0</v>
      </c>
      <c r="K689" t="n">
        <v>0</v>
      </c>
      <c r="L689" t="n">
        <v>1</v>
      </c>
      <c r="M689" t="n">
        <v>0</v>
      </c>
    </row>
    <row r="690" spans="1:13">
      <c r="A690" s="1">
        <f>HYPERLINK("http://www.twitter.com/NathanBLawrence/status/995551296034889728", "995551296034889728")</f>
        <v/>
      </c>
      <c r="B690" s="2" t="n">
        <v>43233.26967592593</v>
      </c>
      <c r="C690" t="n">
        <v>0</v>
      </c>
      <c r="D690" t="n">
        <v>1</v>
      </c>
      <c r="E690" t="s">
        <v>694</v>
      </c>
      <c r="F690" t="s"/>
      <c r="G690" t="s"/>
      <c r="H690" t="s"/>
      <c r="I690" t="s"/>
      <c r="J690" t="n">
        <v>-0.0985</v>
      </c>
      <c r="K690" t="n">
        <v>0.116</v>
      </c>
      <c r="L690" t="n">
        <v>0.788</v>
      </c>
      <c r="M690" t="n">
        <v>0.097</v>
      </c>
    </row>
    <row r="691" spans="1:13">
      <c r="A691" s="1">
        <f>HYPERLINK("http://www.twitter.com/NathanBLawrence/status/995551264283996160", "995551264283996160")</f>
        <v/>
      </c>
      <c r="B691" s="2" t="n">
        <v>43233.26958333333</v>
      </c>
      <c r="C691" t="n">
        <v>0</v>
      </c>
      <c r="D691" t="n">
        <v>1</v>
      </c>
      <c r="E691" t="s">
        <v>695</v>
      </c>
      <c r="F691">
        <f>HYPERLINK("http://pbs.twimg.com/media/DdDTtxaVQAAm9VN.jpg", "http://pbs.twimg.com/media/DdDTtxaVQAAm9VN.jpg")</f>
        <v/>
      </c>
      <c r="G691" t="s"/>
      <c r="H691" t="s"/>
      <c r="I691" t="s"/>
      <c r="J691" t="n">
        <v>0</v>
      </c>
      <c r="K691" t="n">
        <v>0</v>
      </c>
      <c r="L691" t="n">
        <v>1</v>
      </c>
      <c r="M691" t="n">
        <v>0</v>
      </c>
    </row>
    <row r="692" spans="1:13">
      <c r="A692" s="1">
        <f>HYPERLINK("http://www.twitter.com/NathanBLawrence/status/995551229190266888", "995551229190266888")</f>
        <v/>
      </c>
      <c r="B692" s="2" t="n">
        <v>43233.26949074074</v>
      </c>
      <c r="C692" t="n">
        <v>0</v>
      </c>
      <c r="D692" t="n">
        <v>1</v>
      </c>
      <c r="E692" t="s">
        <v>696</v>
      </c>
      <c r="F692">
        <f>HYPERLINK("http://pbs.twimg.com/media/DdDUtzWVMAAYD02.jpg", "http://pbs.twimg.com/media/DdDUtzWVMAAYD02.jpg")</f>
        <v/>
      </c>
      <c r="G692" t="s"/>
      <c r="H692" t="s"/>
      <c r="I692" t="s"/>
      <c r="J692" t="n">
        <v>-0.0772</v>
      </c>
      <c r="K692" t="n">
        <v>0.157</v>
      </c>
      <c r="L692" t="n">
        <v>0.655</v>
      </c>
      <c r="M692" t="n">
        <v>0.188</v>
      </c>
    </row>
    <row r="693" spans="1:13">
      <c r="A693" s="1">
        <f>HYPERLINK("http://www.twitter.com/NathanBLawrence/status/995551200417406976", "995551200417406976")</f>
        <v/>
      </c>
      <c r="B693" s="2" t="n">
        <v>43233.26940972222</v>
      </c>
      <c r="C693" t="n">
        <v>0</v>
      </c>
      <c r="D693" t="n">
        <v>4</v>
      </c>
      <c r="E693" t="s">
        <v>697</v>
      </c>
      <c r="F693" t="s"/>
      <c r="G693" t="s"/>
      <c r="H693" t="s"/>
      <c r="I693" t="s"/>
      <c r="J693" t="n">
        <v>0.1513</v>
      </c>
      <c r="K693" t="n">
        <v>0.179</v>
      </c>
      <c r="L693" t="n">
        <v>0.5610000000000001</v>
      </c>
      <c r="M693" t="n">
        <v>0.26</v>
      </c>
    </row>
    <row r="694" spans="1:13">
      <c r="A694" s="1">
        <f>HYPERLINK("http://www.twitter.com/NathanBLawrence/status/995551188862070785", "995551188862070785")</f>
        <v/>
      </c>
      <c r="B694" s="2" t="n">
        <v>43233.269375</v>
      </c>
      <c r="C694" t="n">
        <v>0</v>
      </c>
      <c r="D694" t="n">
        <v>1</v>
      </c>
      <c r="E694" t="s">
        <v>698</v>
      </c>
      <c r="F694" t="s"/>
      <c r="G694" t="s"/>
      <c r="H694" t="s"/>
      <c r="I694" t="s"/>
      <c r="J694" t="n">
        <v>-0.8779</v>
      </c>
      <c r="K694" t="n">
        <v>0.359</v>
      </c>
      <c r="L694" t="n">
        <v>0.641</v>
      </c>
      <c r="M694" t="n">
        <v>0</v>
      </c>
    </row>
    <row r="695" spans="1:13">
      <c r="A695" s="1">
        <f>HYPERLINK("http://www.twitter.com/NathanBLawrence/status/995551175515787264", "995551175515787264")</f>
        <v/>
      </c>
      <c r="B695" s="2" t="n">
        <v>43233.26934027778</v>
      </c>
      <c r="C695" t="n">
        <v>0</v>
      </c>
      <c r="D695" t="n">
        <v>1</v>
      </c>
      <c r="E695" t="s">
        <v>699</v>
      </c>
      <c r="F695" t="s"/>
      <c r="G695" t="s"/>
      <c r="H695" t="s"/>
      <c r="I695" t="s"/>
      <c r="J695" t="n">
        <v>-0.6808</v>
      </c>
      <c r="K695" t="n">
        <v>0.28</v>
      </c>
      <c r="L695" t="n">
        <v>0.72</v>
      </c>
      <c r="M695" t="n">
        <v>0</v>
      </c>
    </row>
    <row r="696" spans="1:13">
      <c r="A696" s="1">
        <f>HYPERLINK("http://www.twitter.com/NathanBLawrence/status/995551054774272000", "995551054774272000")</f>
        <v/>
      </c>
      <c r="B696" s="2" t="n">
        <v>43233.26900462963</v>
      </c>
      <c r="C696" t="n">
        <v>0</v>
      </c>
      <c r="D696" t="n">
        <v>1</v>
      </c>
      <c r="E696" t="s">
        <v>700</v>
      </c>
      <c r="F696" t="s"/>
      <c r="G696" t="s"/>
      <c r="H696" t="s"/>
      <c r="I696" t="s"/>
      <c r="J696" t="n">
        <v>0.1695</v>
      </c>
      <c r="K696" t="n">
        <v>0</v>
      </c>
      <c r="L696" t="n">
        <v>0.828</v>
      </c>
      <c r="M696" t="n">
        <v>0.172</v>
      </c>
    </row>
    <row r="697" spans="1:13">
      <c r="A697" s="1">
        <f>HYPERLINK("http://www.twitter.com/NathanBLawrence/status/995550887396429824", "995550887396429824")</f>
        <v/>
      </c>
      <c r="B697" s="2" t="n">
        <v>43233.26854166666</v>
      </c>
      <c r="C697" t="n">
        <v>0</v>
      </c>
      <c r="D697" t="n">
        <v>1</v>
      </c>
      <c r="E697" t="s">
        <v>701</v>
      </c>
      <c r="F697" t="s"/>
      <c r="G697" t="s"/>
      <c r="H697" t="s"/>
      <c r="I697" t="s"/>
      <c r="J697" t="n">
        <v>-0.5673</v>
      </c>
      <c r="K697" t="n">
        <v>0.247</v>
      </c>
      <c r="L697" t="n">
        <v>0.593</v>
      </c>
      <c r="M697" t="n">
        <v>0.159</v>
      </c>
    </row>
    <row r="698" spans="1:13">
      <c r="A698" s="1">
        <f>HYPERLINK("http://www.twitter.com/NathanBLawrence/status/995550856408858624", "995550856408858624")</f>
        <v/>
      </c>
      <c r="B698" s="2" t="n">
        <v>43233.26846064815</v>
      </c>
      <c r="C698" t="n">
        <v>0</v>
      </c>
      <c r="D698" t="n">
        <v>2</v>
      </c>
      <c r="E698" t="s">
        <v>702</v>
      </c>
      <c r="F698" t="s"/>
      <c r="G698" t="s"/>
      <c r="H698" t="s"/>
      <c r="I698" t="s"/>
      <c r="J698" t="n">
        <v>-0.2732</v>
      </c>
      <c r="K698" t="n">
        <v>0.197</v>
      </c>
      <c r="L698" t="n">
        <v>0.717</v>
      </c>
      <c r="M698" t="n">
        <v>0.08599999999999999</v>
      </c>
    </row>
    <row r="699" spans="1:13">
      <c r="A699" s="1">
        <f>HYPERLINK("http://www.twitter.com/NathanBLawrence/status/995545388579946496", "995545388579946496")</f>
        <v/>
      </c>
      <c r="B699" s="2" t="n">
        <v>43233.25336805556</v>
      </c>
      <c r="C699" t="n">
        <v>1</v>
      </c>
      <c r="D699" t="n">
        <v>1</v>
      </c>
      <c r="E699" t="s">
        <v>703</v>
      </c>
      <c r="F699" t="s"/>
      <c r="G699" t="s"/>
      <c r="H699" t="s"/>
      <c r="I699" t="s"/>
      <c r="J699" t="n">
        <v>0.1695</v>
      </c>
      <c r="K699" t="n">
        <v>0</v>
      </c>
      <c r="L699" t="n">
        <v>0.783</v>
      </c>
      <c r="M699" t="n">
        <v>0.217</v>
      </c>
    </row>
    <row r="700" spans="1:13">
      <c r="A700" s="1">
        <f>HYPERLINK("http://www.twitter.com/NathanBLawrence/status/995545144010182656", "995545144010182656")</f>
        <v/>
      </c>
      <c r="B700" s="2" t="n">
        <v>43233.25269675926</v>
      </c>
      <c r="C700" t="n">
        <v>0</v>
      </c>
      <c r="D700" t="n">
        <v>3718</v>
      </c>
      <c r="E700" t="s">
        <v>704</v>
      </c>
      <c r="F700">
        <f>HYPERLINK("http://pbs.twimg.com/media/DdAyvggV4AEBQpY.jpg", "http://pbs.twimg.com/media/DdAyvggV4AEBQpY.jpg")</f>
        <v/>
      </c>
      <c r="G700" t="s"/>
      <c r="H700" t="s"/>
      <c r="I700" t="s"/>
      <c r="J700" t="n">
        <v>0.8126</v>
      </c>
      <c r="K700" t="n">
        <v>0</v>
      </c>
      <c r="L700" t="n">
        <v>0.73</v>
      </c>
      <c r="M700" t="n">
        <v>0.27</v>
      </c>
    </row>
    <row r="701" spans="1:13">
      <c r="A701" s="1">
        <f>HYPERLINK("http://www.twitter.com/NathanBLawrence/status/995536622002343936", "995536622002343936")</f>
        <v/>
      </c>
      <c r="B701" s="2" t="n">
        <v>43233.22917824074</v>
      </c>
      <c r="C701" t="n">
        <v>1</v>
      </c>
      <c r="D701" t="n">
        <v>1</v>
      </c>
      <c r="E701" t="s">
        <v>705</v>
      </c>
      <c r="F701" t="s"/>
      <c r="G701" t="s"/>
      <c r="H701" t="s"/>
      <c r="I701" t="s"/>
      <c r="J701" t="n">
        <v>-0.9186</v>
      </c>
      <c r="K701" t="n">
        <v>0.273</v>
      </c>
      <c r="L701" t="n">
        <v>0.6899999999999999</v>
      </c>
      <c r="M701" t="n">
        <v>0.037</v>
      </c>
    </row>
    <row r="702" spans="1:13">
      <c r="A702" s="1">
        <f>HYPERLINK("http://www.twitter.com/NathanBLawrence/status/995533594306252800", "995533594306252800")</f>
        <v/>
      </c>
      <c r="B702" s="2" t="n">
        <v>43233.22082175926</v>
      </c>
      <c r="C702" t="n">
        <v>1</v>
      </c>
      <c r="D702" t="n">
        <v>1</v>
      </c>
      <c r="E702" t="s">
        <v>706</v>
      </c>
      <c r="F702" t="s"/>
      <c r="G702" t="s"/>
      <c r="H702" t="s"/>
      <c r="I702" t="s"/>
      <c r="J702" t="n">
        <v>-0.9786</v>
      </c>
      <c r="K702" t="n">
        <v>0.437</v>
      </c>
      <c r="L702" t="n">
        <v>0.525</v>
      </c>
      <c r="M702" t="n">
        <v>0.038</v>
      </c>
    </row>
    <row r="703" spans="1:13">
      <c r="A703" s="1">
        <f>HYPERLINK("http://www.twitter.com/NathanBLawrence/status/995530260446892033", "995530260446892033")</f>
        <v/>
      </c>
      <c r="B703" s="2" t="n">
        <v>43233.21162037037</v>
      </c>
      <c r="C703" t="n">
        <v>6</v>
      </c>
      <c r="D703" t="n">
        <v>4</v>
      </c>
      <c r="E703" t="s">
        <v>707</v>
      </c>
      <c r="F703" t="s"/>
      <c r="G703" t="s"/>
      <c r="H703" t="s"/>
      <c r="I703" t="s"/>
      <c r="J703" t="n">
        <v>0.1513</v>
      </c>
      <c r="K703" t="n">
        <v>0.199</v>
      </c>
      <c r="L703" t="n">
        <v>0.512</v>
      </c>
      <c r="M703" t="n">
        <v>0.289</v>
      </c>
    </row>
    <row r="704" spans="1:13">
      <c r="A704" s="1">
        <f>HYPERLINK("http://www.twitter.com/NathanBLawrence/status/995529985380241408", "995529985380241408")</f>
        <v/>
      </c>
      <c r="B704" s="2" t="n">
        <v>43233.21086805555</v>
      </c>
      <c r="C704" t="n">
        <v>1</v>
      </c>
      <c r="D704" t="n">
        <v>1</v>
      </c>
      <c r="E704" t="s">
        <v>708</v>
      </c>
      <c r="F704" t="s"/>
      <c r="G704" t="s"/>
      <c r="H704" t="s"/>
      <c r="I704" t="s"/>
      <c r="J704" t="n">
        <v>-0.6083</v>
      </c>
      <c r="K704" t="n">
        <v>0.263</v>
      </c>
      <c r="L704" t="n">
        <v>0.54</v>
      </c>
      <c r="M704" t="n">
        <v>0.197</v>
      </c>
    </row>
    <row r="705" spans="1:13">
      <c r="A705" s="1">
        <f>HYPERLINK("http://www.twitter.com/NathanBLawrence/status/995529551404036096", "995529551404036096")</f>
        <v/>
      </c>
      <c r="B705" s="2" t="n">
        <v>43233.20966435185</v>
      </c>
      <c r="C705" t="n">
        <v>0</v>
      </c>
      <c r="D705" t="n">
        <v>7026</v>
      </c>
      <c r="E705" t="s">
        <v>709</v>
      </c>
      <c r="F705" t="s"/>
      <c r="G705" t="s"/>
      <c r="H705" t="s"/>
      <c r="I705" t="s"/>
      <c r="J705" t="n">
        <v>-0.4389</v>
      </c>
      <c r="K705" t="n">
        <v>0.126</v>
      </c>
      <c r="L705" t="n">
        <v>0.874</v>
      </c>
      <c r="M705" t="n">
        <v>0</v>
      </c>
    </row>
    <row r="706" spans="1:13">
      <c r="A706" s="1">
        <f>HYPERLINK("http://www.twitter.com/NathanBLawrence/status/995529529870385153", "995529529870385153")</f>
        <v/>
      </c>
      <c r="B706" s="2" t="n">
        <v>43233.20960648148</v>
      </c>
      <c r="C706" t="n">
        <v>0</v>
      </c>
      <c r="D706" t="n">
        <v>2</v>
      </c>
      <c r="E706" t="s">
        <v>710</v>
      </c>
      <c r="F706" t="s"/>
      <c r="G706" t="s"/>
      <c r="H706" t="s"/>
      <c r="I706" t="s"/>
      <c r="J706" t="n">
        <v>-0.296</v>
      </c>
      <c r="K706" t="n">
        <v>0.268</v>
      </c>
      <c r="L706" t="n">
        <v>0.732</v>
      </c>
      <c r="M706" t="n">
        <v>0</v>
      </c>
    </row>
    <row r="707" spans="1:13">
      <c r="A707" s="1">
        <f>HYPERLINK("http://www.twitter.com/NathanBLawrence/status/995529405811380224", "995529405811380224")</f>
        <v/>
      </c>
      <c r="B707" s="2" t="n">
        <v>43233.20927083334</v>
      </c>
      <c r="C707" t="n">
        <v>1</v>
      </c>
      <c r="D707" t="n">
        <v>1</v>
      </c>
      <c r="E707" t="s">
        <v>711</v>
      </c>
      <c r="F707">
        <f>HYPERLINK("http://pbs.twimg.com/media/DdDUtzWVMAAYD02.jpg", "http://pbs.twimg.com/media/DdDUtzWVMAAYD02.jpg")</f>
        <v/>
      </c>
      <c r="G707" t="s"/>
      <c r="H707" t="s"/>
      <c r="I707" t="s"/>
      <c r="J707" t="n">
        <v>-0.6768999999999999</v>
      </c>
      <c r="K707" t="n">
        <v>0.234</v>
      </c>
      <c r="L707" t="n">
        <v>0.588</v>
      </c>
      <c r="M707" t="n">
        <v>0.178</v>
      </c>
    </row>
    <row r="708" spans="1:13">
      <c r="A708" s="1">
        <f>HYPERLINK("http://www.twitter.com/NathanBLawrence/status/995528354660077568", "995528354660077568")</f>
        <v/>
      </c>
      <c r="B708" s="2" t="n">
        <v>43233.20636574074</v>
      </c>
      <c r="C708" t="n">
        <v>0</v>
      </c>
      <c r="D708" t="n">
        <v>7</v>
      </c>
      <c r="E708" t="s">
        <v>712</v>
      </c>
      <c r="F708" t="s"/>
      <c r="G708" t="s"/>
      <c r="H708" t="s"/>
      <c r="I708" t="s"/>
      <c r="J708" t="n">
        <v>0.25</v>
      </c>
      <c r="K708" t="n">
        <v>0.08</v>
      </c>
      <c r="L708" t="n">
        <v>0.803</v>
      </c>
      <c r="M708" t="n">
        <v>0.117</v>
      </c>
    </row>
    <row r="709" spans="1:13">
      <c r="A709" s="1">
        <f>HYPERLINK("http://www.twitter.com/NathanBLawrence/status/995528315820822528", "995528315820822528")</f>
        <v/>
      </c>
      <c r="B709" s="2" t="n">
        <v>43233.20626157407</v>
      </c>
      <c r="C709" t="n">
        <v>0</v>
      </c>
      <c r="D709" t="n">
        <v>2</v>
      </c>
      <c r="E709" t="s">
        <v>713</v>
      </c>
      <c r="F709">
        <f>HYPERLINK("http://pbs.twimg.com/media/Dc9jdXyV0AAOD2W.jpg", "http://pbs.twimg.com/media/Dc9jdXyV0AAOD2W.jpg")</f>
        <v/>
      </c>
      <c r="G709" t="s"/>
      <c r="H709" t="s"/>
      <c r="I709" t="s"/>
      <c r="J709" t="n">
        <v>0.5766</v>
      </c>
      <c r="K709" t="n">
        <v>0</v>
      </c>
      <c r="L709" t="n">
        <v>0.828</v>
      </c>
      <c r="M709" t="n">
        <v>0.172</v>
      </c>
    </row>
    <row r="710" spans="1:13">
      <c r="A710" s="1">
        <f>HYPERLINK("http://www.twitter.com/NathanBLawrence/status/995528305494327297", "995528305494327297")</f>
        <v/>
      </c>
      <c r="B710" s="2" t="n">
        <v>43233.20622685185</v>
      </c>
      <c r="C710" t="n">
        <v>2</v>
      </c>
      <c r="D710" t="n">
        <v>1</v>
      </c>
      <c r="E710" t="s">
        <v>714</v>
      </c>
      <c r="F710">
        <f>HYPERLINK("http://pbs.twimg.com/media/DdDTtxaVQAAm9VN.jpg", "http://pbs.twimg.com/media/DdDTtxaVQAAm9VN.jpg")</f>
        <v/>
      </c>
      <c r="G710" t="s"/>
      <c r="H710" t="s"/>
      <c r="I710" t="s"/>
      <c r="J710" t="n">
        <v>0</v>
      </c>
      <c r="K710" t="n">
        <v>0</v>
      </c>
      <c r="L710" t="n">
        <v>1</v>
      </c>
      <c r="M710" t="n">
        <v>0</v>
      </c>
    </row>
    <row r="711" spans="1:13">
      <c r="A711" s="1">
        <f>HYPERLINK("http://www.twitter.com/NathanBLawrence/status/995528044445093888", "995528044445093888")</f>
        <v/>
      </c>
      <c r="B711" s="2" t="n">
        <v>43233.20550925926</v>
      </c>
      <c r="C711" t="n">
        <v>0</v>
      </c>
      <c r="D711" t="n">
        <v>1</v>
      </c>
      <c r="E711" t="s">
        <v>715</v>
      </c>
      <c r="F711" t="s"/>
      <c r="G711" t="s"/>
      <c r="H711" t="s"/>
      <c r="I711" t="s"/>
      <c r="J711" t="n">
        <v>-0.6369</v>
      </c>
      <c r="K711" t="n">
        <v>0.219</v>
      </c>
      <c r="L711" t="n">
        <v>0.781</v>
      </c>
      <c r="M711" t="n">
        <v>0</v>
      </c>
    </row>
    <row r="712" spans="1:13">
      <c r="A712" s="1">
        <f>HYPERLINK("http://www.twitter.com/NathanBLawrence/status/995527977785053184", "995527977785053184")</f>
        <v/>
      </c>
      <c r="B712" s="2" t="n">
        <v>43233.20532407407</v>
      </c>
      <c r="C712" t="n">
        <v>0</v>
      </c>
      <c r="D712" t="n">
        <v>6</v>
      </c>
      <c r="E712" t="s">
        <v>716</v>
      </c>
      <c r="F712" t="s"/>
      <c r="G712" t="s"/>
      <c r="H712" t="s"/>
      <c r="I712" t="s"/>
      <c r="J712" t="n">
        <v>0.6249</v>
      </c>
      <c r="K712" t="n">
        <v>0</v>
      </c>
      <c r="L712" t="n">
        <v>0.773</v>
      </c>
      <c r="M712" t="n">
        <v>0.227</v>
      </c>
    </row>
    <row r="713" spans="1:13">
      <c r="A713" s="1">
        <f>HYPERLINK("http://www.twitter.com/NathanBLawrence/status/995527916946587648", "995527916946587648")</f>
        <v/>
      </c>
      <c r="B713" s="2" t="n">
        <v>43233.20516203704</v>
      </c>
      <c r="C713" t="n">
        <v>3</v>
      </c>
      <c r="D713" t="n">
        <v>1</v>
      </c>
      <c r="E713" t="s">
        <v>717</v>
      </c>
      <c r="F713" t="s"/>
      <c r="G713" t="s"/>
      <c r="H713" t="s"/>
      <c r="I713" t="s"/>
      <c r="J713" t="n">
        <v>0.9419999999999999</v>
      </c>
      <c r="K713" t="n">
        <v>0.123</v>
      </c>
      <c r="L713" t="n">
        <v>0.573</v>
      </c>
      <c r="M713" t="n">
        <v>0.304</v>
      </c>
    </row>
    <row r="714" spans="1:13">
      <c r="A714" s="1">
        <f>HYPERLINK("http://www.twitter.com/NathanBLawrence/status/995526903518912512", "995526903518912512")</f>
        <v/>
      </c>
      <c r="B714" s="2" t="n">
        <v>43233.20236111111</v>
      </c>
      <c r="C714" t="n">
        <v>0</v>
      </c>
      <c r="D714" t="n">
        <v>2</v>
      </c>
      <c r="E714" t="s">
        <v>718</v>
      </c>
      <c r="F714" t="s"/>
      <c r="G714" t="s"/>
      <c r="H714" t="s"/>
      <c r="I714" t="s"/>
      <c r="J714" t="n">
        <v>-0.4404</v>
      </c>
      <c r="K714" t="n">
        <v>0.187</v>
      </c>
      <c r="L714" t="n">
        <v>0.8129999999999999</v>
      </c>
      <c r="M714" t="n">
        <v>0</v>
      </c>
    </row>
    <row r="715" spans="1:13">
      <c r="A715" s="1">
        <f>HYPERLINK("http://www.twitter.com/NathanBLawrence/status/995518002350129152", "995518002350129152")</f>
        <v/>
      </c>
      <c r="B715" s="2" t="n">
        <v>43233.17780092593</v>
      </c>
      <c r="C715" t="n">
        <v>0</v>
      </c>
      <c r="D715" t="n">
        <v>0</v>
      </c>
      <c r="E715" t="s">
        <v>719</v>
      </c>
      <c r="F715" t="s"/>
      <c r="G715" t="s"/>
      <c r="H715" t="s"/>
      <c r="I715" t="s"/>
      <c r="J715" t="n">
        <v>-0.5574</v>
      </c>
      <c r="K715" t="n">
        <v>0.333</v>
      </c>
      <c r="L715" t="n">
        <v>0.468</v>
      </c>
      <c r="M715" t="n">
        <v>0.199</v>
      </c>
    </row>
    <row r="716" spans="1:13">
      <c r="A716" s="1">
        <f>HYPERLINK("http://www.twitter.com/NathanBLawrence/status/995517559733669888", "995517559733669888")</f>
        <v/>
      </c>
      <c r="B716" s="2" t="n">
        <v>43233.17657407407</v>
      </c>
      <c r="C716" t="n">
        <v>4</v>
      </c>
      <c r="D716" t="n">
        <v>4</v>
      </c>
      <c r="E716" t="s">
        <v>720</v>
      </c>
      <c r="F716" t="s"/>
      <c r="G716" t="s"/>
      <c r="H716" t="s"/>
      <c r="I716" t="s"/>
      <c r="J716" t="n">
        <v>-0.8885</v>
      </c>
      <c r="K716" t="n">
        <v>0.512</v>
      </c>
      <c r="L716" t="n">
        <v>0.488</v>
      </c>
      <c r="M716" t="n">
        <v>0</v>
      </c>
    </row>
    <row r="717" spans="1:13">
      <c r="A717" s="1">
        <f>HYPERLINK("http://www.twitter.com/NathanBLawrence/status/995517434089082880", "995517434089082880")</f>
        <v/>
      </c>
      <c r="B717" s="2" t="n">
        <v>43233.17622685185</v>
      </c>
      <c r="C717" t="n">
        <v>0</v>
      </c>
      <c r="D717" t="n">
        <v>433</v>
      </c>
      <c r="E717" t="s">
        <v>721</v>
      </c>
      <c r="F717">
        <f>HYPERLINK("http://pbs.twimg.com/media/DdCk7oxX0AAgmmo.jpg", "http://pbs.twimg.com/media/DdCk7oxX0AAgmmo.jpg")</f>
        <v/>
      </c>
      <c r="G717" t="s"/>
      <c r="H717" t="s"/>
      <c r="I717" t="s"/>
      <c r="J717" t="n">
        <v>0</v>
      </c>
      <c r="K717" t="n">
        <v>0</v>
      </c>
      <c r="L717" t="n">
        <v>1</v>
      </c>
      <c r="M717" t="n">
        <v>0</v>
      </c>
    </row>
    <row r="718" spans="1:13">
      <c r="A718" s="1">
        <f>HYPERLINK("http://www.twitter.com/NathanBLawrence/status/995517013236830208", "995517013236830208")</f>
        <v/>
      </c>
      <c r="B718" s="2" t="n">
        <v>43233.17506944444</v>
      </c>
      <c r="C718" t="n">
        <v>1</v>
      </c>
      <c r="D718" t="n">
        <v>1</v>
      </c>
      <c r="E718" t="s">
        <v>722</v>
      </c>
      <c r="F718" t="s"/>
      <c r="G718" t="s"/>
      <c r="H718" t="s"/>
      <c r="I718" t="s"/>
      <c r="J718" t="n">
        <v>0</v>
      </c>
      <c r="K718" t="n">
        <v>0</v>
      </c>
      <c r="L718" t="n">
        <v>1</v>
      </c>
      <c r="M718" t="n">
        <v>0</v>
      </c>
    </row>
    <row r="719" spans="1:13">
      <c r="A719" s="1">
        <f>HYPERLINK("http://www.twitter.com/NathanBLawrence/status/995515255798321152", "995515255798321152")</f>
        <v/>
      </c>
      <c r="B719" s="2" t="n">
        <v>43233.17021990741</v>
      </c>
      <c r="C719" t="n">
        <v>1</v>
      </c>
      <c r="D719" t="n">
        <v>1</v>
      </c>
      <c r="E719" t="s">
        <v>723</v>
      </c>
      <c r="F719" t="s"/>
      <c r="G719" t="s"/>
      <c r="H719" t="s"/>
      <c r="I719" t="s"/>
      <c r="J719" t="n">
        <v>0</v>
      </c>
      <c r="K719" t="n">
        <v>0</v>
      </c>
      <c r="L719" t="n">
        <v>1</v>
      </c>
      <c r="M719" t="n">
        <v>0</v>
      </c>
    </row>
    <row r="720" spans="1:13">
      <c r="A720" s="1">
        <f>HYPERLINK("http://www.twitter.com/NathanBLawrence/status/995507088326619136", "995507088326619136")</f>
        <v/>
      </c>
      <c r="B720" s="2" t="n">
        <v>43233.14768518518</v>
      </c>
      <c r="C720" t="n">
        <v>5</v>
      </c>
      <c r="D720" t="n">
        <v>4</v>
      </c>
      <c r="E720" t="s">
        <v>724</v>
      </c>
      <c r="F720">
        <f>HYPERLINK("http://pbs.twimg.com/media/DdDAaqPV0AAWX5C.jpg", "http://pbs.twimg.com/media/DdDAaqPV0AAWX5C.jpg")</f>
        <v/>
      </c>
      <c r="G720" t="s"/>
      <c r="H720" t="s"/>
      <c r="I720" t="s"/>
      <c r="J720" t="n">
        <v>-0.3182</v>
      </c>
      <c r="K720" t="n">
        <v>0.139</v>
      </c>
      <c r="L720" t="n">
        <v>0.779</v>
      </c>
      <c r="M720" t="n">
        <v>0.083</v>
      </c>
    </row>
    <row r="721" spans="1:13">
      <c r="A721" s="1">
        <f>HYPERLINK("http://www.twitter.com/NathanBLawrence/status/995504776153575424", "995504776153575424")</f>
        <v/>
      </c>
      <c r="B721" s="2" t="n">
        <v>43233.14129629629</v>
      </c>
      <c r="C721" t="n">
        <v>1</v>
      </c>
      <c r="D721" t="n">
        <v>1</v>
      </c>
      <c r="E721" t="s">
        <v>725</v>
      </c>
      <c r="F721" t="s"/>
      <c r="G721" t="s"/>
      <c r="H721" t="s"/>
      <c r="I721" t="s"/>
      <c r="J721" t="n">
        <v>0.875</v>
      </c>
      <c r="K721" t="n">
        <v>0</v>
      </c>
      <c r="L721" t="n">
        <v>0.788</v>
      </c>
      <c r="M721" t="n">
        <v>0.212</v>
      </c>
    </row>
    <row r="722" spans="1:13">
      <c r="A722" s="1">
        <f>HYPERLINK("http://www.twitter.com/NathanBLawrence/status/995503470462619648", "995503470462619648")</f>
        <v/>
      </c>
      <c r="B722" s="2" t="n">
        <v>43233.13769675926</v>
      </c>
      <c r="C722" t="n">
        <v>2</v>
      </c>
      <c r="D722" t="n">
        <v>2</v>
      </c>
      <c r="E722" t="s">
        <v>726</v>
      </c>
      <c r="F722" t="s"/>
      <c r="G722" t="s"/>
      <c r="H722" t="s"/>
      <c r="I722" t="s"/>
      <c r="J722" t="n">
        <v>0.891</v>
      </c>
      <c r="K722" t="n">
        <v>0.049</v>
      </c>
      <c r="L722" t="n">
        <v>0.714</v>
      </c>
      <c r="M722" t="n">
        <v>0.237</v>
      </c>
    </row>
    <row r="723" spans="1:13">
      <c r="A723" s="1">
        <f>HYPERLINK("http://www.twitter.com/NathanBLawrence/status/995502244748517376", "995502244748517376")</f>
        <v/>
      </c>
      <c r="B723" s="2" t="n">
        <v>43233.13431712963</v>
      </c>
      <c r="C723" t="n">
        <v>3</v>
      </c>
      <c r="D723" t="n">
        <v>1</v>
      </c>
      <c r="E723" t="s">
        <v>727</v>
      </c>
      <c r="F723" t="s"/>
      <c r="G723" t="s"/>
      <c r="H723" t="s"/>
      <c r="I723" t="s"/>
      <c r="J723" t="n">
        <v>-0.7876</v>
      </c>
      <c r="K723" t="n">
        <v>0.231</v>
      </c>
      <c r="L723" t="n">
        <v>0.702</v>
      </c>
      <c r="M723" t="n">
        <v>0.067</v>
      </c>
    </row>
    <row r="724" spans="1:13">
      <c r="A724" s="1">
        <f>HYPERLINK("http://www.twitter.com/NathanBLawrence/status/995501496056844288", "995501496056844288")</f>
        <v/>
      </c>
      <c r="B724" s="2" t="n">
        <v>43233.13224537037</v>
      </c>
      <c r="C724" t="n">
        <v>0</v>
      </c>
      <c r="D724" t="n">
        <v>7</v>
      </c>
      <c r="E724" t="s">
        <v>728</v>
      </c>
      <c r="F724">
        <f>HYPERLINK("http://pbs.twimg.com/media/DdCtiQqV0AALdRk.jpg", "http://pbs.twimg.com/media/DdCtiQqV0AALdRk.jpg")</f>
        <v/>
      </c>
      <c r="G724" t="s"/>
      <c r="H724" t="s"/>
      <c r="I724" t="s"/>
      <c r="J724" t="n">
        <v>-0.4648</v>
      </c>
      <c r="K724" t="n">
        <v>0.132</v>
      </c>
      <c r="L724" t="n">
        <v>0.868</v>
      </c>
      <c r="M724" t="n">
        <v>0</v>
      </c>
    </row>
    <row r="725" spans="1:13">
      <c r="A725" s="1">
        <f>HYPERLINK("http://www.twitter.com/NathanBLawrence/status/995501472321343488", "995501472321343488")</f>
        <v/>
      </c>
      <c r="B725" s="2" t="n">
        <v>43233.1321875</v>
      </c>
      <c r="C725" t="n">
        <v>0</v>
      </c>
      <c r="D725" t="n">
        <v>433</v>
      </c>
      <c r="E725" t="s">
        <v>729</v>
      </c>
      <c r="F725" t="s"/>
      <c r="G725" t="s"/>
      <c r="H725" t="s"/>
      <c r="I725" t="s"/>
      <c r="J725" t="n">
        <v>0.296</v>
      </c>
      <c r="K725" t="n">
        <v>0</v>
      </c>
      <c r="L725" t="n">
        <v>0.732</v>
      </c>
      <c r="M725" t="n">
        <v>0.268</v>
      </c>
    </row>
    <row r="726" spans="1:13">
      <c r="A726" s="1">
        <f>HYPERLINK("http://www.twitter.com/NathanBLawrence/status/995501257925300224", "995501257925300224")</f>
        <v/>
      </c>
      <c r="B726" s="2" t="n">
        <v>43233.13159722222</v>
      </c>
      <c r="C726" t="n">
        <v>1</v>
      </c>
      <c r="D726" t="n">
        <v>0</v>
      </c>
      <c r="E726" t="s">
        <v>730</v>
      </c>
      <c r="F726" t="s"/>
      <c r="G726" t="s"/>
      <c r="H726" t="s"/>
      <c r="I726" t="s"/>
      <c r="J726" t="n">
        <v>-0.7783</v>
      </c>
      <c r="K726" t="n">
        <v>0.157</v>
      </c>
      <c r="L726" t="n">
        <v>0.843</v>
      </c>
      <c r="M726" t="n">
        <v>0</v>
      </c>
    </row>
    <row r="727" spans="1:13">
      <c r="A727" s="1">
        <f>HYPERLINK("http://www.twitter.com/NathanBLawrence/status/995500249216102405", "995500249216102405")</f>
        <v/>
      </c>
      <c r="B727" s="2" t="n">
        <v>43233.12880787037</v>
      </c>
      <c r="C727" t="n">
        <v>8</v>
      </c>
      <c r="D727" t="n">
        <v>6</v>
      </c>
      <c r="E727" t="s">
        <v>731</v>
      </c>
      <c r="F727" t="s"/>
      <c r="G727" t="s"/>
      <c r="H727" t="s"/>
      <c r="I727" t="s"/>
      <c r="J727" t="n">
        <v>0</v>
      </c>
      <c r="K727" t="n">
        <v>0</v>
      </c>
      <c r="L727" t="n">
        <v>1</v>
      </c>
      <c r="M727" t="n">
        <v>0</v>
      </c>
    </row>
    <row r="728" spans="1:13">
      <c r="A728" s="1">
        <f>HYPERLINK("http://www.twitter.com/NathanBLawrence/status/995499641297887232", "995499641297887232")</f>
        <v/>
      </c>
      <c r="B728" s="2" t="n">
        <v>43233.12712962963</v>
      </c>
      <c r="C728" t="n">
        <v>1</v>
      </c>
      <c r="D728" t="n">
        <v>0</v>
      </c>
      <c r="E728" t="s">
        <v>732</v>
      </c>
      <c r="F728" t="s"/>
      <c r="G728" t="s"/>
      <c r="H728" t="s"/>
      <c r="I728" t="s"/>
      <c r="J728" t="n">
        <v>-0.7574</v>
      </c>
      <c r="K728" t="n">
        <v>0.288</v>
      </c>
      <c r="L728" t="n">
        <v>0.627</v>
      </c>
      <c r="M728" t="n">
        <v>0.08500000000000001</v>
      </c>
    </row>
    <row r="729" spans="1:13">
      <c r="A729" s="1">
        <f>HYPERLINK("http://www.twitter.com/NathanBLawrence/status/995499202380730368", "995499202380730368")</f>
        <v/>
      </c>
      <c r="B729" s="2" t="n">
        <v>43233.12591435185</v>
      </c>
      <c r="C729" t="n">
        <v>1</v>
      </c>
      <c r="D729" t="n">
        <v>0</v>
      </c>
      <c r="E729" t="s">
        <v>733</v>
      </c>
      <c r="F729" t="s"/>
      <c r="G729" t="s"/>
      <c r="H729" t="s"/>
      <c r="I729" t="s"/>
      <c r="J729" t="n">
        <v>-0.6486</v>
      </c>
      <c r="K729" t="n">
        <v>0.281</v>
      </c>
      <c r="L729" t="n">
        <v>0.719</v>
      </c>
      <c r="M729" t="n">
        <v>0</v>
      </c>
    </row>
    <row r="730" spans="1:13">
      <c r="A730" s="1">
        <f>HYPERLINK("http://www.twitter.com/NathanBLawrence/status/995498797492064257", "995498797492064257")</f>
        <v/>
      </c>
      <c r="B730" s="2" t="n">
        <v>43233.12480324074</v>
      </c>
      <c r="C730" t="n">
        <v>0</v>
      </c>
      <c r="D730" t="n">
        <v>5</v>
      </c>
      <c r="E730" t="s">
        <v>734</v>
      </c>
      <c r="F730" t="s"/>
      <c r="G730" t="s"/>
      <c r="H730" t="s"/>
      <c r="I730" t="s"/>
      <c r="J730" t="n">
        <v>0.1531</v>
      </c>
      <c r="K730" t="n">
        <v>0.113</v>
      </c>
      <c r="L730" t="n">
        <v>0.714</v>
      </c>
      <c r="M730" t="n">
        <v>0.173</v>
      </c>
    </row>
    <row r="731" spans="1:13">
      <c r="A731" s="1">
        <f>HYPERLINK("http://www.twitter.com/NathanBLawrence/status/995491556235907072", "995491556235907072")</f>
        <v/>
      </c>
      <c r="B731" s="2" t="n">
        <v>43233.10482638889</v>
      </c>
      <c r="C731" t="n">
        <v>0</v>
      </c>
      <c r="D731" t="n">
        <v>5</v>
      </c>
      <c r="E731" t="s">
        <v>735</v>
      </c>
      <c r="F731" t="s"/>
      <c r="G731" t="s"/>
      <c r="H731" t="s"/>
      <c r="I731" t="s"/>
      <c r="J731" t="n">
        <v>0.3818</v>
      </c>
      <c r="K731" t="n">
        <v>0</v>
      </c>
      <c r="L731" t="n">
        <v>0.867</v>
      </c>
      <c r="M731" t="n">
        <v>0.133</v>
      </c>
    </row>
    <row r="732" spans="1:13">
      <c r="A732" s="1">
        <f>HYPERLINK("http://www.twitter.com/NathanBLawrence/status/995491521188200449", "995491521188200449")</f>
        <v/>
      </c>
      <c r="B732" s="2" t="n">
        <v>43233.10472222222</v>
      </c>
      <c r="C732" t="n">
        <v>1</v>
      </c>
      <c r="D732" t="n">
        <v>1</v>
      </c>
      <c r="E732" t="s">
        <v>736</v>
      </c>
      <c r="F732">
        <f>HYPERLINK("http://pbs.twimg.com/media/DdCyQHcVQAAnQ2O.jpg", "http://pbs.twimg.com/media/DdCyQHcVQAAnQ2O.jpg")</f>
        <v/>
      </c>
      <c r="G732" t="s"/>
      <c r="H732" t="s"/>
      <c r="I732" t="s"/>
      <c r="J732" t="n">
        <v>0.1779</v>
      </c>
      <c r="K732" t="n">
        <v>0.098</v>
      </c>
      <c r="L732" t="n">
        <v>0.79</v>
      </c>
      <c r="M732" t="n">
        <v>0.112</v>
      </c>
    </row>
    <row r="733" spans="1:13">
      <c r="A733" s="1">
        <f>HYPERLINK("http://www.twitter.com/NathanBLawrence/status/995490501611671553", "995490501611671553")</f>
        <v/>
      </c>
      <c r="B733" s="2" t="n">
        <v>43233.10190972222</v>
      </c>
      <c r="C733" t="n">
        <v>0</v>
      </c>
      <c r="D733" t="n">
        <v>0</v>
      </c>
      <c r="E733" t="s">
        <v>737</v>
      </c>
      <c r="F733">
        <f>HYPERLINK("http://pbs.twimg.com/media/DdCxVScU8AAnSs2.jpg", "http://pbs.twimg.com/media/DdCxVScU8AAnSs2.jpg")</f>
        <v/>
      </c>
      <c r="G733" t="s"/>
      <c r="H733" t="s"/>
      <c r="I733" t="s"/>
      <c r="J733" t="n">
        <v>-0.9136</v>
      </c>
      <c r="K733" t="n">
        <v>0.25</v>
      </c>
      <c r="L733" t="n">
        <v>0.75</v>
      </c>
      <c r="M733" t="n">
        <v>0</v>
      </c>
    </row>
    <row r="734" spans="1:13">
      <c r="A734" s="1">
        <f>HYPERLINK("http://www.twitter.com/NathanBLawrence/status/995481984246931456", "995481984246931456")</f>
        <v/>
      </c>
      <c r="B734" s="2" t="n">
        <v>43233.07840277778</v>
      </c>
      <c r="C734" t="n">
        <v>2</v>
      </c>
      <c r="D734" t="n">
        <v>2</v>
      </c>
      <c r="E734" t="s">
        <v>738</v>
      </c>
      <c r="F734">
        <f>HYPERLINK("http://pbs.twimg.com/media/DdCplhDU0AEH5o9.jpg", "http://pbs.twimg.com/media/DdCplhDU0AEH5o9.jpg")</f>
        <v/>
      </c>
      <c r="G734" t="s"/>
      <c r="H734" t="s"/>
      <c r="I734" t="s"/>
      <c r="J734" t="n">
        <v>-0.8932</v>
      </c>
      <c r="K734" t="n">
        <v>0.241</v>
      </c>
      <c r="L734" t="n">
        <v>0.759</v>
      </c>
      <c r="M734" t="n">
        <v>0</v>
      </c>
    </row>
    <row r="735" spans="1:13">
      <c r="A735" s="1">
        <f>HYPERLINK("http://www.twitter.com/NathanBLawrence/status/995472792937291776", "995472792937291776")</f>
        <v/>
      </c>
      <c r="B735" s="2" t="n">
        <v>43233.05304398148</v>
      </c>
      <c r="C735" t="n">
        <v>0</v>
      </c>
      <c r="D735" t="n">
        <v>0</v>
      </c>
      <c r="E735" t="s">
        <v>739</v>
      </c>
      <c r="F735" t="s"/>
      <c r="G735" t="s"/>
      <c r="H735" t="s"/>
      <c r="I735" t="s"/>
      <c r="J735" t="n">
        <v>-0.9136</v>
      </c>
      <c r="K735" t="n">
        <v>0.246</v>
      </c>
      <c r="L735" t="n">
        <v>0.754</v>
      </c>
      <c r="M735" t="n">
        <v>0</v>
      </c>
    </row>
    <row r="736" spans="1:13">
      <c r="A736" s="1">
        <f>HYPERLINK("http://www.twitter.com/NathanBLawrence/status/995471944916062208", "995471944916062208")</f>
        <v/>
      </c>
      <c r="B736" s="2" t="n">
        <v>43233.05070601852</v>
      </c>
      <c r="C736" t="n">
        <v>0</v>
      </c>
      <c r="D736" t="n">
        <v>0</v>
      </c>
      <c r="E736" t="s">
        <v>740</v>
      </c>
      <c r="F736" t="s"/>
      <c r="G736" t="s"/>
      <c r="H736" t="s"/>
      <c r="I736" t="s"/>
      <c r="J736" t="n">
        <v>-0.6369</v>
      </c>
      <c r="K736" t="n">
        <v>0.199</v>
      </c>
      <c r="L736" t="n">
        <v>0.694</v>
      </c>
      <c r="M736" t="n">
        <v>0.107</v>
      </c>
    </row>
    <row r="737" spans="1:13">
      <c r="A737" s="1">
        <f>HYPERLINK("http://www.twitter.com/NathanBLawrence/status/995470701514711042", "995470701514711042")</f>
        <v/>
      </c>
      <c r="B737" s="2" t="n">
        <v>43233.04726851852</v>
      </c>
      <c r="C737" t="n">
        <v>0</v>
      </c>
      <c r="D737" t="n">
        <v>1</v>
      </c>
      <c r="E737" t="s">
        <v>741</v>
      </c>
      <c r="F737" t="s"/>
      <c r="G737" t="s"/>
      <c r="H737" t="s"/>
      <c r="I737" t="s"/>
      <c r="J737" t="n">
        <v>0.802</v>
      </c>
      <c r="K737" t="n">
        <v>0</v>
      </c>
      <c r="L737" t="n">
        <v>0.753</v>
      </c>
      <c r="M737" t="n">
        <v>0.247</v>
      </c>
    </row>
    <row r="738" spans="1:13">
      <c r="A738" s="1">
        <f>HYPERLINK("http://www.twitter.com/NathanBLawrence/status/995443340333277191", "995443340333277191")</f>
        <v/>
      </c>
      <c r="B738" s="2" t="n">
        <v>43232.97177083333</v>
      </c>
      <c r="C738" t="n">
        <v>0</v>
      </c>
      <c r="D738" t="n">
        <v>12</v>
      </c>
      <c r="E738" t="s">
        <v>742</v>
      </c>
      <c r="F738">
        <f>HYPERLINK("http://pbs.twimg.com/media/Dc2DVrwW4AUk41y.jpg", "http://pbs.twimg.com/media/Dc2DVrwW4AUk41y.jpg")</f>
        <v/>
      </c>
      <c r="G738" t="s"/>
      <c r="H738" t="s"/>
      <c r="I738" t="s"/>
      <c r="J738" t="n">
        <v>-0.794</v>
      </c>
      <c r="K738" t="n">
        <v>0.261</v>
      </c>
      <c r="L738" t="n">
        <v>0.739</v>
      </c>
      <c r="M738" t="n">
        <v>0</v>
      </c>
    </row>
    <row r="739" spans="1:13">
      <c r="A739" s="1">
        <f>HYPERLINK("http://www.twitter.com/NathanBLawrence/status/995443200910348288", "995443200910348288")</f>
        <v/>
      </c>
      <c r="B739" s="2" t="n">
        <v>43232.97138888889</v>
      </c>
      <c r="C739" t="n">
        <v>0</v>
      </c>
      <c r="D739" t="n">
        <v>5</v>
      </c>
      <c r="E739" t="s">
        <v>743</v>
      </c>
      <c r="F739" t="s"/>
      <c r="G739" t="s"/>
      <c r="H739" t="s"/>
      <c r="I739" t="s"/>
      <c r="J739" t="n">
        <v>-0.323</v>
      </c>
      <c r="K739" t="n">
        <v>0.095</v>
      </c>
      <c r="L739" t="n">
        <v>0.905</v>
      </c>
      <c r="M739" t="n">
        <v>0</v>
      </c>
    </row>
    <row r="740" spans="1:13">
      <c r="A740" s="1">
        <f>HYPERLINK("http://www.twitter.com/NathanBLawrence/status/995443095515942914", "995443095515942914")</f>
        <v/>
      </c>
      <c r="B740" s="2" t="n">
        <v>43232.97109953704</v>
      </c>
      <c r="C740" t="n">
        <v>7</v>
      </c>
      <c r="D740" t="n">
        <v>5</v>
      </c>
      <c r="E740" t="s">
        <v>744</v>
      </c>
      <c r="F740" t="s"/>
      <c r="G740" t="s"/>
      <c r="H740" t="s"/>
      <c r="I740" t="s"/>
      <c r="J740" t="n">
        <v>0.163</v>
      </c>
      <c r="K740" t="n">
        <v>0.091</v>
      </c>
      <c r="L740" t="n">
        <v>0.851</v>
      </c>
      <c r="M740" t="n">
        <v>0.058</v>
      </c>
    </row>
    <row r="741" spans="1:13">
      <c r="A741" s="1">
        <f>HYPERLINK("http://www.twitter.com/NathanBLawrence/status/995442026022866945", "995442026022866945")</f>
        <v/>
      </c>
      <c r="B741" s="2" t="n">
        <v>43232.96814814815</v>
      </c>
      <c r="C741" t="n">
        <v>0</v>
      </c>
      <c r="D741" t="n">
        <v>5</v>
      </c>
      <c r="E741" t="s">
        <v>745</v>
      </c>
      <c r="F741">
        <f>HYPERLINK("http://pbs.twimg.com/media/DdBvefKU0AE3gpV.jpg", "http://pbs.twimg.com/media/DdBvefKU0AE3gpV.jpg")</f>
        <v/>
      </c>
      <c r="G741" t="s"/>
      <c r="H741" t="s"/>
      <c r="I741" t="s"/>
      <c r="J741" t="n">
        <v>-0.5266999999999999</v>
      </c>
      <c r="K741" t="n">
        <v>0.195</v>
      </c>
      <c r="L741" t="n">
        <v>0.805</v>
      </c>
      <c r="M741" t="n">
        <v>0</v>
      </c>
    </row>
    <row r="742" spans="1:13">
      <c r="A742" s="1">
        <f>HYPERLINK("http://www.twitter.com/NathanBLawrence/status/995441852781350912", "995441852781350912")</f>
        <v/>
      </c>
      <c r="B742" s="2" t="n">
        <v>43232.96766203704</v>
      </c>
      <c r="C742" t="n">
        <v>0</v>
      </c>
      <c r="D742" t="n">
        <v>0</v>
      </c>
      <c r="E742" t="s">
        <v>746</v>
      </c>
      <c r="F742" t="s"/>
      <c r="G742" t="s"/>
      <c r="H742" t="s"/>
      <c r="I742" t="s"/>
      <c r="J742" t="n">
        <v>0.4515</v>
      </c>
      <c r="K742" t="n">
        <v>0</v>
      </c>
      <c r="L742" t="n">
        <v>0.9340000000000001</v>
      </c>
      <c r="M742" t="n">
        <v>0.066</v>
      </c>
    </row>
    <row r="743" spans="1:13">
      <c r="A743" s="1">
        <f>HYPERLINK("http://www.twitter.com/NathanBLawrence/status/995440822903488512", "995440822903488512")</f>
        <v/>
      </c>
      <c r="B743" s="2" t="n">
        <v>43232.96482638889</v>
      </c>
      <c r="C743" t="n">
        <v>0</v>
      </c>
      <c r="D743" t="n">
        <v>7</v>
      </c>
      <c r="E743" t="s">
        <v>747</v>
      </c>
      <c r="F743" t="s"/>
      <c r="G743" t="s"/>
      <c r="H743" t="s"/>
      <c r="I743" t="s"/>
      <c r="J743" t="n">
        <v>0</v>
      </c>
      <c r="K743" t="n">
        <v>0</v>
      </c>
      <c r="L743" t="n">
        <v>1</v>
      </c>
      <c r="M743" t="n">
        <v>0</v>
      </c>
    </row>
    <row r="744" spans="1:13">
      <c r="A744" s="1">
        <f>HYPERLINK("http://www.twitter.com/NathanBLawrence/status/995440338167914496", "995440338167914496")</f>
        <v/>
      </c>
      <c r="B744" s="2" t="n">
        <v>43232.96348379629</v>
      </c>
      <c r="C744" t="n">
        <v>0</v>
      </c>
      <c r="D744" t="n">
        <v>7</v>
      </c>
      <c r="E744" t="s">
        <v>748</v>
      </c>
      <c r="F744" t="s"/>
      <c r="G744" t="s"/>
      <c r="H744" t="s"/>
      <c r="I744" t="s"/>
      <c r="J744" t="n">
        <v>0.5719</v>
      </c>
      <c r="K744" t="n">
        <v>0</v>
      </c>
      <c r="L744" t="n">
        <v>0.821</v>
      </c>
      <c r="M744" t="n">
        <v>0.179</v>
      </c>
    </row>
    <row r="745" spans="1:13">
      <c r="A745" s="1">
        <f>HYPERLINK("http://www.twitter.com/NathanBLawrence/status/995440239786196992", "995440239786196992")</f>
        <v/>
      </c>
      <c r="B745" s="2" t="n">
        <v>43232.96321759259</v>
      </c>
      <c r="C745" t="n">
        <v>3</v>
      </c>
      <c r="D745" t="n">
        <v>3</v>
      </c>
      <c r="E745" t="s">
        <v>749</v>
      </c>
      <c r="F745">
        <f>HYPERLINK("http://pbs.twimg.com/media/DdCDnhrVMAEHrZ4.jpg", "http://pbs.twimg.com/media/DdCDnhrVMAEHrZ4.jpg")</f>
        <v/>
      </c>
      <c r="G745" t="s"/>
      <c r="H745" t="s"/>
      <c r="I745" t="s"/>
      <c r="J745" t="n">
        <v>0</v>
      </c>
      <c r="K745" t="n">
        <v>0</v>
      </c>
      <c r="L745" t="n">
        <v>1</v>
      </c>
      <c r="M745" t="n">
        <v>0</v>
      </c>
    </row>
    <row r="746" spans="1:13">
      <c r="A746" s="1">
        <f>HYPERLINK("http://www.twitter.com/NathanBLawrence/status/995439569393868801", "995439569393868801")</f>
        <v/>
      </c>
      <c r="B746" s="2" t="n">
        <v>43232.96136574074</v>
      </c>
      <c r="C746" t="n">
        <v>0</v>
      </c>
      <c r="D746" t="n">
        <v>1</v>
      </c>
      <c r="E746" t="s">
        <v>750</v>
      </c>
      <c r="F746" t="s"/>
      <c r="G746" t="s"/>
      <c r="H746" t="s"/>
      <c r="I746" t="s"/>
      <c r="J746" t="n">
        <v>0</v>
      </c>
      <c r="K746" t="n">
        <v>0</v>
      </c>
      <c r="L746" t="n">
        <v>1</v>
      </c>
      <c r="M746" t="n">
        <v>0</v>
      </c>
    </row>
    <row r="747" spans="1:13">
      <c r="A747" s="1">
        <f>HYPERLINK("http://www.twitter.com/NathanBLawrence/status/995439520412782595", "995439520412782595")</f>
        <v/>
      </c>
      <c r="B747" s="2" t="n">
        <v>43232.96122685185</v>
      </c>
      <c r="C747" t="n">
        <v>0</v>
      </c>
      <c r="D747" t="n">
        <v>8</v>
      </c>
      <c r="E747" t="s">
        <v>751</v>
      </c>
      <c r="F747" t="s"/>
      <c r="G747" t="s"/>
      <c r="H747" t="s"/>
      <c r="I747" t="s"/>
      <c r="J747" t="n">
        <v>0</v>
      </c>
      <c r="K747" t="n">
        <v>0</v>
      </c>
      <c r="L747" t="n">
        <v>1</v>
      </c>
      <c r="M747" t="n">
        <v>0</v>
      </c>
    </row>
    <row r="748" spans="1:13">
      <c r="A748" s="1">
        <f>HYPERLINK("http://www.twitter.com/NathanBLawrence/status/995439384563519490", "995439384563519490")</f>
        <v/>
      </c>
      <c r="B748" s="2" t="n">
        <v>43232.96085648148</v>
      </c>
      <c r="C748" t="n">
        <v>0</v>
      </c>
      <c r="D748" t="n">
        <v>7</v>
      </c>
      <c r="E748" t="s">
        <v>752</v>
      </c>
      <c r="F748" t="s"/>
      <c r="G748" t="s"/>
      <c r="H748" t="s"/>
      <c r="I748" t="s"/>
      <c r="J748" t="n">
        <v>-0.2732</v>
      </c>
      <c r="K748" t="n">
        <v>0.143</v>
      </c>
      <c r="L748" t="n">
        <v>0.757</v>
      </c>
      <c r="M748" t="n">
        <v>0.1</v>
      </c>
    </row>
    <row r="749" spans="1:13">
      <c r="A749" s="1">
        <f>HYPERLINK("http://www.twitter.com/NathanBLawrence/status/995439345418035201", "995439345418035201")</f>
        <v/>
      </c>
      <c r="B749" s="2" t="n">
        <v>43232.96074074074</v>
      </c>
      <c r="C749" t="n">
        <v>0</v>
      </c>
      <c r="D749" t="n">
        <v>9</v>
      </c>
      <c r="E749" t="s">
        <v>753</v>
      </c>
      <c r="F749" t="s"/>
      <c r="G749" t="s"/>
      <c r="H749" t="s"/>
      <c r="I749" t="s"/>
      <c r="J749" t="n">
        <v>-0.3182</v>
      </c>
      <c r="K749" t="n">
        <v>0.126</v>
      </c>
      <c r="L749" t="n">
        <v>0.874</v>
      </c>
      <c r="M749" t="n">
        <v>0</v>
      </c>
    </row>
    <row r="750" spans="1:13">
      <c r="A750" s="1">
        <f>HYPERLINK("http://www.twitter.com/NathanBLawrence/status/995439225368666117", "995439225368666117")</f>
        <v/>
      </c>
      <c r="B750" s="2" t="n">
        <v>43232.96041666667</v>
      </c>
      <c r="C750" t="n">
        <v>0</v>
      </c>
      <c r="D750" t="n">
        <v>16</v>
      </c>
      <c r="E750" t="s">
        <v>754</v>
      </c>
      <c r="F750" t="s"/>
      <c r="G750" t="s"/>
      <c r="H750" t="s"/>
      <c r="I750" t="s"/>
      <c r="J750" t="n">
        <v>-0.0258</v>
      </c>
      <c r="K750" t="n">
        <v>0.105</v>
      </c>
      <c r="L750" t="n">
        <v>0.795</v>
      </c>
      <c r="M750" t="n">
        <v>0.1</v>
      </c>
    </row>
    <row r="751" spans="1:13">
      <c r="A751" s="1">
        <f>HYPERLINK("http://www.twitter.com/NathanBLawrence/status/995438599767248896", "995438599767248896")</f>
        <v/>
      </c>
      <c r="B751" s="2" t="n">
        <v>43232.95869212963</v>
      </c>
      <c r="C751" t="n">
        <v>0</v>
      </c>
      <c r="D751" t="n">
        <v>2</v>
      </c>
      <c r="E751" t="s">
        <v>755</v>
      </c>
      <c r="F751" t="s"/>
      <c r="G751" t="s"/>
      <c r="H751" t="s"/>
      <c r="I751" t="s"/>
      <c r="J751" t="n">
        <v>0.3612</v>
      </c>
      <c r="K751" t="n">
        <v>0</v>
      </c>
      <c r="L751" t="n">
        <v>0.884</v>
      </c>
      <c r="M751" t="n">
        <v>0.116</v>
      </c>
    </row>
    <row r="752" spans="1:13">
      <c r="A752" s="1">
        <f>HYPERLINK("http://www.twitter.com/NathanBLawrence/status/995420883152928776", "995420883152928776")</f>
        <v/>
      </c>
      <c r="B752" s="2" t="n">
        <v>43232.90980324074</v>
      </c>
      <c r="C752" t="n">
        <v>2</v>
      </c>
      <c r="D752" t="n">
        <v>2</v>
      </c>
      <c r="E752" t="s">
        <v>756</v>
      </c>
      <c r="F752" t="s"/>
      <c r="G752" t="s"/>
      <c r="H752" t="s"/>
      <c r="I752" t="s"/>
      <c r="J752" t="n">
        <v>0.7096</v>
      </c>
      <c r="K752" t="n">
        <v>0</v>
      </c>
      <c r="L752" t="n">
        <v>0.848</v>
      </c>
      <c r="M752" t="n">
        <v>0.152</v>
      </c>
    </row>
    <row r="753" spans="1:13">
      <c r="A753" s="1">
        <f>HYPERLINK("http://www.twitter.com/NathanBLawrence/status/995418598003957760", "995418598003957760")</f>
        <v/>
      </c>
      <c r="B753" s="2" t="n">
        <v>43232.90349537037</v>
      </c>
      <c r="C753" t="n">
        <v>0</v>
      </c>
      <c r="D753" t="n">
        <v>5</v>
      </c>
      <c r="E753" t="s">
        <v>757</v>
      </c>
      <c r="F753" t="s"/>
      <c r="G753" t="s"/>
      <c r="H753" t="s"/>
      <c r="I753" t="s"/>
      <c r="J753" t="n">
        <v>0.765</v>
      </c>
      <c r="K753" t="n">
        <v>0.076</v>
      </c>
      <c r="L753" t="n">
        <v>0.612</v>
      </c>
      <c r="M753" t="n">
        <v>0.313</v>
      </c>
    </row>
    <row r="754" spans="1:13">
      <c r="A754" s="1">
        <f>HYPERLINK("http://www.twitter.com/NathanBLawrence/status/995418466428575744", "995418466428575744")</f>
        <v/>
      </c>
      <c r="B754" s="2" t="n">
        <v>43232.90313657407</v>
      </c>
      <c r="C754" t="n">
        <v>0</v>
      </c>
      <c r="D754" t="n">
        <v>6</v>
      </c>
      <c r="E754" t="s">
        <v>758</v>
      </c>
      <c r="F754" t="s"/>
      <c r="G754" t="s"/>
      <c r="H754" t="s"/>
      <c r="I754" t="s"/>
      <c r="J754" t="n">
        <v>0.6249</v>
      </c>
      <c r="K754" t="n">
        <v>0</v>
      </c>
      <c r="L754" t="n">
        <v>0.661</v>
      </c>
      <c r="M754" t="n">
        <v>0.339</v>
      </c>
    </row>
    <row r="755" spans="1:13">
      <c r="A755" s="1">
        <f>HYPERLINK("http://www.twitter.com/NathanBLawrence/status/995407582771769345", "995407582771769345")</f>
        <v/>
      </c>
      <c r="B755" s="2" t="n">
        <v>43232.87310185185</v>
      </c>
      <c r="C755" t="n">
        <v>2</v>
      </c>
      <c r="D755" t="n">
        <v>2</v>
      </c>
      <c r="E755" t="s">
        <v>759</v>
      </c>
      <c r="F755" t="s"/>
      <c r="G755" t="s"/>
      <c r="H755" t="s"/>
      <c r="I755" t="s"/>
      <c r="J755" t="n">
        <v>-0.6541</v>
      </c>
      <c r="K755" t="n">
        <v>0.172</v>
      </c>
      <c r="L755" t="n">
        <v>0.828</v>
      </c>
      <c r="M755" t="n">
        <v>0</v>
      </c>
    </row>
    <row r="756" spans="1:13">
      <c r="A756" s="1">
        <f>HYPERLINK("http://www.twitter.com/NathanBLawrence/status/995406914669432833", "995406914669432833")</f>
        <v/>
      </c>
      <c r="B756" s="2" t="n">
        <v>43232.87125</v>
      </c>
      <c r="C756" t="n">
        <v>0</v>
      </c>
      <c r="D756" t="n">
        <v>10</v>
      </c>
      <c r="E756" t="s">
        <v>760</v>
      </c>
      <c r="F756">
        <f>HYPERLINK("http://pbs.twimg.com/media/DdBh1X9X4AA_CsJ.jpg", "http://pbs.twimg.com/media/DdBh1X9X4AA_CsJ.jpg")</f>
        <v/>
      </c>
      <c r="G756" t="s"/>
      <c r="H756" t="s"/>
      <c r="I756" t="s"/>
      <c r="J756" t="n">
        <v>-0.1027</v>
      </c>
      <c r="K756" t="n">
        <v>0.117</v>
      </c>
      <c r="L756" t="n">
        <v>0.78</v>
      </c>
      <c r="M756" t="n">
        <v>0.103</v>
      </c>
    </row>
    <row r="757" spans="1:13">
      <c r="A757" s="1">
        <f>HYPERLINK("http://www.twitter.com/NathanBLawrence/status/995399207824580608", "995399207824580608")</f>
        <v/>
      </c>
      <c r="B757" s="2" t="n">
        <v>43232.84998842593</v>
      </c>
      <c r="C757" t="n">
        <v>3</v>
      </c>
      <c r="D757" t="n">
        <v>1</v>
      </c>
      <c r="E757" t="s">
        <v>761</v>
      </c>
      <c r="F757" t="s"/>
      <c r="G757" t="s"/>
      <c r="H757" t="s"/>
      <c r="I757" t="s"/>
      <c r="J757" t="n">
        <v>0.8658</v>
      </c>
      <c r="K757" t="n">
        <v>0</v>
      </c>
      <c r="L757" t="n">
        <v>0.788</v>
      </c>
      <c r="M757" t="n">
        <v>0.212</v>
      </c>
    </row>
    <row r="758" spans="1:13">
      <c r="A758" s="1">
        <f>HYPERLINK("http://www.twitter.com/NathanBLawrence/status/995398768165052416", "995398768165052416")</f>
        <v/>
      </c>
      <c r="B758" s="2" t="n">
        <v>43232.84877314815</v>
      </c>
      <c r="C758" t="n">
        <v>0</v>
      </c>
      <c r="D758" t="n">
        <v>8</v>
      </c>
      <c r="E758" t="s">
        <v>762</v>
      </c>
      <c r="F758" t="s"/>
      <c r="G758" t="s"/>
      <c r="H758" t="s"/>
      <c r="I758" t="s"/>
      <c r="J758" t="n">
        <v>-0.4767</v>
      </c>
      <c r="K758" t="n">
        <v>0.124</v>
      </c>
      <c r="L758" t="n">
        <v>0.876</v>
      </c>
      <c r="M758" t="n">
        <v>0</v>
      </c>
    </row>
    <row r="759" spans="1:13">
      <c r="A759" s="1">
        <f>HYPERLINK("http://www.twitter.com/NathanBLawrence/status/995398656063885312", "995398656063885312")</f>
        <v/>
      </c>
      <c r="B759" s="2" t="n">
        <v>43232.84846064815</v>
      </c>
      <c r="C759" t="n">
        <v>0</v>
      </c>
      <c r="D759" t="n">
        <v>33</v>
      </c>
      <c r="E759" t="s">
        <v>763</v>
      </c>
      <c r="F759" t="s"/>
      <c r="G759" t="s"/>
      <c r="H759" t="s"/>
      <c r="I759" t="s"/>
      <c r="J759" t="n">
        <v>-0.0258</v>
      </c>
      <c r="K759" t="n">
        <v>0.19</v>
      </c>
      <c r="L759" t="n">
        <v>0.623</v>
      </c>
      <c r="M759" t="n">
        <v>0.187</v>
      </c>
    </row>
    <row r="760" spans="1:13">
      <c r="A760" s="1">
        <f>HYPERLINK("http://www.twitter.com/NathanBLawrence/status/995398586484523008", "995398586484523008")</f>
        <v/>
      </c>
      <c r="B760" s="2" t="n">
        <v>43232.84827546297</v>
      </c>
      <c r="C760" t="n">
        <v>0</v>
      </c>
      <c r="D760" t="n">
        <v>14</v>
      </c>
      <c r="E760" t="s">
        <v>764</v>
      </c>
      <c r="F760">
        <f>HYPERLINK("http://pbs.twimg.com/media/Dc8-wM3XUAUNJnJ.jpg", "http://pbs.twimg.com/media/Dc8-wM3XUAUNJnJ.jpg")</f>
        <v/>
      </c>
      <c r="G760" t="s"/>
      <c r="H760" t="s"/>
      <c r="I760" t="s"/>
      <c r="J760" t="n">
        <v>-0.3182</v>
      </c>
      <c r="K760" t="n">
        <v>0.108</v>
      </c>
      <c r="L760" t="n">
        <v>0.892</v>
      </c>
      <c r="M760" t="n">
        <v>0</v>
      </c>
    </row>
    <row r="761" spans="1:13">
      <c r="A761" s="1">
        <f>HYPERLINK("http://www.twitter.com/NathanBLawrence/status/995398541345476609", "995398541345476609")</f>
        <v/>
      </c>
      <c r="B761" s="2" t="n">
        <v>43232.84814814815</v>
      </c>
      <c r="C761" t="n">
        <v>0</v>
      </c>
      <c r="D761" t="n">
        <v>2</v>
      </c>
      <c r="E761" t="s">
        <v>765</v>
      </c>
      <c r="F761" t="s"/>
      <c r="G761" t="s"/>
      <c r="H761" t="s"/>
      <c r="I761" t="s"/>
      <c r="J761" t="n">
        <v>0</v>
      </c>
      <c r="K761" t="n">
        <v>0</v>
      </c>
      <c r="L761" t="n">
        <v>1</v>
      </c>
      <c r="M761" t="n">
        <v>0</v>
      </c>
    </row>
    <row r="762" spans="1:13">
      <c r="A762" s="1">
        <f>HYPERLINK("http://www.twitter.com/NathanBLawrence/status/995398520868925441", "995398520868925441")</f>
        <v/>
      </c>
      <c r="B762" s="2" t="n">
        <v>43232.84809027778</v>
      </c>
      <c r="C762" t="n">
        <v>0</v>
      </c>
      <c r="D762" t="n">
        <v>1</v>
      </c>
      <c r="E762" t="s">
        <v>766</v>
      </c>
      <c r="F762" t="s"/>
      <c r="G762" t="s"/>
      <c r="H762" t="s"/>
      <c r="I762" t="s"/>
      <c r="J762" t="n">
        <v>-0.2732</v>
      </c>
      <c r="K762" t="n">
        <v>0.219</v>
      </c>
      <c r="L762" t="n">
        <v>0.601</v>
      </c>
      <c r="M762" t="n">
        <v>0.18</v>
      </c>
    </row>
    <row r="763" spans="1:13">
      <c r="A763" s="1">
        <f>HYPERLINK("http://www.twitter.com/NathanBLawrence/status/995398486492368896", "995398486492368896")</f>
        <v/>
      </c>
      <c r="B763" s="2" t="n">
        <v>43232.84799768519</v>
      </c>
      <c r="C763" t="n">
        <v>0</v>
      </c>
      <c r="D763" t="n">
        <v>8</v>
      </c>
      <c r="E763" t="s">
        <v>767</v>
      </c>
      <c r="F763" t="s"/>
      <c r="G763" t="s"/>
      <c r="H763" t="s"/>
      <c r="I763" t="s"/>
      <c r="J763" t="n">
        <v>-0.296</v>
      </c>
      <c r="K763" t="n">
        <v>0.239</v>
      </c>
      <c r="L763" t="n">
        <v>0.761</v>
      </c>
      <c r="M763" t="n">
        <v>0</v>
      </c>
    </row>
    <row r="764" spans="1:13">
      <c r="A764" s="1">
        <f>HYPERLINK("http://www.twitter.com/NathanBLawrence/status/995398444876554240", "995398444876554240")</f>
        <v/>
      </c>
      <c r="B764" s="2" t="n">
        <v>43232.84788194444</v>
      </c>
      <c r="C764" t="n">
        <v>0</v>
      </c>
      <c r="D764" t="n">
        <v>9</v>
      </c>
      <c r="E764" t="s">
        <v>768</v>
      </c>
      <c r="F764">
        <f>HYPERLINK("http://pbs.twimg.com/media/Dc_xeNSVQAAbpb9.jpg", "http://pbs.twimg.com/media/Dc_xeNSVQAAbpb9.jpg")</f>
        <v/>
      </c>
      <c r="G764" t="s"/>
      <c r="H764" t="s"/>
      <c r="I764" t="s"/>
      <c r="J764" t="n">
        <v>0</v>
      </c>
      <c r="K764" t="n">
        <v>0</v>
      </c>
      <c r="L764" t="n">
        <v>1</v>
      </c>
      <c r="M764" t="n">
        <v>0</v>
      </c>
    </row>
    <row r="765" spans="1:13">
      <c r="A765" s="1">
        <f>HYPERLINK("http://www.twitter.com/NathanBLawrence/status/995398405546536960", "995398405546536960")</f>
        <v/>
      </c>
      <c r="B765" s="2" t="n">
        <v>43232.84777777778</v>
      </c>
      <c r="C765" t="n">
        <v>0</v>
      </c>
      <c r="D765" t="n">
        <v>5</v>
      </c>
      <c r="E765" t="s">
        <v>769</v>
      </c>
      <c r="F765" t="s"/>
      <c r="G765" t="s"/>
      <c r="H765" t="s"/>
      <c r="I765" t="s"/>
      <c r="J765" t="n">
        <v>0.4404</v>
      </c>
      <c r="K765" t="n">
        <v>0.108</v>
      </c>
      <c r="L765" t="n">
        <v>0.6899999999999999</v>
      </c>
      <c r="M765" t="n">
        <v>0.202</v>
      </c>
    </row>
    <row r="766" spans="1:13">
      <c r="A766" s="1">
        <f>HYPERLINK("http://www.twitter.com/NathanBLawrence/status/995398384168120325", "995398384168120325")</f>
        <v/>
      </c>
      <c r="B766" s="2" t="n">
        <v>43232.8477199074</v>
      </c>
      <c r="C766" t="n">
        <v>0</v>
      </c>
      <c r="D766" t="n">
        <v>1</v>
      </c>
      <c r="E766" t="s">
        <v>770</v>
      </c>
      <c r="F766" t="s"/>
      <c r="G766" t="s"/>
      <c r="H766" t="s"/>
      <c r="I766" t="s"/>
      <c r="J766" t="n">
        <v>-0.3736</v>
      </c>
      <c r="K766" t="n">
        <v>0.125</v>
      </c>
      <c r="L766" t="n">
        <v>0.875</v>
      </c>
      <c r="M766" t="n">
        <v>0</v>
      </c>
    </row>
    <row r="767" spans="1:13">
      <c r="A767" s="1">
        <f>HYPERLINK("http://www.twitter.com/NathanBLawrence/status/995398336546041856", "995398336546041856")</f>
        <v/>
      </c>
      <c r="B767" s="2" t="n">
        <v>43232.84758101852</v>
      </c>
      <c r="C767" t="n">
        <v>0</v>
      </c>
      <c r="D767" t="n">
        <v>0</v>
      </c>
      <c r="E767" t="s">
        <v>771</v>
      </c>
      <c r="F767" t="s"/>
      <c r="G767" t="s"/>
      <c r="H767" t="s"/>
      <c r="I767" t="s"/>
      <c r="J767" t="n">
        <v>0.5266999999999999</v>
      </c>
      <c r="K767" t="n">
        <v>0</v>
      </c>
      <c r="L767" t="n">
        <v>0.732</v>
      </c>
      <c r="M767" t="n">
        <v>0.268</v>
      </c>
    </row>
    <row r="768" spans="1:13">
      <c r="A768" s="1">
        <f>HYPERLINK("http://www.twitter.com/NathanBLawrence/status/995397973847756800", "995397973847756800")</f>
        <v/>
      </c>
      <c r="B768" s="2" t="n">
        <v>43232.84658564815</v>
      </c>
      <c r="C768" t="n">
        <v>0</v>
      </c>
      <c r="D768" t="n">
        <v>13</v>
      </c>
      <c r="E768" t="s">
        <v>772</v>
      </c>
      <c r="F768">
        <f>HYPERLINK("http://pbs.twimg.com/media/DdBJcgjVMAAZeSX.jpg", "http://pbs.twimg.com/media/DdBJcgjVMAAZeSX.jpg")</f>
        <v/>
      </c>
      <c r="G768" t="s"/>
      <c r="H768" t="s"/>
      <c r="I768" t="s"/>
      <c r="J768" t="n">
        <v>0</v>
      </c>
      <c r="K768" t="n">
        <v>0</v>
      </c>
      <c r="L768" t="n">
        <v>1</v>
      </c>
      <c r="M768" t="n">
        <v>0</v>
      </c>
    </row>
    <row r="769" spans="1:13">
      <c r="A769" s="1">
        <f>HYPERLINK("http://www.twitter.com/NathanBLawrence/status/995397628002275336", "995397628002275336")</f>
        <v/>
      </c>
      <c r="B769" s="2" t="n">
        <v>43232.845625</v>
      </c>
      <c r="C769" t="n">
        <v>0</v>
      </c>
      <c r="D769" t="n">
        <v>0</v>
      </c>
      <c r="E769" t="s">
        <v>773</v>
      </c>
      <c r="F769" t="s"/>
      <c r="G769" t="s"/>
      <c r="H769" t="s"/>
      <c r="I769" t="s"/>
      <c r="J769" t="n">
        <v>-0.9332</v>
      </c>
      <c r="K769" t="n">
        <v>0.26</v>
      </c>
      <c r="L769" t="n">
        <v>0.74</v>
      </c>
      <c r="M769" t="n">
        <v>0</v>
      </c>
    </row>
    <row r="770" spans="1:13">
      <c r="A770" s="1">
        <f>HYPERLINK("http://www.twitter.com/NathanBLawrence/status/995393822183120896", "995393822183120896")</f>
        <v/>
      </c>
      <c r="B770" s="2" t="n">
        <v>43232.83512731481</v>
      </c>
      <c r="C770" t="n">
        <v>1</v>
      </c>
      <c r="D770" t="n">
        <v>1</v>
      </c>
      <c r="E770" t="s">
        <v>774</v>
      </c>
      <c r="F770" t="s"/>
      <c r="G770" t="s"/>
      <c r="H770" t="s"/>
      <c r="I770" t="s"/>
      <c r="J770" t="n">
        <v>-0.4871</v>
      </c>
      <c r="K770" t="n">
        <v>0.07000000000000001</v>
      </c>
      <c r="L770" t="n">
        <v>0.93</v>
      </c>
      <c r="M770" t="n">
        <v>0</v>
      </c>
    </row>
    <row r="771" spans="1:13">
      <c r="A771" s="1">
        <f>HYPERLINK("http://www.twitter.com/NathanBLawrence/status/995373821384450051", "995373821384450051")</f>
        <v/>
      </c>
      <c r="B771" s="2" t="n">
        <v>43232.77993055555</v>
      </c>
      <c r="C771" t="n">
        <v>0</v>
      </c>
      <c r="D771" t="n">
        <v>3</v>
      </c>
      <c r="E771" t="s">
        <v>775</v>
      </c>
      <c r="F771" t="s"/>
      <c r="G771" t="s"/>
      <c r="H771" t="s"/>
      <c r="I771" t="s"/>
      <c r="J771" t="n">
        <v>0</v>
      </c>
      <c r="K771" t="n">
        <v>0</v>
      </c>
      <c r="L771" t="n">
        <v>1</v>
      </c>
      <c r="M771" t="n">
        <v>0</v>
      </c>
    </row>
    <row r="772" spans="1:13">
      <c r="A772" s="1">
        <f>HYPERLINK("http://www.twitter.com/NathanBLawrence/status/995366272492765184", "995366272492765184")</f>
        <v/>
      </c>
      <c r="B772" s="2" t="n">
        <v>43232.75910879629</v>
      </c>
      <c r="C772" t="n">
        <v>0</v>
      </c>
      <c r="D772" t="n">
        <v>10</v>
      </c>
      <c r="E772" t="s">
        <v>776</v>
      </c>
      <c r="F772" t="s"/>
      <c r="G772" t="s"/>
      <c r="H772" t="s"/>
      <c r="I772" t="s"/>
      <c r="J772" t="n">
        <v>0</v>
      </c>
      <c r="K772" t="n">
        <v>0</v>
      </c>
      <c r="L772" t="n">
        <v>1</v>
      </c>
      <c r="M772" t="n">
        <v>0</v>
      </c>
    </row>
    <row r="773" spans="1:13">
      <c r="A773" s="1">
        <f>HYPERLINK("http://www.twitter.com/NathanBLawrence/status/995366270605414401", "995366270605414401")</f>
        <v/>
      </c>
      <c r="B773" s="2" t="n">
        <v>43232.75909722222</v>
      </c>
      <c r="C773" t="n">
        <v>4</v>
      </c>
      <c r="D773" t="n">
        <v>1</v>
      </c>
      <c r="E773" t="s">
        <v>777</v>
      </c>
      <c r="F773" t="s"/>
      <c r="G773" t="s"/>
      <c r="H773" t="s"/>
      <c r="I773" t="s"/>
      <c r="J773" t="n">
        <v>-0.2732</v>
      </c>
      <c r="K773" t="n">
        <v>0.219</v>
      </c>
      <c r="L773" t="n">
        <v>0.601</v>
      </c>
      <c r="M773" t="n">
        <v>0.18</v>
      </c>
    </row>
    <row r="774" spans="1:13">
      <c r="A774" s="1">
        <f>HYPERLINK("http://www.twitter.com/NathanBLawrence/status/995352458158313472", "995352458158313472")</f>
        <v/>
      </c>
      <c r="B774" s="2" t="n">
        <v>43232.72098379629</v>
      </c>
      <c r="C774" t="n">
        <v>5</v>
      </c>
      <c r="D774" t="n">
        <v>4</v>
      </c>
      <c r="E774" t="s">
        <v>778</v>
      </c>
      <c r="F774" t="s"/>
      <c r="G774" t="s"/>
      <c r="H774" t="s"/>
      <c r="I774" t="s"/>
      <c r="J774" t="n">
        <v>0.4404</v>
      </c>
      <c r="K774" t="n">
        <v>0.048</v>
      </c>
      <c r="L774" t="n">
        <v>0.839</v>
      </c>
      <c r="M774" t="n">
        <v>0.113</v>
      </c>
    </row>
    <row r="775" spans="1:13">
      <c r="A775" s="1">
        <f>HYPERLINK("http://www.twitter.com/NathanBLawrence/status/995351598875512833", "995351598875512833")</f>
        <v/>
      </c>
      <c r="B775" s="2" t="n">
        <v>43232.71861111111</v>
      </c>
      <c r="C775" t="n">
        <v>0</v>
      </c>
      <c r="D775" t="n">
        <v>0</v>
      </c>
      <c r="E775" t="s">
        <v>779</v>
      </c>
      <c r="F775">
        <f>HYPERLINK("http://pbs.twimg.com/media/DdAzACHVMAA_9wU.jpg", "http://pbs.twimg.com/media/DdAzACHVMAA_9wU.jpg")</f>
        <v/>
      </c>
      <c r="G775" t="s"/>
      <c r="H775" t="s"/>
      <c r="I775" t="s"/>
      <c r="J775" t="n">
        <v>-0.372</v>
      </c>
      <c r="K775" t="n">
        <v>0.132</v>
      </c>
      <c r="L775" t="n">
        <v>0.768</v>
      </c>
      <c r="M775" t="n">
        <v>0.1</v>
      </c>
    </row>
    <row r="776" spans="1:13">
      <c r="A776" s="1">
        <f>HYPERLINK("http://www.twitter.com/NathanBLawrence/status/995350751919689728", "995350751919689728")</f>
        <v/>
      </c>
      <c r="B776" s="2" t="n">
        <v>43232.71627314815</v>
      </c>
      <c r="C776" t="n">
        <v>3</v>
      </c>
      <c r="D776" t="n">
        <v>2</v>
      </c>
      <c r="E776" t="s">
        <v>780</v>
      </c>
      <c r="F776" t="s"/>
      <c r="G776" t="s"/>
      <c r="H776" t="s"/>
      <c r="I776" t="s"/>
      <c r="J776" t="n">
        <v>0.5434</v>
      </c>
      <c r="K776" t="n">
        <v>0.143</v>
      </c>
      <c r="L776" t="n">
        <v>0.584</v>
      </c>
      <c r="M776" t="n">
        <v>0.274</v>
      </c>
    </row>
    <row r="777" spans="1:13">
      <c r="A777" s="1">
        <f>HYPERLINK("http://www.twitter.com/NathanBLawrence/status/995350085620977670", "995350085620977670")</f>
        <v/>
      </c>
      <c r="B777" s="2" t="n">
        <v>43232.71443287037</v>
      </c>
      <c r="C777" t="n">
        <v>0</v>
      </c>
      <c r="D777" t="n">
        <v>0</v>
      </c>
      <c r="E777" t="s">
        <v>781</v>
      </c>
      <c r="F777" t="s"/>
      <c r="G777" t="s"/>
      <c r="H777" t="s"/>
      <c r="I777" t="s"/>
      <c r="J777" t="n">
        <v>-0.9418</v>
      </c>
      <c r="K777" t="n">
        <v>0.289</v>
      </c>
      <c r="L777" t="n">
        <v>0.661</v>
      </c>
      <c r="M777" t="n">
        <v>0.05</v>
      </c>
    </row>
    <row r="778" spans="1:13">
      <c r="A778" s="1">
        <f>HYPERLINK("http://www.twitter.com/NathanBLawrence/status/995348524974903296", "995348524974903296")</f>
        <v/>
      </c>
      <c r="B778" s="2" t="n">
        <v>43232.71012731481</v>
      </c>
      <c r="C778" t="n">
        <v>2</v>
      </c>
      <c r="D778" t="n">
        <v>1</v>
      </c>
      <c r="E778" t="s">
        <v>782</v>
      </c>
      <c r="F778" t="s"/>
      <c r="G778" t="s"/>
      <c r="H778" t="s"/>
      <c r="I778" t="s"/>
      <c r="J778" t="n">
        <v>0.2732</v>
      </c>
      <c r="K778" t="n">
        <v>0.03</v>
      </c>
      <c r="L778" t="n">
        <v>0.917</v>
      </c>
      <c r="M778" t="n">
        <v>0.053</v>
      </c>
    </row>
    <row r="779" spans="1:13">
      <c r="A779" s="1">
        <f>HYPERLINK("http://www.twitter.com/NathanBLawrence/status/995123560023764992", "995123560023764992")</f>
        <v/>
      </c>
      <c r="B779" s="2" t="n">
        <v>43232.08934027778</v>
      </c>
      <c r="C779" t="n">
        <v>0</v>
      </c>
      <c r="D779" t="n">
        <v>1</v>
      </c>
      <c r="E779" t="s">
        <v>783</v>
      </c>
      <c r="F779" t="s"/>
      <c r="G779" t="s"/>
      <c r="H779" t="s"/>
      <c r="I779" t="s"/>
      <c r="J779" t="n">
        <v>0</v>
      </c>
      <c r="K779" t="n">
        <v>0</v>
      </c>
      <c r="L779" t="n">
        <v>1</v>
      </c>
      <c r="M779" t="n">
        <v>0</v>
      </c>
    </row>
    <row r="780" spans="1:13">
      <c r="A780" s="1">
        <f>HYPERLINK("http://www.twitter.com/NathanBLawrence/status/995123499231563776", "995123499231563776")</f>
        <v/>
      </c>
      <c r="B780" s="2" t="n">
        <v>43232.08917824074</v>
      </c>
      <c r="C780" t="n">
        <v>1</v>
      </c>
      <c r="D780" t="n">
        <v>1</v>
      </c>
      <c r="E780" t="s">
        <v>784</v>
      </c>
      <c r="F780" t="s"/>
      <c r="G780" t="s"/>
      <c r="H780" t="s"/>
      <c r="I780" t="s"/>
      <c r="J780" t="n">
        <v>0</v>
      </c>
      <c r="K780" t="n">
        <v>0</v>
      </c>
      <c r="L780" t="n">
        <v>1</v>
      </c>
      <c r="M780" t="n">
        <v>0</v>
      </c>
    </row>
    <row r="781" spans="1:13">
      <c r="A781" s="1">
        <f>HYPERLINK("http://www.twitter.com/NathanBLawrence/status/995122310125379584", "995122310125379584")</f>
        <v/>
      </c>
      <c r="B781" s="2" t="n">
        <v>43232.0858912037</v>
      </c>
      <c r="C781" t="n">
        <v>0</v>
      </c>
      <c r="D781" t="n">
        <v>0</v>
      </c>
      <c r="E781" t="s">
        <v>785</v>
      </c>
      <c r="F781" t="s"/>
      <c r="G781" t="s"/>
      <c r="H781" t="s"/>
      <c r="I781" t="s"/>
      <c r="J781" t="n">
        <v>0.3818</v>
      </c>
      <c r="K781" t="n">
        <v>0</v>
      </c>
      <c r="L781" t="n">
        <v>0.898</v>
      </c>
      <c r="M781" t="n">
        <v>0.102</v>
      </c>
    </row>
    <row r="782" spans="1:13">
      <c r="A782" s="1">
        <f>HYPERLINK("http://www.twitter.com/NathanBLawrence/status/995031775880667136", "995031775880667136")</f>
        <v/>
      </c>
      <c r="B782" s="2" t="n">
        <v>43231.83606481482</v>
      </c>
      <c r="C782" t="n">
        <v>0</v>
      </c>
      <c r="D782" t="n">
        <v>5</v>
      </c>
      <c r="E782" t="s">
        <v>786</v>
      </c>
      <c r="F782">
        <f>HYPERLINK("http://pbs.twimg.com/media/Dcytg0aW4AINAuW.jpg", "http://pbs.twimg.com/media/Dcytg0aW4AINAuW.jpg")</f>
        <v/>
      </c>
      <c r="G782" t="s"/>
      <c r="H782" t="s"/>
      <c r="I782" t="s"/>
      <c r="J782" t="n">
        <v>-0.4402</v>
      </c>
      <c r="K782" t="n">
        <v>0.234</v>
      </c>
      <c r="L782" t="n">
        <v>0.622</v>
      </c>
      <c r="M782" t="n">
        <v>0.143</v>
      </c>
    </row>
    <row r="783" spans="1:13">
      <c r="A783" s="1">
        <f>HYPERLINK("http://www.twitter.com/NathanBLawrence/status/995031685367549952", "995031685367549952")</f>
        <v/>
      </c>
      <c r="B783" s="2" t="n">
        <v>43231.83582175926</v>
      </c>
      <c r="C783" t="n">
        <v>0</v>
      </c>
      <c r="D783" t="n">
        <v>10</v>
      </c>
      <c r="E783" t="s">
        <v>787</v>
      </c>
      <c r="F783" t="s"/>
      <c r="G783" t="s"/>
      <c r="H783" t="s"/>
      <c r="I783" t="s"/>
      <c r="J783" t="n">
        <v>0</v>
      </c>
      <c r="K783" t="n">
        <v>0</v>
      </c>
      <c r="L783" t="n">
        <v>1</v>
      </c>
      <c r="M783" t="n">
        <v>0</v>
      </c>
    </row>
    <row r="784" spans="1:13">
      <c r="A784" s="1">
        <f>HYPERLINK("http://www.twitter.com/NathanBLawrence/status/995028872558194689", "995028872558194689")</f>
        <v/>
      </c>
      <c r="B784" s="2" t="n">
        <v>43231.82805555555</v>
      </c>
      <c r="C784" t="n">
        <v>1</v>
      </c>
      <c r="D784" t="n">
        <v>1</v>
      </c>
      <c r="E784" t="s">
        <v>788</v>
      </c>
      <c r="F784" t="s"/>
      <c r="G784" t="s"/>
      <c r="H784" t="s"/>
      <c r="I784" t="s"/>
      <c r="J784" t="n">
        <v>-0.2263</v>
      </c>
      <c r="K784" t="n">
        <v>0.197</v>
      </c>
      <c r="L784" t="n">
        <v>0.643</v>
      </c>
      <c r="M784" t="n">
        <v>0.16</v>
      </c>
    </row>
    <row r="785" spans="1:13">
      <c r="A785" s="1">
        <f>HYPERLINK("http://www.twitter.com/NathanBLawrence/status/995027835940110337", "995027835940110337")</f>
        <v/>
      </c>
      <c r="B785" s="2" t="n">
        <v>43231.82519675926</v>
      </c>
      <c r="C785" t="n">
        <v>0</v>
      </c>
      <c r="D785" t="n">
        <v>2</v>
      </c>
      <c r="E785" t="s">
        <v>789</v>
      </c>
      <c r="F785" t="s"/>
      <c r="G785" t="s"/>
      <c r="H785" t="s"/>
      <c r="I785" t="s"/>
      <c r="J785" t="n">
        <v>0.5878</v>
      </c>
      <c r="K785" t="n">
        <v>0</v>
      </c>
      <c r="L785" t="n">
        <v>0.827</v>
      </c>
      <c r="M785" t="n">
        <v>0.173</v>
      </c>
    </row>
    <row r="786" spans="1:13">
      <c r="A786" s="1">
        <f>HYPERLINK("http://www.twitter.com/NathanBLawrence/status/995027778402693121", "995027778402693121")</f>
        <v/>
      </c>
      <c r="B786" s="2" t="n">
        <v>43231.82503472222</v>
      </c>
      <c r="C786" t="n">
        <v>0</v>
      </c>
      <c r="D786" t="n">
        <v>7</v>
      </c>
      <c r="E786" t="s">
        <v>790</v>
      </c>
      <c r="F786" t="s"/>
      <c r="G786" t="s"/>
      <c r="H786" t="s"/>
      <c r="I786" t="s"/>
      <c r="J786" t="n">
        <v>0.0762</v>
      </c>
      <c r="K786" t="n">
        <v>0</v>
      </c>
      <c r="L786" t="n">
        <v>0.947</v>
      </c>
      <c r="M786" t="n">
        <v>0.053</v>
      </c>
    </row>
    <row r="787" spans="1:13">
      <c r="A787" s="1">
        <f>HYPERLINK("http://www.twitter.com/NathanBLawrence/status/995027758421102593", "995027758421102593")</f>
        <v/>
      </c>
      <c r="B787" s="2" t="n">
        <v>43231.82497685185</v>
      </c>
      <c r="C787" t="n">
        <v>0</v>
      </c>
      <c r="D787" t="n">
        <v>3</v>
      </c>
      <c r="E787" t="s">
        <v>791</v>
      </c>
      <c r="F787" t="s"/>
      <c r="G787" t="s"/>
      <c r="H787" t="s"/>
      <c r="I787" t="s"/>
      <c r="J787" t="n">
        <v>0</v>
      </c>
      <c r="K787" t="n">
        <v>0</v>
      </c>
      <c r="L787" t="n">
        <v>1</v>
      </c>
      <c r="M787" t="n">
        <v>0</v>
      </c>
    </row>
    <row r="788" spans="1:13">
      <c r="A788" s="1">
        <f>HYPERLINK("http://www.twitter.com/NathanBLawrence/status/995027629974704128", "995027629974704128")</f>
        <v/>
      </c>
      <c r="B788" s="2" t="n">
        <v>43231.82462962963</v>
      </c>
      <c r="C788" t="n">
        <v>0</v>
      </c>
      <c r="D788" t="n">
        <v>0</v>
      </c>
      <c r="E788" t="s">
        <v>792</v>
      </c>
      <c r="F788" t="s"/>
      <c r="G788" t="s"/>
      <c r="H788" t="s"/>
      <c r="I788" t="s"/>
      <c r="J788" t="n">
        <v>0</v>
      </c>
      <c r="K788" t="n">
        <v>0</v>
      </c>
      <c r="L788" t="n">
        <v>1</v>
      </c>
      <c r="M788" t="n">
        <v>0</v>
      </c>
    </row>
    <row r="789" spans="1:13">
      <c r="A789" s="1">
        <f>HYPERLINK("http://www.twitter.com/NathanBLawrence/status/995027538471735296", "995027538471735296")</f>
        <v/>
      </c>
      <c r="B789" s="2" t="n">
        <v>43231.824375</v>
      </c>
      <c r="C789" t="n">
        <v>0</v>
      </c>
      <c r="D789" t="n">
        <v>1</v>
      </c>
      <c r="E789" t="s">
        <v>793</v>
      </c>
      <c r="F789" t="s"/>
      <c r="G789" t="s"/>
      <c r="H789" t="s"/>
      <c r="I789" t="s"/>
      <c r="J789" t="n">
        <v>-0.4019</v>
      </c>
      <c r="K789" t="n">
        <v>0.252</v>
      </c>
      <c r="L789" t="n">
        <v>0.748</v>
      </c>
      <c r="M789" t="n">
        <v>0</v>
      </c>
    </row>
    <row r="790" spans="1:13">
      <c r="A790" s="1">
        <f>HYPERLINK("http://www.twitter.com/NathanBLawrence/status/995027486944608256", "995027486944608256")</f>
        <v/>
      </c>
      <c r="B790" s="2" t="n">
        <v>43231.82423611111</v>
      </c>
      <c r="C790" t="n">
        <v>0</v>
      </c>
      <c r="D790" t="n">
        <v>4</v>
      </c>
      <c r="E790" t="s">
        <v>794</v>
      </c>
      <c r="F790" t="s"/>
      <c r="G790" t="s"/>
      <c r="H790" t="s"/>
      <c r="I790" t="s"/>
      <c r="J790" t="n">
        <v>-0.5106000000000001</v>
      </c>
      <c r="K790" t="n">
        <v>0.147</v>
      </c>
      <c r="L790" t="n">
        <v>0.853</v>
      </c>
      <c r="M790" t="n">
        <v>0</v>
      </c>
    </row>
    <row r="791" spans="1:13">
      <c r="A791" s="1">
        <f>HYPERLINK("http://www.twitter.com/NathanBLawrence/status/995027435728130048", "995027435728130048")</f>
        <v/>
      </c>
      <c r="B791" s="2" t="n">
        <v>43231.82409722222</v>
      </c>
      <c r="C791" t="n">
        <v>0</v>
      </c>
      <c r="D791" t="n">
        <v>65</v>
      </c>
      <c r="E791" t="s">
        <v>795</v>
      </c>
      <c r="F791" t="s"/>
      <c r="G791" t="s"/>
      <c r="H791" t="s"/>
      <c r="I791" t="s"/>
      <c r="J791" t="n">
        <v>-0.7579</v>
      </c>
      <c r="K791" t="n">
        <v>0.255</v>
      </c>
      <c r="L791" t="n">
        <v>0.745</v>
      </c>
      <c r="M791" t="n">
        <v>0</v>
      </c>
    </row>
    <row r="792" spans="1:13">
      <c r="A792" s="1">
        <f>HYPERLINK("http://www.twitter.com/NathanBLawrence/status/995027406258925568", "995027406258925568")</f>
        <v/>
      </c>
      <c r="B792" s="2" t="n">
        <v>43231.8240162037</v>
      </c>
      <c r="C792" t="n">
        <v>0</v>
      </c>
      <c r="D792" t="n">
        <v>3</v>
      </c>
      <c r="E792" t="s">
        <v>796</v>
      </c>
      <c r="F792" t="s"/>
      <c r="G792" t="s"/>
      <c r="H792" t="s"/>
      <c r="I792" t="s"/>
      <c r="J792" t="n">
        <v>0.0201</v>
      </c>
      <c r="K792" t="n">
        <v>0.157</v>
      </c>
      <c r="L792" t="n">
        <v>0.6840000000000001</v>
      </c>
      <c r="M792" t="n">
        <v>0.159</v>
      </c>
    </row>
    <row r="793" spans="1:13">
      <c r="A793" s="1">
        <f>HYPERLINK("http://www.twitter.com/NathanBLawrence/status/995027370762436609", "995027370762436609")</f>
        <v/>
      </c>
      <c r="B793" s="2" t="n">
        <v>43231.82391203703</v>
      </c>
      <c r="C793" t="n">
        <v>0</v>
      </c>
      <c r="D793" t="n">
        <v>2</v>
      </c>
      <c r="E793" t="s">
        <v>797</v>
      </c>
      <c r="F793" t="s"/>
      <c r="G793" t="s"/>
      <c r="H793" t="s"/>
      <c r="I793" t="s"/>
      <c r="J793" t="n">
        <v>-0.1027</v>
      </c>
      <c r="K793" t="n">
        <v>0.062</v>
      </c>
      <c r="L793" t="n">
        <v>0.9379999999999999</v>
      </c>
      <c r="M793" t="n">
        <v>0</v>
      </c>
    </row>
    <row r="794" spans="1:13">
      <c r="A794" s="1">
        <f>HYPERLINK("http://www.twitter.com/NathanBLawrence/status/995027240609046528", "995027240609046528")</f>
        <v/>
      </c>
      <c r="B794" s="2" t="n">
        <v>43231.82355324074</v>
      </c>
      <c r="C794" t="n">
        <v>0</v>
      </c>
      <c r="D794" t="n">
        <v>0</v>
      </c>
      <c r="E794" t="s">
        <v>798</v>
      </c>
      <c r="F794" t="s"/>
      <c r="G794" t="s"/>
      <c r="H794" t="s"/>
      <c r="I794" t="s"/>
      <c r="J794" t="n">
        <v>0</v>
      </c>
      <c r="K794" t="n">
        <v>0</v>
      </c>
      <c r="L794" t="n">
        <v>1</v>
      </c>
      <c r="M794" t="n">
        <v>0</v>
      </c>
    </row>
    <row r="795" spans="1:13">
      <c r="A795" s="1">
        <f>HYPERLINK("http://www.twitter.com/NathanBLawrence/status/995027208908476418", "995027208908476418")</f>
        <v/>
      </c>
      <c r="B795" s="2" t="n">
        <v>43231.82346064815</v>
      </c>
      <c r="C795" t="n">
        <v>0</v>
      </c>
      <c r="D795" t="n">
        <v>4</v>
      </c>
      <c r="E795" t="s">
        <v>799</v>
      </c>
      <c r="F795" t="s"/>
      <c r="G795" t="s"/>
      <c r="H795" t="s"/>
      <c r="I795" t="s"/>
      <c r="J795" t="n">
        <v>-0.1531</v>
      </c>
      <c r="K795" t="n">
        <v>0.126</v>
      </c>
      <c r="L795" t="n">
        <v>0.8129999999999999</v>
      </c>
      <c r="M795" t="n">
        <v>0.061</v>
      </c>
    </row>
    <row r="796" spans="1:13">
      <c r="A796" s="1">
        <f>HYPERLINK("http://www.twitter.com/NathanBLawrence/status/995027166982262785", "995027166982262785")</f>
        <v/>
      </c>
      <c r="B796" s="2" t="n">
        <v>43231.82334490741</v>
      </c>
      <c r="C796" t="n">
        <v>2</v>
      </c>
      <c r="D796" t="n">
        <v>1</v>
      </c>
      <c r="E796" t="s">
        <v>800</v>
      </c>
      <c r="F796" t="s"/>
      <c r="G796" t="s"/>
      <c r="H796" t="s"/>
      <c r="I796" t="s"/>
      <c r="J796" t="n">
        <v>0</v>
      </c>
      <c r="K796" t="n">
        <v>0</v>
      </c>
      <c r="L796" t="n">
        <v>1</v>
      </c>
      <c r="M796" t="n">
        <v>0</v>
      </c>
    </row>
    <row r="797" spans="1:13">
      <c r="A797" s="1">
        <f>HYPERLINK("http://www.twitter.com/NathanBLawrence/status/995027136275795970", "995027136275795970")</f>
        <v/>
      </c>
      <c r="B797" s="2" t="n">
        <v>43231.82326388889</v>
      </c>
      <c r="C797" t="n">
        <v>0</v>
      </c>
      <c r="D797" t="n">
        <v>8</v>
      </c>
      <c r="E797" t="s">
        <v>801</v>
      </c>
      <c r="F797" t="s"/>
      <c r="G797" t="s"/>
      <c r="H797" t="s"/>
      <c r="I797" t="s"/>
      <c r="J797" t="n">
        <v>0.0516</v>
      </c>
      <c r="K797" t="n">
        <v>0.105</v>
      </c>
      <c r="L797" t="n">
        <v>0.781</v>
      </c>
      <c r="M797" t="n">
        <v>0.113</v>
      </c>
    </row>
    <row r="798" spans="1:13">
      <c r="A798" s="1">
        <f>HYPERLINK("http://www.twitter.com/NathanBLawrence/status/995027108614279169", "995027108614279169")</f>
        <v/>
      </c>
      <c r="B798" s="2" t="n">
        <v>43231.82319444444</v>
      </c>
      <c r="C798" t="n">
        <v>0</v>
      </c>
      <c r="D798" t="n">
        <v>1</v>
      </c>
      <c r="E798" t="s">
        <v>802</v>
      </c>
      <c r="F798" t="s"/>
      <c r="G798" t="s"/>
      <c r="H798" t="s"/>
      <c r="I798" t="s"/>
      <c r="J798" t="n">
        <v>0</v>
      </c>
      <c r="K798" t="n">
        <v>0</v>
      </c>
      <c r="L798" t="n">
        <v>1</v>
      </c>
      <c r="M798" t="n">
        <v>0</v>
      </c>
    </row>
    <row r="799" spans="1:13">
      <c r="A799" s="1">
        <f>HYPERLINK("http://www.twitter.com/NathanBLawrence/status/995026103982084096", "995026103982084096")</f>
        <v/>
      </c>
      <c r="B799" s="2" t="n">
        <v>43231.82041666667</v>
      </c>
      <c r="C799" t="n">
        <v>0</v>
      </c>
      <c r="D799" t="n">
        <v>1</v>
      </c>
      <c r="E799" t="s">
        <v>803</v>
      </c>
      <c r="F799" t="s"/>
      <c r="G799" t="s"/>
      <c r="H799" t="s"/>
      <c r="I799" t="s"/>
      <c r="J799" t="n">
        <v>-0.1779</v>
      </c>
      <c r="K799" t="n">
        <v>0.188</v>
      </c>
      <c r="L799" t="n">
        <v>0.663</v>
      </c>
      <c r="M799" t="n">
        <v>0.149</v>
      </c>
    </row>
    <row r="800" spans="1:13">
      <c r="A800" s="1">
        <f>HYPERLINK("http://www.twitter.com/NathanBLawrence/status/995016358504083457", "995016358504083457")</f>
        <v/>
      </c>
      <c r="B800" s="2" t="n">
        <v>43231.79353009259</v>
      </c>
      <c r="C800" t="n">
        <v>0</v>
      </c>
      <c r="D800" t="n">
        <v>10</v>
      </c>
      <c r="E800" t="s">
        <v>804</v>
      </c>
      <c r="F800" t="s"/>
      <c r="G800" t="s"/>
      <c r="H800" t="s"/>
      <c r="I800" t="s"/>
      <c r="J800" t="n">
        <v>-0.5266999999999999</v>
      </c>
      <c r="K800" t="n">
        <v>0.161</v>
      </c>
      <c r="L800" t="n">
        <v>0.839</v>
      </c>
      <c r="M800" t="n">
        <v>0</v>
      </c>
    </row>
    <row r="801" spans="1:13">
      <c r="A801" s="1">
        <f>HYPERLINK("http://www.twitter.com/NathanBLawrence/status/995004102777196545", "995004102777196545")</f>
        <v/>
      </c>
      <c r="B801" s="2" t="n">
        <v>43231.75971064815</v>
      </c>
      <c r="C801" t="n">
        <v>0</v>
      </c>
      <c r="D801" t="n">
        <v>2</v>
      </c>
      <c r="E801" t="s">
        <v>805</v>
      </c>
      <c r="F801" t="s"/>
      <c r="G801" t="s"/>
      <c r="H801" t="s"/>
      <c r="I801" t="s"/>
      <c r="J801" t="n">
        <v>0</v>
      </c>
      <c r="K801" t="n">
        <v>0</v>
      </c>
      <c r="L801" t="n">
        <v>1</v>
      </c>
      <c r="M801" t="n">
        <v>0</v>
      </c>
    </row>
    <row r="802" spans="1:13">
      <c r="A802" s="1">
        <f>HYPERLINK("http://www.twitter.com/NathanBLawrence/status/995000535815245824", "995000535815245824")</f>
        <v/>
      </c>
      <c r="B802" s="2" t="n">
        <v>43231.74986111111</v>
      </c>
      <c r="C802" t="n">
        <v>0</v>
      </c>
      <c r="D802" t="n">
        <v>16</v>
      </c>
      <c r="E802" t="s">
        <v>806</v>
      </c>
      <c r="F802">
        <f>HYPERLINK("http://pbs.twimg.com/media/DcDJLcNUQAAw3Le.jpg", "http://pbs.twimg.com/media/DcDJLcNUQAAw3Le.jpg")</f>
        <v/>
      </c>
      <c r="G802">
        <f>HYPERLINK("http://pbs.twimg.com/media/DcDJLcqU0AcXZcW.jpg", "http://pbs.twimg.com/media/DcDJLcqU0AcXZcW.jpg")</f>
        <v/>
      </c>
      <c r="H802">
        <f>HYPERLINK("http://pbs.twimg.com/media/DcDJLcMU0AItRbc.jpg", "http://pbs.twimg.com/media/DcDJLcMU0AItRbc.jpg")</f>
        <v/>
      </c>
      <c r="I802">
        <f>HYPERLINK("http://pbs.twimg.com/media/DcDJLcOU0AA1S0X.jpg", "http://pbs.twimg.com/media/DcDJLcOU0AA1S0X.jpg")</f>
        <v/>
      </c>
      <c r="J802" t="n">
        <v>0.926</v>
      </c>
      <c r="K802" t="n">
        <v>0</v>
      </c>
      <c r="L802" t="n">
        <v>0.453</v>
      </c>
      <c r="M802" t="n">
        <v>0.547</v>
      </c>
    </row>
    <row r="803" spans="1:13">
      <c r="A803" s="1">
        <f>HYPERLINK("http://www.twitter.com/NathanBLawrence/status/995000042246365184", "995000042246365184")</f>
        <v/>
      </c>
      <c r="B803" s="2" t="n">
        <v>43231.74849537037</v>
      </c>
      <c r="C803" t="n">
        <v>0</v>
      </c>
      <c r="D803" t="n">
        <v>1</v>
      </c>
      <c r="E803" t="s">
        <v>807</v>
      </c>
      <c r="F803" t="s"/>
      <c r="G803" t="s"/>
      <c r="H803" t="s"/>
      <c r="I803" t="s"/>
      <c r="J803" t="n">
        <v>0.5826</v>
      </c>
      <c r="K803" t="n">
        <v>0</v>
      </c>
      <c r="L803" t="n">
        <v>0.8179999999999999</v>
      </c>
      <c r="M803" t="n">
        <v>0.182</v>
      </c>
    </row>
    <row r="804" spans="1:13">
      <c r="A804" s="1">
        <f>HYPERLINK("http://www.twitter.com/NathanBLawrence/status/994998485631029250", "994998485631029250")</f>
        <v/>
      </c>
      <c r="B804" s="2" t="n">
        <v>43231.74420138889</v>
      </c>
      <c r="C804" t="n">
        <v>0</v>
      </c>
      <c r="D804" t="n">
        <v>6</v>
      </c>
      <c r="E804" t="s">
        <v>808</v>
      </c>
      <c r="F804" t="s"/>
      <c r="G804" t="s"/>
      <c r="H804" t="s"/>
      <c r="I804" t="s"/>
      <c r="J804" t="n">
        <v>0.1144</v>
      </c>
      <c r="K804" t="n">
        <v>0.104</v>
      </c>
      <c r="L804" t="n">
        <v>0.774</v>
      </c>
      <c r="M804" t="n">
        <v>0.122</v>
      </c>
    </row>
    <row r="805" spans="1:13">
      <c r="A805" s="1">
        <f>HYPERLINK("http://www.twitter.com/NathanBLawrence/status/994998344169779200", "994998344169779200")</f>
        <v/>
      </c>
      <c r="B805" s="2" t="n">
        <v>43231.74381944445</v>
      </c>
      <c r="C805" t="n">
        <v>0</v>
      </c>
      <c r="D805" t="n">
        <v>1</v>
      </c>
      <c r="E805" t="s">
        <v>809</v>
      </c>
      <c r="F805">
        <f>HYPERLINK("http://pbs.twimg.com/media/Dc3uFKIV0AAmUu6.jpg", "http://pbs.twimg.com/media/Dc3uFKIV0AAmUu6.jpg")</f>
        <v/>
      </c>
      <c r="G805" t="s"/>
      <c r="H805" t="s"/>
      <c r="I805" t="s"/>
      <c r="J805" t="n">
        <v>0</v>
      </c>
      <c r="K805" t="n">
        <v>0</v>
      </c>
      <c r="L805" t="n">
        <v>1</v>
      </c>
      <c r="M805" t="n">
        <v>0</v>
      </c>
    </row>
    <row r="806" spans="1:13">
      <c r="A806" s="1">
        <f>HYPERLINK("http://www.twitter.com/NathanBLawrence/status/994998305708040192", "994998305708040192")</f>
        <v/>
      </c>
      <c r="B806" s="2" t="n">
        <v>43231.7437037037</v>
      </c>
      <c r="C806" t="n">
        <v>0</v>
      </c>
      <c r="D806" t="n">
        <v>1</v>
      </c>
      <c r="E806" t="s">
        <v>810</v>
      </c>
      <c r="F806" t="s"/>
      <c r="G806" t="s"/>
      <c r="H806" t="s"/>
      <c r="I806" t="s"/>
      <c r="J806" t="n">
        <v>0</v>
      </c>
      <c r="K806" t="n">
        <v>0</v>
      </c>
      <c r="L806" t="n">
        <v>1</v>
      </c>
      <c r="M806" t="n">
        <v>0</v>
      </c>
    </row>
    <row r="807" spans="1:13">
      <c r="A807" s="1">
        <f>HYPERLINK("http://www.twitter.com/NathanBLawrence/status/994998229988249601", "994998229988249601")</f>
        <v/>
      </c>
      <c r="B807" s="2" t="n">
        <v>43231.74349537037</v>
      </c>
      <c r="C807" t="n">
        <v>0</v>
      </c>
      <c r="D807" t="n">
        <v>1</v>
      </c>
      <c r="E807" t="s">
        <v>811</v>
      </c>
      <c r="F807" t="s"/>
      <c r="G807" t="s"/>
      <c r="H807" t="s"/>
      <c r="I807" t="s"/>
      <c r="J807" t="n">
        <v>0</v>
      </c>
      <c r="K807" t="n">
        <v>0</v>
      </c>
      <c r="L807" t="n">
        <v>1</v>
      </c>
      <c r="M807" t="n">
        <v>0</v>
      </c>
    </row>
    <row r="808" spans="1:13">
      <c r="A808" s="1">
        <f>HYPERLINK("http://www.twitter.com/NathanBLawrence/status/994998204063154177", "994998204063154177")</f>
        <v/>
      </c>
      <c r="B808" s="2" t="n">
        <v>43231.74342592592</v>
      </c>
      <c r="C808" t="n">
        <v>0</v>
      </c>
      <c r="D808" t="n">
        <v>1</v>
      </c>
      <c r="E808" t="s">
        <v>812</v>
      </c>
      <c r="F808" t="s"/>
      <c r="G808" t="s"/>
      <c r="H808" t="s"/>
      <c r="I808" t="s"/>
      <c r="J808" t="n">
        <v>0.3313</v>
      </c>
      <c r="K808" t="n">
        <v>0</v>
      </c>
      <c r="L808" t="n">
        <v>0.89</v>
      </c>
      <c r="M808" t="n">
        <v>0.11</v>
      </c>
    </row>
    <row r="809" spans="1:13">
      <c r="A809" s="1">
        <f>HYPERLINK("http://www.twitter.com/NathanBLawrence/status/994998109100036096", "994998109100036096")</f>
        <v/>
      </c>
      <c r="B809" s="2" t="n">
        <v>43231.74317129629</v>
      </c>
      <c r="C809" t="n">
        <v>0</v>
      </c>
      <c r="D809" t="n">
        <v>1</v>
      </c>
      <c r="E809" t="s">
        <v>813</v>
      </c>
      <c r="F809" t="s"/>
      <c r="G809" t="s"/>
      <c r="H809" t="s"/>
      <c r="I809" t="s"/>
      <c r="J809" t="n">
        <v>0</v>
      </c>
      <c r="K809" t="n">
        <v>0</v>
      </c>
      <c r="L809" t="n">
        <v>1</v>
      </c>
      <c r="M809" t="n">
        <v>0</v>
      </c>
    </row>
    <row r="810" spans="1:13">
      <c r="A810" s="1">
        <f>HYPERLINK("http://www.twitter.com/NathanBLawrence/status/994998093878890497", "994998093878890497")</f>
        <v/>
      </c>
      <c r="B810" s="2" t="n">
        <v>43231.743125</v>
      </c>
      <c r="C810" t="n">
        <v>0</v>
      </c>
      <c r="D810" t="n">
        <v>1</v>
      </c>
      <c r="E810" t="s">
        <v>813</v>
      </c>
      <c r="F810" t="s"/>
      <c r="G810" t="s"/>
      <c r="H810" t="s"/>
      <c r="I810" t="s"/>
      <c r="J810" t="n">
        <v>0</v>
      </c>
      <c r="K810" t="n">
        <v>0</v>
      </c>
      <c r="L810" t="n">
        <v>1</v>
      </c>
      <c r="M810" t="n">
        <v>0</v>
      </c>
    </row>
    <row r="811" spans="1:13">
      <c r="A811" s="1">
        <f>HYPERLINK("http://www.twitter.com/NathanBLawrence/status/994998080553484294", "994998080553484294")</f>
        <v/>
      </c>
      <c r="B811" s="2" t="n">
        <v>43231.74309027778</v>
      </c>
      <c r="C811" t="n">
        <v>0</v>
      </c>
      <c r="D811" t="n">
        <v>1</v>
      </c>
      <c r="E811" t="s">
        <v>814</v>
      </c>
      <c r="F811" t="s"/>
      <c r="G811" t="s"/>
      <c r="H811" t="s"/>
      <c r="I811" t="s"/>
      <c r="J811" t="n">
        <v>0</v>
      </c>
      <c r="K811" t="n">
        <v>0</v>
      </c>
      <c r="L811" t="n">
        <v>1</v>
      </c>
      <c r="M811" t="n">
        <v>0</v>
      </c>
    </row>
    <row r="812" spans="1:13">
      <c r="A812" s="1">
        <f>HYPERLINK("http://www.twitter.com/NathanBLawrence/status/994998065638662150", "994998065638662150")</f>
        <v/>
      </c>
      <c r="B812" s="2" t="n">
        <v>43231.74304398148</v>
      </c>
      <c r="C812" t="n">
        <v>0</v>
      </c>
      <c r="D812" t="n">
        <v>1</v>
      </c>
      <c r="E812" t="s">
        <v>815</v>
      </c>
      <c r="F812" t="s"/>
      <c r="G812" t="s"/>
      <c r="H812" t="s"/>
      <c r="I812" t="s"/>
      <c r="J812" t="n">
        <v>0</v>
      </c>
      <c r="K812" t="n">
        <v>0</v>
      </c>
      <c r="L812" t="n">
        <v>1</v>
      </c>
      <c r="M812" t="n">
        <v>0</v>
      </c>
    </row>
    <row r="813" spans="1:13">
      <c r="A813" s="1">
        <f>HYPERLINK("http://www.twitter.com/NathanBLawrence/status/994998050278998017", "994998050278998017")</f>
        <v/>
      </c>
      <c r="B813" s="2" t="n">
        <v>43231.74300925926</v>
      </c>
      <c r="C813" t="n">
        <v>0</v>
      </c>
      <c r="D813" t="n">
        <v>1</v>
      </c>
      <c r="E813" t="s">
        <v>816</v>
      </c>
      <c r="F813">
        <f>HYPERLINK("http://pbs.twimg.com/media/Dc44NaJWkAEYdTD.jpg", "http://pbs.twimg.com/media/Dc44NaJWkAEYdTD.jpg")</f>
        <v/>
      </c>
      <c r="G813" t="s"/>
      <c r="H813" t="s"/>
      <c r="I813" t="s"/>
      <c r="J813" t="n">
        <v>0</v>
      </c>
      <c r="K813" t="n">
        <v>0</v>
      </c>
      <c r="L813" t="n">
        <v>1</v>
      </c>
      <c r="M813" t="n">
        <v>0</v>
      </c>
    </row>
    <row r="814" spans="1:13">
      <c r="A814" s="1">
        <f>HYPERLINK("http://www.twitter.com/NathanBLawrence/status/994998022181400578", "994998022181400578")</f>
        <v/>
      </c>
      <c r="B814" s="2" t="n">
        <v>43231.74292824074</v>
      </c>
      <c r="C814" t="n">
        <v>0</v>
      </c>
      <c r="D814" t="n">
        <v>1</v>
      </c>
      <c r="E814" t="s">
        <v>816</v>
      </c>
      <c r="F814" t="s"/>
      <c r="G814" t="s"/>
      <c r="H814" t="s"/>
      <c r="I814" t="s"/>
      <c r="J814" t="n">
        <v>0</v>
      </c>
      <c r="K814" t="n">
        <v>0</v>
      </c>
      <c r="L814" t="n">
        <v>1</v>
      </c>
      <c r="M814" t="n">
        <v>0</v>
      </c>
    </row>
    <row r="815" spans="1:13">
      <c r="A815" s="1">
        <f>HYPERLINK("http://www.twitter.com/NathanBLawrence/status/994997948080640010", "994997948080640010")</f>
        <v/>
      </c>
      <c r="B815" s="2" t="n">
        <v>43231.74271990741</v>
      </c>
      <c r="C815" t="n">
        <v>0</v>
      </c>
      <c r="D815" t="n">
        <v>1</v>
      </c>
      <c r="E815" t="s">
        <v>817</v>
      </c>
      <c r="F815" t="s"/>
      <c r="G815" t="s"/>
      <c r="H815" t="s"/>
      <c r="I815" t="s"/>
      <c r="J815" t="n">
        <v>-0.9231</v>
      </c>
      <c r="K815" t="n">
        <v>0.488</v>
      </c>
      <c r="L815" t="n">
        <v>0.512</v>
      </c>
      <c r="M815" t="n">
        <v>0</v>
      </c>
    </row>
    <row r="816" spans="1:13">
      <c r="A816" s="1">
        <f>HYPERLINK("http://www.twitter.com/NathanBLawrence/status/994997675434094593", "994997675434094593")</f>
        <v/>
      </c>
      <c r="B816" s="2" t="n">
        <v>43231.74196759259</v>
      </c>
      <c r="C816" t="n">
        <v>0</v>
      </c>
      <c r="D816" t="n">
        <v>2</v>
      </c>
      <c r="E816" t="s">
        <v>814</v>
      </c>
      <c r="F816" t="s"/>
      <c r="G816" t="s"/>
      <c r="H816" t="s"/>
      <c r="I816" t="s"/>
      <c r="J816" t="n">
        <v>0</v>
      </c>
      <c r="K816" t="n">
        <v>0</v>
      </c>
      <c r="L816" t="n">
        <v>1</v>
      </c>
      <c r="M816" t="n">
        <v>0</v>
      </c>
    </row>
    <row r="817" spans="1:13">
      <c r="A817" s="1">
        <f>HYPERLINK("http://www.twitter.com/NathanBLawrence/status/994997629103820806", "994997629103820806")</f>
        <v/>
      </c>
      <c r="B817" s="2" t="n">
        <v>43231.74184027778</v>
      </c>
      <c r="C817" t="n">
        <v>0</v>
      </c>
      <c r="D817" t="n">
        <v>1</v>
      </c>
      <c r="E817" t="s">
        <v>818</v>
      </c>
      <c r="F817">
        <f>HYPERLINK("http://pbs.twimg.com/media/Dc45uLiWkAAMeSM.jpg", "http://pbs.twimg.com/media/Dc45uLiWkAAMeSM.jpg")</f>
        <v/>
      </c>
      <c r="G817" t="s"/>
      <c r="H817" t="s"/>
      <c r="I817" t="s"/>
      <c r="J817" t="n">
        <v>0</v>
      </c>
      <c r="K817" t="n">
        <v>0</v>
      </c>
      <c r="L817" t="n">
        <v>1</v>
      </c>
      <c r="M817" t="n">
        <v>0</v>
      </c>
    </row>
    <row r="818" spans="1:13">
      <c r="A818" s="1">
        <f>HYPERLINK("http://www.twitter.com/NathanBLawrence/status/994997571717386240", "994997571717386240")</f>
        <v/>
      </c>
      <c r="B818" s="2" t="n">
        <v>43231.74167824074</v>
      </c>
      <c r="C818" t="n">
        <v>0</v>
      </c>
      <c r="D818" t="n">
        <v>1</v>
      </c>
      <c r="E818" t="s">
        <v>819</v>
      </c>
      <c r="F818" t="s"/>
      <c r="G818" t="s"/>
      <c r="H818" t="s"/>
      <c r="I818" t="s"/>
      <c r="J818" t="n">
        <v>0</v>
      </c>
      <c r="K818" t="n">
        <v>0</v>
      </c>
      <c r="L818" t="n">
        <v>1</v>
      </c>
      <c r="M818" t="n">
        <v>0</v>
      </c>
    </row>
    <row r="819" spans="1:13">
      <c r="A819" s="1">
        <f>HYPERLINK("http://www.twitter.com/NathanBLawrence/status/994997519452172288", "994997519452172288")</f>
        <v/>
      </c>
      <c r="B819" s="2" t="n">
        <v>43231.74153935185</v>
      </c>
      <c r="C819" t="n">
        <v>0</v>
      </c>
      <c r="D819" t="n">
        <v>4</v>
      </c>
      <c r="E819" t="s">
        <v>820</v>
      </c>
      <c r="F819" t="s"/>
      <c r="G819" t="s"/>
      <c r="H819" t="s"/>
      <c r="I819" t="s"/>
      <c r="J819" t="n">
        <v>-0.5859</v>
      </c>
      <c r="K819" t="n">
        <v>0.16</v>
      </c>
      <c r="L819" t="n">
        <v>0.84</v>
      </c>
      <c r="M819" t="n">
        <v>0</v>
      </c>
    </row>
    <row r="820" spans="1:13">
      <c r="A820" s="1">
        <f>HYPERLINK("http://www.twitter.com/NathanBLawrence/status/994997381413396481", "994997381413396481")</f>
        <v/>
      </c>
      <c r="B820" s="2" t="n">
        <v>43231.74115740741</v>
      </c>
      <c r="C820" t="n">
        <v>0</v>
      </c>
      <c r="D820" t="n">
        <v>1</v>
      </c>
      <c r="E820" t="s">
        <v>821</v>
      </c>
      <c r="F820" t="s"/>
      <c r="G820" t="s"/>
      <c r="H820" t="s"/>
      <c r="I820" t="s"/>
      <c r="J820" t="n">
        <v>0.7115</v>
      </c>
      <c r="K820" t="n">
        <v>0</v>
      </c>
      <c r="L820" t="n">
        <v>0.464</v>
      </c>
      <c r="M820" t="n">
        <v>0.536</v>
      </c>
    </row>
    <row r="821" spans="1:13">
      <c r="A821" s="1">
        <f>HYPERLINK("http://www.twitter.com/NathanBLawrence/status/994997362501222400", "994997362501222400")</f>
        <v/>
      </c>
      <c r="B821" s="2" t="n">
        <v>43231.74111111111</v>
      </c>
      <c r="C821" t="n">
        <v>0</v>
      </c>
      <c r="D821" t="n">
        <v>1</v>
      </c>
      <c r="E821" t="s">
        <v>822</v>
      </c>
      <c r="F821" t="s"/>
      <c r="G821" t="s"/>
      <c r="H821" t="s"/>
      <c r="I821" t="s"/>
      <c r="J821" t="n">
        <v>-0.6966</v>
      </c>
      <c r="K821" t="n">
        <v>0.209</v>
      </c>
      <c r="L821" t="n">
        <v>0.791</v>
      </c>
      <c r="M821" t="n">
        <v>0</v>
      </c>
    </row>
    <row r="822" spans="1:13">
      <c r="A822" s="1">
        <f>HYPERLINK("http://www.twitter.com/NathanBLawrence/status/994997357518475264", "994997357518475264")</f>
        <v/>
      </c>
      <c r="B822" s="2" t="n">
        <v>43231.74108796296</v>
      </c>
      <c r="C822" t="n">
        <v>0</v>
      </c>
      <c r="D822" t="n">
        <v>1</v>
      </c>
      <c r="E822" t="s">
        <v>823</v>
      </c>
      <c r="F822" t="s"/>
      <c r="G822" t="s"/>
      <c r="H822" t="s"/>
      <c r="I822" t="s"/>
      <c r="J822" t="n">
        <v>-0.8955</v>
      </c>
      <c r="K822" t="n">
        <v>0.541</v>
      </c>
      <c r="L822" t="n">
        <v>0.459</v>
      </c>
      <c r="M822" t="n">
        <v>0</v>
      </c>
    </row>
    <row r="823" spans="1:13">
      <c r="A823" s="1">
        <f>HYPERLINK("http://www.twitter.com/NathanBLawrence/status/994997339336126465", "994997339336126465")</f>
        <v/>
      </c>
      <c r="B823" s="2" t="n">
        <v>43231.74104166667</v>
      </c>
      <c r="C823" t="n">
        <v>0</v>
      </c>
      <c r="D823" t="n">
        <v>2</v>
      </c>
      <c r="E823" t="s">
        <v>824</v>
      </c>
      <c r="F823" t="s"/>
      <c r="G823" t="s"/>
      <c r="H823" t="s"/>
      <c r="I823" t="s"/>
      <c r="J823" t="n">
        <v>-0.4939</v>
      </c>
      <c r="K823" t="n">
        <v>0.158</v>
      </c>
      <c r="L823" t="n">
        <v>0.842</v>
      </c>
      <c r="M823" t="n">
        <v>0</v>
      </c>
    </row>
    <row r="824" spans="1:13">
      <c r="A824" s="1">
        <f>HYPERLINK("http://www.twitter.com/NathanBLawrence/status/994997312882606086", "994997312882606086")</f>
        <v/>
      </c>
      <c r="B824" s="2" t="n">
        <v>43231.74097222222</v>
      </c>
      <c r="C824" t="n">
        <v>0</v>
      </c>
      <c r="D824" t="n">
        <v>1</v>
      </c>
      <c r="E824" t="s">
        <v>825</v>
      </c>
      <c r="F824" t="s"/>
      <c r="G824" t="s"/>
      <c r="H824" t="s"/>
      <c r="I824" t="s"/>
      <c r="J824" t="n">
        <v>-0.4215</v>
      </c>
      <c r="K824" t="n">
        <v>0.123</v>
      </c>
      <c r="L824" t="n">
        <v>0.877</v>
      </c>
      <c r="M824" t="n">
        <v>0</v>
      </c>
    </row>
    <row r="825" spans="1:13">
      <c r="A825" s="1">
        <f>HYPERLINK("http://www.twitter.com/NathanBLawrence/status/994997213859377153", "994997213859377153")</f>
        <v/>
      </c>
      <c r="B825" s="2" t="n">
        <v>43231.74069444444</v>
      </c>
      <c r="C825" t="n">
        <v>0</v>
      </c>
      <c r="D825" t="n">
        <v>1</v>
      </c>
      <c r="E825" t="s">
        <v>826</v>
      </c>
      <c r="F825">
        <f>HYPERLINK("http://pbs.twimg.com/media/Dc7nEDOWkAEzFe7.jpg", "http://pbs.twimg.com/media/Dc7nEDOWkAEzFe7.jpg")</f>
        <v/>
      </c>
      <c r="G825" t="s"/>
      <c r="H825" t="s"/>
      <c r="I825" t="s"/>
      <c r="J825" t="n">
        <v>0</v>
      </c>
      <c r="K825" t="n">
        <v>0</v>
      </c>
      <c r="L825" t="n">
        <v>1</v>
      </c>
      <c r="M825" t="n">
        <v>0</v>
      </c>
    </row>
    <row r="826" spans="1:13">
      <c r="A826" s="1">
        <f>HYPERLINK("http://www.twitter.com/NathanBLawrence/status/994997167348699142", "994997167348699142")</f>
        <v/>
      </c>
      <c r="B826" s="2" t="n">
        <v>43231.74056712963</v>
      </c>
      <c r="C826" t="n">
        <v>0</v>
      </c>
      <c r="D826" t="n">
        <v>1</v>
      </c>
      <c r="E826" t="s">
        <v>827</v>
      </c>
      <c r="F826">
        <f>HYPERLINK("http://pbs.twimg.com/media/Dc7ofIeXUAIS_Ej.jpg", "http://pbs.twimg.com/media/Dc7ofIeXUAIS_Ej.jpg")</f>
        <v/>
      </c>
      <c r="G826" t="s"/>
      <c r="H826" t="s"/>
      <c r="I826" t="s"/>
      <c r="J826" t="n">
        <v>0</v>
      </c>
      <c r="K826" t="n">
        <v>0</v>
      </c>
      <c r="L826" t="n">
        <v>1</v>
      </c>
      <c r="M826" t="n">
        <v>0</v>
      </c>
    </row>
    <row r="827" spans="1:13">
      <c r="A827" s="1">
        <f>HYPERLINK("http://www.twitter.com/NathanBLawrence/status/994996722777706503", "994996722777706503")</f>
        <v/>
      </c>
      <c r="B827" s="2" t="n">
        <v>43231.73934027777</v>
      </c>
      <c r="C827" t="n">
        <v>0</v>
      </c>
      <c r="D827" t="n">
        <v>12</v>
      </c>
      <c r="E827" t="s">
        <v>828</v>
      </c>
      <c r="F827">
        <f>HYPERLINK("http://pbs.twimg.com/media/Dc6d7juW0AEDq08.jpg", "http://pbs.twimg.com/media/Dc6d7juW0AEDq08.jpg")</f>
        <v/>
      </c>
      <c r="G827" t="s"/>
      <c r="H827" t="s"/>
      <c r="I827" t="s"/>
      <c r="J827" t="n">
        <v>0.6552</v>
      </c>
      <c r="K827" t="n">
        <v>0</v>
      </c>
      <c r="L827" t="n">
        <v>0.8129999999999999</v>
      </c>
      <c r="M827" t="n">
        <v>0.187</v>
      </c>
    </row>
    <row r="828" spans="1:13">
      <c r="A828" s="1">
        <f>HYPERLINK("http://www.twitter.com/NathanBLawrence/status/994996642901348359", "994996642901348359")</f>
        <v/>
      </c>
      <c r="B828" s="2" t="n">
        <v>43231.73912037037</v>
      </c>
      <c r="C828" t="n">
        <v>0</v>
      </c>
      <c r="D828" t="n">
        <v>9</v>
      </c>
      <c r="E828" t="s">
        <v>829</v>
      </c>
      <c r="F828" t="s"/>
      <c r="G828" t="s"/>
      <c r="H828" t="s"/>
      <c r="I828" t="s"/>
      <c r="J828" t="n">
        <v>-0.7712</v>
      </c>
      <c r="K828" t="n">
        <v>0.299</v>
      </c>
      <c r="L828" t="n">
        <v>0.701</v>
      </c>
      <c r="M828" t="n">
        <v>0</v>
      </c>
    </row>
    <row r="829" spans="1:13">
      <c r="A829" s="1">
        <f>HYPERLINK("http://www.twitter.com/NathanBLawrence/status/994996576631316480", "994996576631316480")</f>
        <v/>
      </c>
      <c r="B829" s="2" t="n">
        <v>43231.73893518518</v>
      </c>
      <c r="C829" t="n">
        <v>0</v>
      </c>
      <c r="D829" t="n">
        <v>12</v>
      </c>
      <c r="E829" t="s">
        <v>830</v>
      </c>
      <c r="F829">
        <f>HYPERLINK("http://pbs.twimg.com/media/Dc7gMnEXUAA-RCs.jpg", "http://pbs.twimg.com/media/Dc7gMnEXUAA-RCs.jpg")</f>
        <v/>
      </c>
      <c r="G829" t="s"/>
      <c r="H829" t="s"/>
      <c r="I829" t="s"/>
      <c r="J829" t="n">
        <v>0.3788</v>
      </c>
      <c r="K829" t="n">
        <v>0.07000000000000001</v>
      </c>
      <c r="L829" t="n">
        <v>0.79</v>
      </c>
      <c r="M829" t="n">
        <v>0.14</v>
      </c>
    </row>
    <row r="830" spans="1:13">
      <c r="A830" s="1">
        <f>HYPERLINK("http://www.twitter.com/NathanBLawrence/status/994996130785218560", "994996130785218560")</f>
        <v/>
      </c>
      <c r="B830" s="2" t="n">
        <v>43231.73770833333</v>
      </c>
      <c r="C830" t="n">
        <v>0</v>
      </c>
      <c r="D830" t="n">
        <v>14</v>
      </c>
      <c r="E830" t="s">
        <v>831</v>
      </c>
      <c r="F830" t="s"/>
      <c r="G830" t="s"/>
      <c r="H830" t="s"/>
      <c r="I830" t="s"/>
      <c r="J830" t="n">
        <v>-0.296</v>
      </c>
      <c r="K830" t="n">
        <v>0.121</v>
      </c>
      <c r="L830" t="n">
        <v>0.879</v>
      </c>
      <c r="M830" t="n">
        <v>0</v>
      </c>
    </row>
    <row r="831" spans="1:13">
      <c r="A831" s="1">
        <f>HYPERLINK("http://www.twitter.com/NathanBLawrence/status/994995820159094789", "994995820159094789")</f>
        <v/>
      </c>
      <c r="B831" s="2" t="n">
        <v>43231.73685185185</v>
      </c>
      <c r="C831" t="n">
        <v>0</v>
      </c>
      <c r="D831" t="n">
        <v>1</v>
      </c>
      <c r="E831" t="s">
        <v>832</v>
      </c>
      <c r="F831" t="s"/>
      <c r="G831" t="s"/>
      <c r="H831" t="s"/>
      <c r="I831" t="s"/>
      <c r="J831" t="n">
        <v>0.4404</v>
      </c>
      <c r="K831" t="n">
        <v>0</v>
      </c>
      <c r="L831" t="n">
        <v>0.868</v>
      </c>
      <c r="M831" t="n">
        <v>0.132</v>
      </c>
    </row>
    <row r="832" spans="1:13">
      <c r="A832" s="1">
        <f>HYPERLINK("http://www.twitter.com/NathanBLawrence/status/994995457561649153", "994995457561649153")</f>
        <v/>
      </c>
      <c r="B832" s="2" t="n">
        <v>43231.73584490741</v>
      </c>
      <c r="C832" t="n">
        <v>0</v>
      </c>
      <c r="D832" t="n">
        <v>20</v>
      </c>
      <c r="E832" t="s">
        <v>833</v>
      </c>
      <c r="F832" t="s"/>
      <c r="G832" t="s"/>
      <c r="H832" t="s"/>
      <c r="I832" t="s"/>
      <c r="J832" t="n">
        <v>0.1144</v>
      </c>
      <c r="K832" t="n">
        <v>0.104</v>
      </c>
      <c r="L832" t="n">
        <v>0.774</v>
      </c>
      <c r="M832" t="n">
        <v>0.122</v>
      </c>
    </row>
    <row r="833" spans="1:13">
      <c r="A833" s="1">
        <f>HYPERLINK("http://www.twitter.com/NathanBLawrence/status/994995390285058049", "994995390285058049")</f>
        <v/>
      </c>
      <c r="B833" s="2" t="n">
        <v>43231.73565972222</v>
      </c>
      <c r="C833" t="n">
        <v>0</v>
      </c>
      <c r="D833" t="n">
        <v>13</v>
      </c>
      <c r="E833" t="s">
        <v>834</v>
      </c>
      <c r="F833" t="s"/>
      <c r="G833" t="s"/>
      <c r="H833" t="s"/>
      <c r="I833" t="s"/>
      <c r="J833" t="n">
        <v>0</v>
      </c>
      <c r="K833" t="n">
        <v>0</v>
      </c>
      <c r="L833" t="n">
        <v>1</v>
      </c>
      <c r="M833" t="n">
        <v>0</v>
      </c>
    </row>
    <row r="834" spans="1:13">
      <c r="A834" s="1">
        <f>HYPERLINK("http://www.twitter.com/NathanBLawrence/status/994995249654190080", "994995249654190080")</f>
        <v/>
      </c>
      <c r="B834" s="2" t="n">
        <v>43231.73527777778</v>
      </c>
      <c r="C834" t="n">
        <v>0</v>
      </c>
      <c r="D834" t="n">
        <v>4</v>
      </c>
      <c r="E834" t="s">
        <v>835</v>
      </c>
      <c r="F834">
        <f>HYPERLINK("http://pbs.twimg.com/media/Dc7lYczXUAAmfC4.jpg", "http://pbs.twimg.com/media/Dc7lYczXUAAmfC4.jpg")</f>
        <v/>
      </c>
      <c r="G834" t="s"/>
      <c r="H834" t="s"/>
      <c r="I834" t="s"/>
      <c r="J834" t="n">
        <v>0.1513</v>
      </c>
      <c r="K834" t="n">
        <v>0.122</v>
      </c>
      <c r="L834" t="n">
        <v>0.723</v>
      </c>
      <c r="M834" t="n">
        <v>0.155</v>
      </c>
    </row>
    <row r="835" spans="1:13">
      <c r="A835" s="1">
        <f>HYPERLINK("http://www.twitter.com/NathanBLawrence/status/994995233392857088", "994995233392857088")</f>
        <v/>
      </c>
      <c r="B835" s="2" t="n">
        <v>43231.73523148148</v>
      </c>
      <c r="C835" t="n">
        <v>0</v>
      </c>
      <c r="D835" t="n">
        <v>48</v>
      </c>
      <c r="E835" t="s">
        <v>836</v>
      </c>
      <c r="F835">
        <f>HYPERLINK("http://pbs.twimg.com/media/Dc7CkMZUwAE_IS9.jpg", "http://pbs.twimg.com/media/Dc7CkMZUwAE_IS9.jpg")</f>
        <v/>
      </c>
      <c r="G835" t="s"/>
      <c r="H835" t="s"/>
      <c r="I835" t="s"/>
      <c r="J835" t="n">
        <v>-0.8646</v>
      </c>
      <c r="K835" t="n">
        <v>0.349</v>
      </c>
      <c r="L835" t="n">
        <v>0.651</v>
      </c>
      <c r="M835" t="n">
        <v>0</v>
      </c>
    </row>
    <row r="836" spans="1:13">
      <c r="A836" s="1">
        <f>HYPERLINK("http://www.twitter.com/NathanBLawrence/status/994995204028555264", "994995204028555264")</f>
        <v/>
      </c>
      <c r="B836" s="2" t="n">
        <v>43231.73515046296</v>
      </c>
      <c r="C836" t="n">
        <v>0</v>
      </c>
      <c r="D836" t="n">
        <v>7</v>
      </c>
      <c r="E836" t="s">
        <v>837</v>
      </c>
      <c r="F836" t="s"/>
      <c r="G836" t="s"/>
      <c r="H836" t="s"/>
      <c r="I836" t="s"/>
      <c r="J836" t="n">
        <v>-0.4767</v>
      </c>
      <c r="K836" t="n">
        <v>0.181</v>
      </c>
      <c r="L836" t="n">
        <v>0.819</v>
      </c>
      <c r="M836" t="n">
        <v>0</v>
      </c>
    </row>
    <row r="837" spans="1:13">
      <c r="A837" s="1">
        <f>HYPERLINK("http://www.twitter.com/NathanBLawrence/status/994995179315744769", "994995179315744769")</f>
        <v/>
      </c>
      <c r="B837" s="2" t="n">
        <v>43231.73508101852</v>
      </c>
      <c r="C837" t="n">
        <v>0</v>
      </c>
      <c r="D837" t="n">
        <v>29</v>
      </c>
      <c r="E837" t="s">
        <v>838</v>
      </c>
      <c r="F837" t="s"/>
      <c r="G837" t="s"/>
      <c r="H837" t="s"/>
      <c r="I837" t="s"/>
      <c r="J837" t="n">
        <v>-0.5106000000000001</v>
      </c>
      <c r="K837" t="n">
        <v>0.142</v>
      </c>
      <c r="L837" t="n">
        <v>0.858</v>
      </c>
      <c r="M837" t="n">
        <v>0</v>
      </c>
    </row>
    <row r="838" spans="1:13">
      <c r="A838" s="1">
        <f>HYPERLINK("http://www.twitter.com/NathanBLawrence/status/994995083425538053", "994995083425538053")</f>
        <v/>
      </c>
      <c r="B838" s="2" t="n">
        <v>43231.73481481482</v>
      </c>
      <c r="C838" t="n">
        <v>0</v>
      </c>
      <c r="D838" t="n">
        <v>2</v>
      </c>
      <c r="E838" t="s">
        <v>839</v>
      </c>
      <c r="F838" t="s"/>
      <c r="G838" t="s"/>
      <c r="H838" t="s"/>
      <c r="I838" t="s"/>
      <c r="J838" t="n">
        <v>-0.1779</v>
      </c>
      <c r="K838" t="n">
        <v>0.188</v>
      </c>
      <c r="L838" t="n">
        <v>0.671</v>
      </c>
      <c r="M838" t="n">
        <v>0.141</v>
      </c>
    </row>
    <row r="839" spans="1:13">
      <c r="A839" s="1">
        <f>HYPERLINK("http://www.twitter.com/NathanBLawrence/status/994995017587490818", "994995017587490818")</f>
        <v/>
      </c>
      <c r="B839" s="2" t="n">
        <v>43231.73462962963</v>
      </c>
      <c r="C839" t="n">
        <v>0</v>
      </c>
      <c r="D839" t="n">
        <v>1</v>
      </c>
      <c r="E839" t="s">
        <v>840</v>
      </c>
      <c r="F839" t="s"/>
      <c r="G839" t="s"/>
      <c r="H839" t="s"/>
      <c r="I839" t="s"/>
      <c r="J839" t="n">
        <v>-0.0772</v>
      </c>
      <c r="K839" t="n">
        <v>0.152</v>
      </c>
      <c r="L839" t="n">
        <v>0.711</v>
      </c>
      <c r="M839" t="n">
        <v>0.137</v>
      </c>
    </row>
    <row r="840" spans="1:13">
      <c r="A840" s="1">
        <f>HYPERLINK("http://www.twitter.com/NathanBLawrence/status/994988263503990785", "994988263503990785")</f>
        <v/>
      </c>
      <c r="B840" s="2" t="n">
        <v>43231.71599537037</v>
      </c>
      <c r="C840" t="n">
        <v>1</v>
      </c>
      <c r="D840" t="n">
        <v>1</v>
      </c>
      <c r="E840" t="s">
        <v>841</v>
      </c>
      <c r="F840">
        <f>HYPERLINK("http://pbs.twimg.com/media/Dc7ofIeXUAIS_Ej.jpg", "http://pbs.twimg.com/media/Dc7ofIeXUAIS_Ej.jpg")</f>
        <v/>
      </c>
      <c r="G840" t="s"/>
      <c r="H840" t="s"/>
      <c r="I840" t="s"/>
      <c r="J840" t="n">
        <v>0</v>
      </c>
      <c r="K840" t="n">
        <v>0</v>
      </c>
      <c r="L840" t="n">
        <v>1</v>
      </c>
      <c r="M840" t="n">
        <v>0</v>
      </c>
    </row>
    <row r="841" spans="1:13">
      <c r="A841" s="1">
        <f>HYPERLINK("http://www.twitter.com/NathanBLawrence/status/994988082503081984", "994988082503081984")</f>
        <v/>
      </c>
      <c r="B841" s="2" t="n">
        <v>43231.71549768518</v>
      </c>
      <c r="C841" t="n">
        <v>2</v>
      </c>
      <c r="D841" t="n">
        <v>1</v>
      </c>
      <c r="E841" t="s">
        <v>842</v>
      </c>
      <c r="F841" t="s"/>
      <c r="G841" t="s"/>
      <c r="H841" t="s"/>
      <c r="I841" t="s"/>
      <c r="J841" t="n">
        <v>-0.6249</v>
      </c>
      <c r="K841" t="n">
        <v>0.171</v>
      </c>
      <c r="L841" t="n">
        <v>0.758</v>
      </c>
      <c r="M841" t="n">
        <v>0.07099999999999999</v>
      </c>
    </row>
    <row r="842" spans="1:13">
      <c r="A842" s="1">
        <f>HYPERLINK("http://www.twitter.com/NathanBLawrence/status/994986737624649729", "994986737624649729")</f>
        <v/>
      </c>
      <c r="B842" s="2" t="n">
        <v>43231.71178240741</v>
      </c>
      <c r="C842" t="n">
        <v>0</v>
      </c>
      <c r="D842" t="n">
        <v>1</v>
      </c>
      <c r="E842" t="s">
        <v>843</v>
      </c>
      <c r="F842" t="s"/>
      <c r="G842" t="s"/>
      <c r="H842" t="s"/>
      <c r="I842" t="s"/>
      <c r="J842" t="n">
        <v>-0.4767</v>
      </c>
      <c r="K842" t="n">
        <v>0.256</v>
      </c>
      <c r="L842" t="n">
        <v>0.744</v>
      </c>
      <c r="M842" t="n">
        <v>0</v>
      </c>
    </row>
    <row r="843" spans="1:13">
      <c r="A843" s="1">
        <f>HYPERLINK("http://www.twitter.com/NathanBLawrence/status/994986709388595205", "994986709388595205")</f>
        <v/>
      </c>
      <c r="B843" s="2" t="n">
        <v>43231.71171296296</v>
      </c>
      <c r="C843" t="n">
        <v>0</v>
      </c>
      <c r="D843" t="n">
        <v>24</v>
      </c>
      <c r="E843" t="s">
        <v>844</v>
      </c>
      <c r="F843">
        <f>HYPERLINK("http://pbs.twimg.com/media/Dc7VvbWWAAICvgK.jpg", "http://pbs.twimg.com/media/Dc7VvbWWAAICvgK.jpg")</f>
        <v/>
      </c>
      <c r="G843" t="s"/>
      <c r="H843" t="s"/>
      <c r="I843" t="s"/>
      <c r="J843" t="n">
        <v>-0.4184</v>
      </c>
      <c r="K843" t="n">
        <v>0.112</v>
      </c>
      <c r="L843" t="n">
        <v>0.888</v>
      </c>
      <c r="M843" t="n">
        <v>0</v>
      </c>
    </row>
    <row r="844" spans="1:13">
      <c r="A844" s="1">
        <f>HYPERLINK("http://www.twitter.com/NathanBLawrence/status/994986688496717835", "994986688496717835")</f>
        <v/>
      </c>
      <c r="B844" s="2" t="n">
        <v>43231.71165509259</v>
      </c>
      <c r="C844" t="n">
        <v>1</v>
      </c>
      <c r="D844" t="n">
        <v>1</v>
      </c>
      <c r="E844" t="s">
        <v>845</v>
      </c>
      <c r="F844">
        <f>HYPERLINK("http://pbs.twimg.com/media/Dc7nEDOWkAEzFe7.jpg", "http://pbs.twimg.com/media/Dc7nEDOWkAEzFe7.jpg")</f>
        <v/>
      </c>
      <c r="G844" t="s"/>
      <c r="H844" t="s"/>
      <c r="I844" t="s"/>
      <c r="J844" t="n">
        <v>0</v>
      </c>
      <c r="K844" t="n">
        <v>0</v>
      </c>
      <c r="L844" t="n">
        <v>1</v>
      </c>
      <c r="M844" t="n">
        <v>0</v>
      </c>
    </row>
    <row r="845" spans="1:13">
      <c r="A845" s="1">
        <f>HYPERLINK("http://www.twitter.com/NathanBLawrence/status/994986195930279936", "994986195930279936")</f>
        <v/>
      </c>
      <c r="B845" s="2" t="n">
        <v>43231.71028935185</v>
      </c>
      <c r="C845" t="n">
        <v>0</v>
      </c>
      <c r="D845" t="n">
        <v>15</v>
      </c>
      <c r="E845" t="s">
        <v>846</v>
      </c>
      <c r="F845">
        <f>HYPERLINK("http://pbs.twimg.com/media/Dc7NfSHVMAAJyuo.jpg", "http://pbs.twimg.com/media/Dc7NfSHVMAAJyuo.jpg")</f>
        <v/>
      </c>
      <c r="G845" t="s"/>
      <c r="H845" t="s"/>
      <c r="I845" t="s"/>
      <c r="J845" t="n">
        <v>0</v>
      </c>
      <c r="K845" t="n">
        <v>0</v>
      </c>
      <c r="L845" t="n">
        <v>1</v>
      </c>
      <c r="M845" t="n">
        <v>0</v>
      </c>
    </row>
    <row r="846" spans="1:13">
      <c r="A846" s="1">
        <f>HYPERLINK("http://www.twitter.com/NathanBLawrence/status/994966245358362625", "994966245358362625")</f>
        <v/>
      </c>
      <c r="B846" s="2" t="n">
        <v>43231.65524305555</v>
      </c>
      <c r="C846" t="n">
        <v>0</v>
      </c>
      <c r="D846" t="n">
        <v>14</v>
      </c>
      <c r="E846" t="s">
        <v>847</v>
      </c>
      <c r="F846" t="s"/>
      <c r="G846" t="s"/>
      <c r="H846" t="s"/>
      <c r="I846" t="s"/>
      <c r="J846" t="n">
        <v>-0.4588</v>
      </c>
      <c r="K846" t="n">
        <v>0.134</v>
      </c>
      <c r="L846" t="n">
        <v>0.8129999999999999</v>
      </c>
      <c r="M846" t="n">
        <v>0.053</v>
      </c>
    </row>
    <row r="847" spans="1:13">
      <c r="A847" s="1">
        <f>HYPERLINK("http://www.twitter.com/NathanBLawrence/status/994966153721204736", "994966153721204736")</f>
        <v/>
      </c>
      <c r="B847" s="2" t="n">
        <v>43231.65498842593</v>
      </c>
      <c r="C847" t="n">
        <v>0</v>
      </c>
      <c r="D847" t="n">
        <v>18</v>
      </c>
      <c r="E847" t="s">
        <v>848</v>
      </c>
      <c r="F847">
        <f>HYPERLINK("http://pbs.twimg.com/media/Dc7QTJ9XUAATANQ.jpg", "http://pbs.twimg.com/media/Dc7QTJ9XUAATANQ.jpg")</f>
        <v/>
      </c>
      <c r="G847" t="s"/>
      <c r="H847" t="s"/>
      <c r="I847" t="s"/>
      <c r="J847" t="n">
        <v>0</v>
      </c>
      <c r="K847" t="n">
        <v>0</v>
      </c>
      <c r="L847" t="n">
        <v>1</v>
      </c>
      <c r="M847" t="n">
        <v>0</v>
      </c>
    </row>
    <row r="848" spans="1:13">
      <c r="A848" s="1">
        <f>HYPERLINK("http://www.twitter.com/NathanBLawrence/status/994966074390138881", "994966074390138881")</f>
        <v/>
      </c>
      <c r="B848" s="2" t="n">
        <v>43231.65476851852</v>
      </c>
      <c r="C848" t="n">
        <v>0</v>
      </c>
      <c r="D848" t="n">
        <v>1</v>
      </c>
      <c r="E848" t="s">
        <v>849</v>
      </c>
      <c r="F848">
        <f>HYPERLINK("http://pbs.twimg.com/media/Dc7RBNEX0AsJRw4.jpg", "http://pbs.twimg.com/media/Dc7RBNEX0AsJRw4.jpg")</f>
        <v/>
      </c>
      <c r="G848" t="s"/>
      <c r="H848" t="s"/>
      <c r="I848" t="s"/>
      <c r="J848" t="n">
        <v>0</v>
      </c>
      <c r="K848" t="n">
        <v>0</v>
      </c>
      <c r="L848" t="n">
        <v>1</v>
      </c>
      <c r="M848" t="n">
        <v>0</v>
      </c>
    </row>
    <row r="849" spans="1:13">
      <c r="A849" s="1">
        <f>HYPERLINK("http://www.twitter.com/NathanBLawrence/status/994965631131901952", "994965631131901952")</f>
        <v/>
      </c>
      <c r="B849" s="2" t="n">
        <v>43231.65354166667</v>
      </c>
      <c r="C849" t="n">
        <v>0</v>
      </c>
      <c r="D849" t="n">
        <v>4</v>
      </c>
      <c r="E849" t="s">
        <v>850</v>
      </c>
      <c r="F849" t="s"/>
      <c r="G849" t="s"/>
      <c r="H849" t="s"/>
      <c r="I849" t="s"/>
      <c r="J849" t="n">
        <v>-0.6867</v>
      </c>
      <c r="K849" t="n">
        <v>0.189</v>
      </c>
      <c r="L849" t="n">
        <v>0.8110000000000001</v>
      </c>
      <c r="M849" t="n">
        <v>0</v>
      </c>
    </row>
    <row r="850" spans="1:13">
      <c r="A850" s="1">
        <f>HYPERLINK("http://www.twitter.com/NathanBLawrence/status/994962415858192384", "994962415858192384")</f>
        <v/>
      </c>
      <c r="B850" s="2" t="n">
        <v>43231.64467592593</v>
      </c>
      <c r="C850" t="n">
        <v>2</v>
      </c>
      <c r="D850" t="n">
        <v>1</v>
      </c>
      <c r="E850" t="s">
        <v>851</v>
      </c>
      <c r="F850">
        <f>HYPERLINK("http://pbs.twimg.com/media/Dc7RBNEX0AsJRw4.jpg", "http://pbs.twimg.com/media/Dc7RBNEX0AsJRw4.jpg")</f>
        <v/>
      </c>
      <c r="G850" t="s"/>
      <c r="H850" t="s"/>
      <c r="I850" t="s"/>
      <c r="J850" t="n">
        <v>0</v>
      </c>
      <c r="K850" t="n">
        <v>0</v>
      </c>
      <c r="L850" t="n">
        <v>1</v>
      </c>
      <c r="M850" t="n">
        <v>0</v>
      </c>
    </row>
    <row r="851" spans="1:13">
      <c r="A851" s="1">
        <f>HYPERLINK("http://www.twitter.com/NathanBLawrence/status/994962164422250496", "994962164422250496")</f>
        <v/>
      </c>
      <c r="B851" s="2" t="n">
        <v>43231.64398148148</v>
      </c>
      <c r="C851" t="n">
        <v>0</v>
      </c>
      <c r="D851" t="n">
        <v>1</v>
      </c>
      <c r="E851" t="s">
        <v>852</v>
      </c>
      <c r="F851" t="s"/>
      <c r="G851" t="s"/>
      <c r="H851" t="s"/>
      <c r="I851" t="s"/>
      <c r="J851" t="n">
        <v>0</v>
      </c>
      <c r="K851" t="n">
        <v>0</v>
      </c>
      <c r="L851" t="n">
        <v>1</v>
      </c>
      <c r="M851" t="n">
        <v>0</v>
      </c>
    </row>
    <row r="852" spans="1:13">
      <c r="A852" s="1">
        <f>HYPERLINK("http://www.twitter.com/NathanBLawrence/status/994962129588498432", "994962129588498432")</f>
        <v/>
      </c>
      <c r="B852" s="2" t="n">
        <v>43231.64387731482</v>
      </c>
      <c r="C852" t="n">
        <v>0</v>
      </c>
      <c r="D852" t="n">
        <v>1</v>
      </c>
      <c r="E852" t="s">
        <v>853</v>
      </c>
      <c r="F852">
        <f>HYPERLINK("http://pbs.twimg.com/media/Dc7PzF4XcAELnH5.jpg", "http://pbs.twimg.com/media/Dc7PzF4XcAELnH5.jpg")</f>
        <v/>
      </c>
      <c r="G852" t="s"/>
      <c r="H852" t="s"/>
      <c r="I852" t="s"/>
      <c r="J852" t="n">
        <v>-0.5622</v>
      </c>
      <c r="K852" t="n">
        <v>0.245</v>
      </c>
      <c r="L852" t="n">
        <v>0.648</v>
      </c>
      <c r="M852" t="n">
        <v>0.107</v>
      </c>
    </row>
    <row r="853" spans="1:13">
      <c r="A853" s="1">
        <f>HYPERLINK("http://www.twitter.com/NathanBLawrence/status/994962034931437569", "994962034931437569")</f>
        <v/>
      </c>
      <c r="B853" s="2" t="n">
        <v>43231.64362268519</v>
      </c>
      <c r="C853" t="n">
        <v>0</v>
      </c>
      <c r="D853" t="n">
        <v>1</v>
      </c>
      <c r="E853" t="s">
        <v>854</v>
      </c>
      <c r="F853" t="s"/>
      <c r="G853" t="s"/>
      <c r="H853" t="s"/>
      <c r="I853" t="s"/>
      <c r="J853" t="n">
        <v>0</v>
      </c>
      <c r="K853" t="n">
        <v>0</v>
      </c>
      <c r="L853" t="n">
        <v>1</v>
      </c>
      <c r="M853" t="n">
        <v>0</v>
      </c>
    </row>
    <row r="854" spans="1:13">
      <c r="A854" s="1">
        <f>HYPERLINK("http://www.twitter.com/NathanBLawrence/status/994962004132720646", "994962004132720646")</f>
        <v/>
      </c>
      <c r="B854" s="2" t="n">
        <v>43231.6435300926</v>
      </c>
      <c r="C854" t="n">
        <v>3</v>
      </c>
      <c r="D854" t="n">
        <v>1</v>
      </c>
      <c r="E854" t="s">
        <v>855</v>
      </c>
      <c r="F854" t="s"/>
      <c r="G854" t="s"/>
      <c r="H854" t="s"/>
      <c r="I854" t="s"/>
      <c r="J854" t="n">
        <v>0</v>
      </c>
      <c r="K854" t="n">
        <v>0</v>
      </c>
      <c r="L854" t="n">
        <v>1</v>
      </c>
      <c r="M854" t="n">
        <v>0</v>
      </c>
    </row>
    <row r="855" spans="1:13">
      <c r="A855" s="1">
        <f>HYPERLINK("http://www.twitter.com/NathanBLawrence/status/994961105335279617", "994961105335279617")</f>
        <v/>
      </c>
      <c r="B855" s="2" t="n">
        <v>43231.64105324074</v>
      </c>
      <c r="C855" t="n">
        <v>0</v>
      </c>
      <c r="D855" t="n">
        <v>13</v>
      </c>
      <c r="E855" t="s">
        <v>856</v>
      </c>
      <c r="F855" t="s"/>
      <c r="G855" t="s"/>
      <c r="H855" t="s"/>
      <c r="I855" t="s"/>
      <c r="J855" t="n">
        <v>-0.4588</v>
      </c>
      <c r="K855" t="n">
        <v>0.134</v>
      </c>
      <c r="L855" t="n">
        <v>0.8129999999999999</v>
      </c>
      <c r="M855" t="n">
        <v>0.053</v>
      </c>
    </row>
    <row r="856" spans="1:13">
      <c r="A856" s="1">
        <f>HYPERLINK("http://www.twitter.com/NathanBLawrence/status/994961078533705728", "994961078533705728")</f>
        <v/>
      </c>
      <c r="B856" s="2" t="n">
        <v>43231.64098379629</v>
      </c>
      <c r="C856" t="n">
        <v>1</v>
      </c>
      <c r="D856" t="n">
        <v>1</v>
      </c>
      <c r="E856" t="s">
        <v>857</v>
      </c>
      <c r="F856">
        <f>HYPERLINK("http://pbs.twimg.com/media/Dc7PzF4XcAELnH5.jpg", "http://pbs.twimg.com/media/Dc7PzF4XcAELnH5.jpg")</f>
        <v/>
      </c>
      <c r="G856" t="s"/>
      <c r="H856" t="s"/>
      <c r="I856" t="s"/>
      <c r="J856" t="n">
        <v>-0.4278</v>
      </c>
      <c r="K856" t="n">
        <v>0.185</v>
      </c>
      <c r="L856" t="n">
        <v>0.6919999999999999</v>
      </c>
      <c r="M856" t="n">
        <v>0.123</v>
      </c>
    </row>
    <row r="857" spans="1:13">
      <c r="A857" s="1">
        <f>HYPERLINK("http://www.twitter.com/NathanBLawrence/status/994961074666590209", "994961074666590209")</f>
        <v/>
      </c>
      <c r="B857" s="2" t="n">
        <v>43231.64097222222</v>
      </c>
      <c r="C857" t="n">
        <v>0</v>
      </c>
      <c r="D857" t="n">
        <v>5</v>
      </c>
      <c r="E857" t="s">
        <v>858</v>
      </c>
      <c r="F857" t="s"/>
      <c r="G857" t="s"/>
      <c r="H857" t="s"/>
      <c r="I857" t="s"/>
      <c r="J857" t="n">
        <v>-0.4404</v>
      </c>
      <c r="K857" t="n">
        <v>0.112</v>
      </c>
      <c r="L857" t="n">
        <v>0.888</v>
      </c>
      <c r="M857" t="n">
        <v>0</v>
      </c>
    </row>
    <row r="858" spans="1:13">
      <c r="A858" s="1">
        <f>HYPERLINK("http://www.twitter.com/NathanBLawrence/status/994960229568827393", "994960229568827393")</f>
        <v/>
      </c>
      <c r="B858" s="2" t="n">
        <v>43231.63863425926</v>
      </c>
      <c r="C858" t="n">
        <v>0</v>
      </c>
      <c r="D858" t="n">
        <v>1</v>
      </c>
      <c r="E858" t="s">
        <v>859</v>
      </c>
      <c r="F858">
        <f>HYPERLINK("http://pbs.twimg.com/media/Dc7OQafUwAAQxTK.jpg", "http://pbs.twimg.com/media/Dc7OQafUwAAQxTK.jpg")</f>
        <v/>
      </c>
      <c r="G858" t="s"/>
      <c r="H858" t="s"/>
      <c r="I858" t="s"/>
      <c r="J858" t="n">
        <v>0.6369</v>
      </c>
      <c r="K858" t="n">
        <v>0</v>
      </c>
      <c r="L858" t="n">
        <v>0.781</v>
      </c>
      <c r="M858" t="n">
        <v>0.219</v>
      </c>
    </row>
    <row r="859" spans="1:13">
      <c r="A859" s="1">
        <f>HYPERLINK("http://www.twitter.com/NathanBLawrence/status/994960196123447296", "994960196123447296")</f>
        <v/>
      </c>
      <c r="B859" s="2" t="n">
        <v>43231.63854166667</v>
      </c>
      <c r="C859" t="n">
        <v>0</v>
      </c>
      <c r="D859" t="n">
        <v>1</v>
      </c>
      <c r="E859" t="s">
        <v>860</v>
      </c>
      <c r="F859" t="s"/>
      <c r="G859" t="s"/>
      <c r="H859" t="s"/>
      <c r="I859" t="s"/>
      <c r="J859" t="n">
        <v>0.5719</v>
      </c>
      <c r="K859" t="n">
        <v>0</v>
      </c>
      <c r="L859" t="n">
        <v>0.773</v>
      </c>
      <c r="M859" t="n">
        <v>0.227</v>
      </c>
    </row>
    <row r="860" spans="1:13">
      <c r="A860" s="1">
        <f>HYPERLINK("http://www.twitter.com/NathanBLawrence/status/994959893235978240", "994959893235978240")</f>
        <v/>
      </c>
      <c r="B860" s="2" t="n">
        <v>43231.63770833334</v>
      </c>
      <c r="C860" t="n">
        <v>1</v>
      </c>
      <c r="D860" t="n">
        <v>1</v>
      </c>
      <c r="E860" t="s">
        <v>861</v>
      </c>
      <c r="F860" t="s"/>
      <c r="G860" t="s"/>
      <c r="H860" t="s"/>
      <c r="I860" t="s"/>
      <c r="J860" t="n">
        <v>0.0258</v>
      </c>
      <c r="K860" t="n">
        <v>0.132</v>
      </c>
      <c r="L860" t="n">
        <v>0.696</v>
      </c>
      <c r="M860" t="n">
        <v>0.172</v>
      </c>
    </row>
    <row r="861" spans="1:13">
      <c r="A861" s="1">
        <f>HYPERLINK("http://www.twitter.com/NathanBLawrence/status/994959357224857600", "994959357224857600")</f>
        <v/>
      </c>
      <c r="B861" s="2" t="n">
        <v>43231.63622685185</v>
      </c>
      <c r="C861" t="n">
        <v>1</v>
      </c>
      <c r="D861" t="n">
        <v>1</v>
      </c>
      <c r="E861" t="s">
        <v>862</v>
      </c>
      <c r="F861">
        <f>HYPERLINK("http://pbs.twimg.com/media/Dc7OQafUwAAQxTK.jpg", "http://pbs.twimg.com/media/Dc7OQafUwAAQxTK.jpg")</f>
        <v/>
      </c>
      <c r="G861" t="s"/>
      <c r="H861" t="s"/>
      <c r="I861" t="s"/>
      <c r="J861" t="n">
        <v>-0.1655</v>
      </c>
      <c r="K861" t="n">
        <v>0.159</v>
      </c>
      <c r="L861" t="n">
        <v>0.711</v>
      </c>
      <c r="M861" t="n">
        <v>0.13</v>
      </c>
    </row>
    <row r="862" spans="1:13">
      <c r="A862" s="1">
        <f>HYPERLINK("http://www.twitter.com/NathanBLawrence/status/994950389165383680", "994950389165383680")</f>
        <v/>
      </c>
      <c r="B862" s="2" t="n">
        <v>43231.61148148148</v>
      </c>
      <c r="C862" t="n">
        <v>2</v>
      </c>
      <c r="D862" t="n">
        <v>1</v>
      </c>
      <c r="E862" t="s">
        <v>863</v>
      </c>
      <c r="F862" t="s"/>
      <c r="G862" t="s"/>
      <c r="H862" t="s"/>
      <c r="I862" t="s"/>
      <c r="J862" t="n">
        <v>-0.4753</v>
      </c>
      <c r="K862" t="n">
        <v>0.083</v>
      </c>
      <c r="L862" t="n">
        <v>0.917</v>
      </c>
      <c r="M862" t="n">
        <v>0</v>
      </c>
    </row>
    <row r="863" spans="1:13">
      <c r="A863" s="1">
        <f>HYPERLINK("http://www.twitter.com/NathanBLawrence/status/994947887644766208", "994947887644766208")</f>
        <v/>
      </c>
      <c r="B863" s="2" t="n">
        <v>43231.60458333333</v>
      </c>
      <c r="C863" t="n">
        <v>0</v>
      </c>
      <c r="D863" t="n">
        <v>3</v>
      </c>
      <c r="E863" t="s">
        <v>864</v>
      </c>
      <c r="F863">
        <f>HYPERLINK("http://pbs.twimg.com/media/Dc7Dy9pUQAEegnI.jpg", "http://pbs.twimg.com/media/Dc7Dy9pUQAEegnI.jpg")</f>
        <v/>
      </c>
      <c r="G863" t="s"/>
      <c r="H863" t="s"/>
      <c r="I863" t="s"/>
      <c r="J863" t="n">
        <v>0.6705</v>
      </c>
      <c r="K863" t="n">
        <v>0</v>
      </c>
      <c r="L863" t="n">
        <v>0.732</v>
      </c>
      <c r="M863" t="n">
        <v>0.268</v>
      </c>
    </row>
    <row r="864" spans="1:13">
      <c r="A864" s="1">
        <f>HYPERLINK("http://www.twitter.com/NathanBLawrence/status/994947861178667008", "994947861178667008")</f>
        <v/>
      </c>
      <c r="B864" s="2" t="n">
        <v>43231.60450231482</v>
      </c>
      <c r="C864" t="n">
        <v>3</v>
      </c>
      <c r="D864" t="n">
        <v>3</v>
      </c>
      <c r="E864" t="s">
        <v>865</v>
      </c>
      <c r="F864">
        <f>HYPERLINK("http://pbs.twimg.com/media/Dc7Dy9pUQAEegnI.jpg", "http://pbs.twimg.com/media/Dc7Dy9pUQAEegnI.jpg")</f>
        <v/>
      </c>
      <c r="G864" t="s"/>
      <c r="H864" t="s"/>
      <c r="I864" t="s"/>
      <c r="J864" t="n">
        <v>0.3612</v>
      </c>
      <c r="K864" t="n">
        <v>0.146</v>
      </c>
      <c r="L864" t="n">
        <v>0.65</v>
      </c>
      <c r="M864" t="n">
        <v>0.203</v>
      </c>
    </row>
    <row r="865" spans="1:13">
      <c r="A865" s="1">
        <f>HYPERLINK("http://www.twitter.com/NathanBLawrence/status/994946322854707200", "994946322854707200")</f>
        <v/>
      </c>
      <c r="B865" s="2" t="n">
        <v>43231.60026620371</v>
      </c>
      <c r="C865" t="n">
        <v>0</v>
      </c>
      <c r="D865" t="n">
        <v>1</v>
      </c>
      <c r="E865" t="s">
        <v>866</v>
      </c>
      <c r="F865" t="s"/>
      <c r="G865" t="s"/>
      <c r="H865" t="s"/>
      <c r="I865" t="s"/>
      <c r="J865" t="n">
        <v>-0.6486</v>
      </c>
      <c r="K865" t="n">
        <v>0.223</v>
      </c>
      <c r="L865" t="n">
        <v>0.777</v>
      </c>
      <c r="M865" t="n">
        <v>0</v>
      </c>
    </row>
    <row r="866" spans="1:13">
      <c r="A866" s="1">
        <f>HYPERLINK("http://www.twitter.com/NathanBLawrence/status/994943122701520896", "994943122701520896")</f>
        <v/>
      </c>
      <c r="B866" s="2" t="n">
        <v>43231.59143518518</v>
      </c>
      <c r="C866" t="n">
        <v>2</v>
      </c>
      <c r="D866" t="n">
        <v>2</v>
      </c>
      <c r="E866" t="s">
        <v>867</v>
      </c>
      <c r="F866" t="s"/>
      <c r="G866" t="s"/>
      <c r="H866" t="s"/>
      <c r="I866" t="s"/>
      <c r="J866" t="n">
        <v>-0.4767</v>
      </c>
      <c r="K866" t="n">
        <v>0.145</v>
      </c>
      <c r="L866" t="n">
        <v>0.757</v>
      </c>
      <c r="M866" t="n">
        <v>0.098</v>
      </c>
    </row>
    <row r="867" spans="1:13">
      <c r="A867" s="1">
        <f>HYPERLINK("http://www.twitter.com/NathanBLawrence/status/994941800677871617", "994941800677871617")</f>
        <v/>
      </c>
      <c r="B867" s="2" t="n">
        <v>43231.58778935186</v>
      </c>
      <c r="C867" t="n">
        <v>1</v>
      </c>
      <c r="D867" t="n">
        <v>1</v>
      </c>
      <c r="E867" t="s">
        <v>868</v>
      </c>
      <c r="F867" t="s"/>
      <c r="G867" t="s"/>
      <c r="H867" t="s"/>
      <c r="I867" t="s"/>
      <c r="J867" t="n">
        <v>-0.6966</v>
      </c>
      <c r="K867" t="n">
        <v>0.229</v>
      </c>
      <c r="L867" t="n">
        <v>0.771</v>
      </c>
      <c r="M867" t="n">
        <v>0</v>
      </c>
    </row>
    <row r="868" spans="1:13">
      <c r="A868" s="1">
        <f>HYPERLINK("http://www.twitter.com/NathanBLawrence/status/994933566881624064", "994933566881624064")</f>
        <v/>
      </c>
      <c r="B868" s="2" t="n">
        <v>43231.56505787037</v>
      </c>
      <c r="C868" t="n">
        <v>1</v>
      </c>
      <c r="D868" t="n">
        <v>1</v>
      </c>
      <c r="E868" t="s">
        <v>869</v>
      </c>
      <c r="F868" t="s"/>
      <c r="G868" t="s"/>
      <c r="H868" t="s"/>
      <c r="I868" t="s"/>
      <c r="J868" t="n">
        <v>-0.8955</v>
      </c>
      <c r="K868" t="n">
        <v>0.596</v>
      </c>
      <c r="L868" t="n">
        <v>0.404</v>
      </c>
      <c r="M868" t="n">
        <v>0</v>
      </c>
    </row>
    <row r="869" spans="1:13">
      <c r="A869" s="1">
        <f>HYPERLINK("http://www.twitter.com/NathanBLawrence/status/994933422052331521", "994933422052331521")</f>
        <v/>
      </c>
      <c r="B869" s="2" t="n">
        <v>43231.56466435185</v>
      </c>
      <c r="C869" t="n">
        <v>1</v>
      </c>
      <c r="D869" t="n">
        <v>1</v>
      </c>
      <c r="E869" t="s">
        <v>870</v>
      </c>
      <c r="F869" t="s"/>
      <c r="G869" t="s"/>
      <c r="H869" t="s"/>
      <c r="I869" t="s"/>
      <c r="J869" t="n">
        <v>0.7115</v>
      </c>
      <c r="K869" t="n">
        <v>0</v>
      </c>
      <c r="L869" t="n">
        <v>0.366</v>
      </c>
      <c r="M869" t="n">
        <v>0.634</v>
      </c>
    </row>
    <row r="870" spans="1:13">
      <c r="A870" s="1">
        <f>HYPERLINK("http://www.twitter.com/NathanBLawrence/status/994932874242658305", "994932874242658305")</f>
        <v/>
      </c>
      <c r="B870" s="2" t="n">
        <v>43231.56314814815</v>
      </c>
      <c r="C870" t="n">
        <v>0</v>
      </c>
      <c r="D870" t="n">
        <v>1</v>
      </c>
      <c r="E870" t="s">
        <v>871</v>
      </c>
      <c r="F870">
        <f>HYPERLINK("http://pbs.twimg.com/media/Dc60Nn1VQAINy5c.jpg", "http://pbs.twimg.com/media/Dc60Nn1VQAINy5c.jpg")</f>
        <v/>
      </c>
      <c r="G870" t="s"/>
      <c r="H870" t="s"/>
      <c r="I870" t="s"/>
      <c r="J870" t="n">
        <v>-0.296</v>
      </c>
      <c r="K870" t="n">
        <v>0.115</v>
      </c>
      <c r="L870" t="n">
        <v>0.885</v>
      </c>
      <c r="M870" t="n">
        <v>0</v>
      </c>
    </row>
    <row r="871" spans="1:13">
      <c r="A871" s="1">
        <f>HYPERLINK("http://www.twitter.com/NathanBLawrence/status/994932702783721472", "994932702783721472")</f>
        <v/>
      </c>
      <c r="B871" s="2" t="n">
        <v>43231.56267361111</v>
      </c>
      <c r="C871" t="n">
        <v>0</v>
      </c>
      <c r="D871" t="n">
        <v>16</v>
      </c>
      <c r="E871" t="s">
        <v>872</v>
      </c>
      <c r="F871" t="s"/>
      <c r="G871" t="s"/>
      <c r="H871" t="s"/>
      <c r="I871" t="s"/>
      <c r="J871" t="n">
        <v>0</v>
      </c>
      <c r="K871" t="n">
        <v>0</v>
      </c>
      <c r="L871" t="n">
        <v>1</v>
      </c>
      <c r="M871" t="n">
        <v>0</v>
      </c>
    </row>
    <row r="872" spans="1:13">
      <c r="A872" s="1">
        <f>HYPERLINK("http://www.twitter.com/NathanBLawrence/status/994932674899906561", "994932674899906561")</f>
        <v/>
      </c>
      <c r="B872" s="2" t="n">
        <v>43231.56260416667</v>
      </c>
      <c r="C872" t="n">
        <v>0</v>
      </c>
      <c r="D872" t="n">
        <v>4</v>
      </c>
      <c r="E872" t="s">
        <v>873</v>
      </c>
      <c r="F872" t="s"/>
      <c r="G872" t="s"/>
      <c r="H872" t="s"/>
      <c r="I872" t="s"/>
      <c r="J872" t="n">
        <v>0.4824</v>
      </c>
      <c r="K872" t="n">
        <v>0</v>
      </c>
      <c r="L872" t="n">
        <v>0.8169999999999999</v>
      </c>
      <c r="M872" t="n">
        <v>0.183</v>
      </c>
    </row>
    <row r="873" spans="1:13">
      <c r="A873" s="1">
        <f>HYPERLINK("http://www.twitter.com/NathanBLawrence/status/994932648853286913", "994932648853286913")</f>
        <v/>
      </c>
      <c r="B873" s="2" t="n">
        <v>43231.56253472222</v>
      </c>
      <c r="C873" t="n">
        <v>0</v>
      </c>
      <c r="D873" t="n">
        <v>1</v>
      </c>
      <c r="E873" t="s">
        <v>874</v>
      </c>
      <c r="F873" t="s"/>
      <c r="G873" t="s"/>
      <c r="H873" t="s"/>
      <c r="I873" t="s"/>
      <c r="J873" t="n">
        <v>0.0772</v>
      </c>
      <c r="K873" t="n">
        <v>0.093</v>
      </c>
      <c r="L873" t="n">
        <v>0.802</v>
      </c>
      <c r="M873" t="n">
        <v>0.105</v>
      </c>
    </row>
    <row r="874" spans="1:13">
      <c r="A874" s="1">
        <f>HYPERLINK("http://www.twitter.com/NathanBLawrence/status/994932625721741312", "994932625721741312")</f>
        <v/>
      </c>
      <c r="B874" s="2" t="n">
        <v>43231.56246527778</v>
      </c>
      <c r="C874" t="n">
        <v>0</v>
      </c>
      <c r="D874" t="n">
        <v>1</v>
      </c>
      <c r="E874" t="s">
        <v>875</v>
      </c>
      <c r="F874">
        <f>HYPERLINK("http://pbs.twimg.com/media/Dc61i-LU0AEmc4d.jpg", "http://pbs.twimg.com/media/Dc61i-LU0AEmc4d.jpg")</f>
        <v/>
      </c>
      <c r="G874" t="s"/>
      <c r="H874" t="s"/>
      <c r="I874" t="s"/>
      <c r="J874" t="n">
        <v>0.25</v>
      </c>
      <c r="K874" t="n">
        <v>0</v>
      </c>
      <c r="L874" t="n">
        <v>0.889</v>
      </c>
      <c r="M874" t="n">
        <v>0.111</v>
      </c>
    </row>
    <row r="875" spans="1:13">
      <c r="A875" s="1">
        <f>HYPERLINK("http://www.twitter.com/NathanBLawrence/status/994932323748601858", "994932323748601858")</f>
        <v/>
      </c>
      <c r="B875" s="2" t="n">
        <v>43231.56163194445</v>
      </c>
      <c r="C875" t="n">
        <v>0</v>
      </c>
      <c r="D875" t="n">
        <v>1</v>
      </c>
      <c r="E875" t="s">
        <v>876</v>
      </c>
      <c r="F875" t="s"/>
      <c r="G875" t="s"/>
      <c r="H875" t="s"/>
      <c r="I875" t="s"/>
      <c r="J875" t="n">
        <v>0</v>
      </c>
      <c r="K875" t="n">
        <v>0</v>
      </c>
      <c r="L875" t="n">
        <v>1</v>
      </c>
      <c r="M875" t="n">
        <v>0</v>
      </c>
    </row>
    <row r="876" spans="1:13">
      <c r="A876" s="1">
        <f>HYPERLINK("http://www.twitter.com/NathanBLawrence/status/994932293545418753", "994932293545418753")</f>
        <v/>
      </c>
      <c r="B876" s="2" t="n">
        <v>43231.56155092592</v>
      </c>
      <c r="C876" t="n">
        <v>0</v>
      </c>
      <c r="D876" t="n">
        <v>1</v>
      </c>
      <c r="E876" t="s">
        <v>877</v>
      </c>
      <c r="F876" t="s"/>
      <c r="G876" t="s"/>
      <c r="H876" t="s"/>
      <c r="I876" t="s"/>
      <c r="J876" t="n">
        <v>0.0772</v>
      </c>
      <c r="K876" t="n">
        <v>0</v>
      </c>
      <c r="L876" t="n">
        <v>0.9419999999999999</v>
      </c>
      <c r="M876" t="n">
        <v>0.058</v>
      </c>
    </row>
    <row r="877" spans="1:13">
      <c r="A877" s="1">
        <f>HYPERLINK("http://www.twitter.com/NathanBLawrence/status/994932194941526016", "994932194941526016")</f>
        <v/>
      </c>
      <c r="B877" s="2" t="n">
        <v>43231.56127314815</v>
      </c>
      <c r="C877" t="n">
        <v>1</v>
      </c>
      <c r="D877" t="n">
        <v>1</v>
      </c>
      <c r="E877" t="s">
        <v>878</v>
      </c>
      <c r="F877">
        <f>HYPERLINK("http://pbs.twimg.com/media/Dc61i-LU0AEmc4d.jpg", "http://pbs.twimg.com/media/Dc61i-LU0AEmc4d.jpg")</f>
        <v/>
      </c>
      <c r="G877" t="s"/>
      <c r="H877" t="s"/>
      <c r="I877" t="s"/>
      <c r="J877" t="n">
        <v>-0.128</v>
      </c>
      <c r="K877" t="n">
        <v>0.096</v>
      </c>
      <c r="L877" t="n">
        <v>0.797</v>
      </c>
      <c r="M877" t="n">
        <v>0.107</v>
      </c>
    </row>
    <row r="878" spans="1:13">
      <c r="A878" s="1">
        <f>HYPERLINK("http://www.twitter.com/NathanBLawrence/status/994930964026548224", "994930964026548224")</f>
        <v/>
      </c>
      <c r="B878" s="2" t="n">
        <v>43231.55788194444</v>
      </c>
      <c r="C878" t="n">
        <v>2</v>
      </c>
      <c r="D878" t="n">
        <v>1</v>
      </c>
      <c r="E878" t="s">
        <v>879</v>
      </c>
      <c r="F878" t="s"/>
      <c r="G878" t="s"/>
      <c r="H878" t="s"/>
      <c r="I878" t="s"/>
      <c r="J878" t="n">
        <v>-0.7783</v>
      </c>
      <c r="K878" t="n">
        <v>0.23</v>
      </c>
      <c r="L878" t="n">
        <v>0.714</v>
      </c>
      <c r="M878" t="n">
        <v>0.056</v>
      </c>
    </row>
    <row r="879" spans="1:13">
      <c r="A879" s="1">
        <f>HYPERLINK("http://www.twitter.com/NathanBLawrence/status/994930719477641216", "994930719477641216")</f>
        <v/>
      </c>
      <c r="B879" s="2" t="n">
        <v>43231.55721064815</v>
      </c>
      <c r="C879" t="n">
        <v>1</v>
      </c>
      <c r="D879" t="n">
        <v>1</v>
      </c>
      <c r="E879" t="s">
        <v>880</v>
      </c>
      <c r="F879">
        <f>HYPERLINK("http://pbs.twimg.com/media/Dc60Nn1VQAINy5c.jpg", "http://pbs.twimg.com/media/Dc60Nn1VQAINy5c.jpg")</f>
        <v/>
      </c>
      <c r="G879" t="s"/>
      <c r="H879" t="s"/>
      <c r="I879" t="s"/>
      <c r="J879" t="n">
        <v>-0.7783</v>
      </c>
      <c r="K879" t="n">
        <v>0.215</v>
      </c>
      <c r="L879" t="n">
        <v>0.732</v>
      </c>
      <c r="M879" t="n">
        <v>0.052</v>
      </c>
    </row>
    <row r="880" spans="1:13">
      <c r="A880" s="1">
        <f>HYPERLINK("http://www.twitter.com/NathanBLawrence/status/994919349231276032", "994919349231276032")</f>
        <v/>
      </c>
      <c r="B880" s="2" t="n">
        <v>43231.52583333333</v>
      </c>
      <c r="C880" t="n">
        <v>0</v>
      </c>
      <c r="D880" t="n">
        <v>2</v>
      </c>
      <c r="E880" t="s">
        <v>881</v>
      </c>
      <c r="F880" t="s"/>
      <c r="G880" t="s"/>
      <c r="H880" t="s"/>
      <c r="I880" t="s"/>
      <c r="J880" t="n">
        <v>0</v>
      </c>
      <c r="K880" t="n">
        <v>0</v>
      </c>
      <c r="L880" t="n">
        <v>1</v>
      </c>
      <c r="M880" t="n">
        <v>0</v>
      </c>
    </row>
    <row r="881" spans="1:13">
      <c r="A881" s="1">
        <f>HYPERLINK("http://www.twitter.com/NathanBLawrence/status/994919315605467136", "994919315605467136")</f>
        <v/>
      </c>
      <c r="B881" s="2" t="n">
        <v>43231.52574074074</v>
      </c>
      <c r="C881" t="n">
        <v>4</v>
      </c>
      <c r="D881" t="n">
        <v>2</v>
      </c>
      <c r="E881" t="s">
        <v>882</v>
      </c>
      <c r="F881" t="s"/>
      <c r="G881" t="s"/>
      <c r="H881" t="s"/>
      <c r="I881" t="s"/>
      <c r="J881" t="n">
        <v>0</v>
      </c>
      <c r="K881" t="n">
        <v>0</v>
      </c>
      <c r="L881" t="n">
        <v>1</v>
      </c>
      <c r="M881" t="n">
        <v>0</v>
      </c>
    </row>
    <row r="882" spans="1:13">
      <c r="A882" s="1">
        <f>HYPERLINK("http://www.twitter.com/NathanBLawrence/status/994918919050858496", "994918919050858496")</f>
        <v/>
      </c>
      <c r="B882" s="2" t="n">
        <v>43231.5246412037</v>
      </c>
      <c r="C882" t="n">
        <v>0</v>
      </c>
      <c r="D882" t="n">
        <v>3</v>
      </c>
      <c r="E882" t="s">
        <v>883</v>
      </c>
      <c r="F882" t="s"/>
      <c r="G882" t="s"/>
      <c r="H882" t="s"/>
      <c r="I882" t="s"/>
      <c r="J882" t="n">
        <v>0.1685</v>
      </c>
      <c r="K882" t="n">
        <v>0.107</v>
      </c>
      <c r="L882" t="n">
        <v>0.712</v>
      </c>
      <c r="M882" t="n">
        <v>0.181</v>
      </c>
    </row>
    <row r="883" spans="1:13">
      <c r="A883" s="1">
        <f>HYPERLINK("http://www.twitter.com/NathanBLawrence/status/994918840667721729", "994918840667721729")</f>
        <v/>
      </c>
      <c r="B883" s="2" t="n">
        <v>43231.52442129629</v>
      </c>
      <c r="C883" t="n">
        <v>0</v>
      </c>
      <c r="D883" t="n">
        <v>3</v>
      </c>
      <c r="E883" t="s">
        <v>884</v>
      </c>
      <c r="F883" t="s"/>
      <c r="G883" t="s"/>
      <c r="H883" t="s"/>
      <c r="I883" t="s"/>
      <c r="J883" t="n">
        <v>0</v>
      </c>
      <c r="K883" t="n">
        <v>0</v>
      </c>
      <c r="L883" t="n">
        <v>1</v>
      </c>
      <c r="M883" t="n">
        <v>0</v>
      </c>
    </row>
    <row r="884" spans="1:13">
      <c r="A884" s="1">
        <f>HYPERLINK("http://www.twitter.com/NathanBLawrence/status/994918828063838210", "994918828063838210")</f>
        <v/>
      </c>
      <c r="B884" s="2" t="n">
        <v>43231.52438657408</v>
      </c>
      <c r="C884" t="n">
        <v>0</v>
      </c>
      <c r="D884" t="n">
        <v>1</v>
      </c>
      <c r="E884" t="s">
        <v>885</v>
      </c>
      <c r="F884" t="s"/>
      <c r="G884" t="s"/>
      <c r="H884" t="s"/>
      <c r="I884" t="s"/>
      <c r="J884" t="n">
        <v>-0.3412</v>
      </c>
      <c r="K884" t="n">
        <v>0.231</v>
      </c>
      <c r="L884" t="n">
        <v>0.769</v>
      </c>
      <c r="M884" t="n">
        <v>0</v>
      </c>
    </row>
    <row r="885" spans="1:13">
      <c r="A885" s="1">
        <f>HYPERLINK("http://www.twitter.com/NathanBLawrence/status/994918776675209216", "994918776675209216")</f>
        <v/>
      </c>
      <c r="B885" s="2" t="n">
        <v>43231.52424768519</v>
      </c>
      <c r="C885" t="n">
        <v>0</v>
      </c>
      <c r="D885" t="n">
        <v>1</v>
      </c>
      <c r="E885" t="s">
        <v>886</v>
      </c>
      <c r="F885" t="s"/>
      <c r="G885" t="s"/>
      <c r="H885" t="s"/>
      <c r="I885" t="s"/>
      <c r="J885" t="n">
        <v>0.7076</v>
      </c>
      <c r="K885" t="n">
        <v>0</v>
      </c>
      <c r="L885" t="n">
        <v>0.781</v>
      </c>
      <c r="M885" t="n">
        <v>0.219</v>
      </c>
    </row>
    <row r="886" spans="1:13">
      <c r="A886" s="1">
        <f>HYPERLINK("http://www.twitter.com/NathanBLawrence/status/994918701228085248", "994918701228085248")</f>
        <v/>
      </c>
      <c r="B886" s="2" t="n">
        <v>43231.52403935185</v>
      </c>
      <c r="C886" t="n">
        <v>0</v>
      </c>
      <c r="D886" t="n">
        <v>16</v>
      </c>
      <c r="E886" t="s">
        <v>887</v>
      </c>
      <c r="F886" t="s"/>
      <c r="G886" t="s"/>
      <c r="H886" t="s"/>
      <c r="I886" t="s"/>
      <c r="J886" t="n">
        <v>0</v>
      </c>
      <c r="K886" t="n">
        <v>0</v>
      </c>
      <c r="L886" t="n">
        <v>1</v>
      </c>
      <c r="M886" t="n">
        <v>0</v>
      </c>
    </row>
    <row r="887" spans="1:13">
      <c r="A887" s="1">
        <f>HYPERLINK("http://www.twitter.com/NathanBLawrence/status/994918518977155073", "994918518977155073")</f>
        <v/>
      </c>
      <c r="B887" s="2" t="n">
        <v>43231.52354166667</v>
      </c>
      <c r="C887" t="n">
        <v>0</v>
      </c>
      <c r="D887" t="n">
        <v>1</v>
      </c>
      <c r="E887" t="s">
        <v>888</v>
      </c>
      <c r="F887" t="s"/>
      <c r="G887" t="s"/>
      <c r="H887" t="s"/>
      <c r="I887" t="s"/>
      <c r="J887" t="n">
        <v>-0.7329</v>
      </c>
      <c r="K887" t="n">
        <v>0.261</v>
      </c>
      <c r="L887" t="n">
        <v>0.656</v>
      </c>
      <c r="M887" t="n">
        <v>0.083</v>
      </c>
    </row>
    <row r="888" spans="1:13">
      <c r="A888" s="1">
        <f>HYPERLINK("http://www.twitter.com/NathanBLawrence/status/994918249065254912", "994918249065254912")</f>
        <v/>
      </c>
      <c r="B888" s="2" t="n">
        <v>43231.52278935185</v>
      </c>
      <c r="C888" t="n">
        <v>0</v>
      </c>
      <c r="D888" t="n">
        <v>1</v>
      </c>
      <c r="E888" t="s">
        <v>889</v>
      </c>
      <c r="F888" t="s"/>
      <c r="G888" t="s"/>
      <c r="H888" t="s"/>
      <c r="I888" t="s"/>
      <c r="J888" t="n">
        <v>0.7845</v>
      </c>
      <c r="K888" t="n">
        <v>0</v>
      </c>
      <c r="L888" t="n">
        <v>0.367</v>
      </c>
      <c r="M888" t="n">
        <v>0.633</v>
      </c>
    </row>
    <row r="889" spans="1:13">
      <c r="A889" s="1">
        <f>HYPERLINK("http://www.twitter.com/NathanBLawrence/status/994917296874377216", "994917296874377216")</f>
        <v/>
      </c>
      <c r="B889" s="2" t="n">
        <v>43231.52016203704</v>
      </c>
      <c r="C889" t="n">
        <v>2</v>
      </c>
      <c r="D889" t="n">
        <v>1</v>
      </c>
      <c r="E889" t="s">
        <v>890</v>
      </c>
      <c r="F889" t="s"/>
      <c r="G889" t="s"/>
      <c r="H889" t="s"/>
      <c r="I889" t="s"/>
      <c r="J889" t="n">
        <v>-0.3412</v>
      </c>
      <c r="K889" t="n">
        <v>0.286</v>
      </c>
      <c r="L889" t="n">
        <v>0.714</v>
      </c>
      <c r="M889" t="n">
        <v>0</v>
      </c>
    </row>
    <row r="890" spans="1:13">
      <c r="A890" s="1">
        <f>HYPERLINK("http://www.twitter.com/NathanBLawrence/status/994916681272254465", "994916681272254465")</f>
        <v/>
      </c>
      <c r="B890" s="2" t="n">
        <v>43231.51847222223</v>
      </c>
      <c r="C890" t="n">
        <v>0</v>
      </c>
      <c r="D890" t="n">
        <v>6</v>
      </c>
      <c r="E890" t="s">
        <v>891</v>
      </c>
      <c r="F890">
        <f>HYPERLINK("http://pbs.twimg.com/media/Dc1SnztXUAA0WsP.jpg", "http://pbs.twimg.com/media/Dc1SnztXUAA0WsP.jpg")</f>
        <v/>
      </c>
      <c r="G890" t="s"/>
      <c r="H890" t="s"/>
      <c r="I890" t="s"/>
      <c r="J890" t="n">
        <v>0</v>
      </c>
      <c r="K890" t="n">
        <v>0</v>
      </c>
      <c r="L890" t="n">
        <v>1</v>
      </c>
      <c r="M890" t="n">
        <v>0</v>
      </c>
    </row>
    <row r="891" spans="1:13">
      <c r="A891" s="1">
        <f>HYPERLINK("http://www.twitter.com/NathanBLawrence/status/994916631838167041", "994916631838167041")</f>
        <v/>
      </c>
      <c r="B891" s="2" t="n">
        <v>43231.51833333333</v>
      </c>
      <c r="C891" t="n">
        <v>0</v>
      </c>
      <c r="D891" t="n">
        <v>2</v>
      </c>
      <c r="E891" t="s">
        <v>892</v>
      </c>
      <c r="F891" t="s"/>
      <c r="G891" t="s"/>
      <c r="H891" t="s"/>
      <c r="I891" t="s"/>
      <c r="J891" t="n">
        <v>-0.5707</v>
      </c>
      <c r="K891" t="n">
        <v>0.425</v>
      </c>
      <c r="L891" t="n">
        <v>0.575</v>
      </c>
      <c r="M891" t="n">
        <v>0</v>
      </c>
    </row>
    <row r="892" spans="1:13">
      <c r="A892" s="1">
        <f>HYPERLINK("http://www.twitter.com/NathanBLawrence/status/994905651783634944", "994905651783634944")</f>
        <v/>
      </c>
      <c r="B892" s="2" t="n">
        <v>43231.4880324074</v>
      </c>
      <c r="C892" t="n">
        <v>0</v>
      </c>
      <c r="D892" t="n">
        <v>9</v>
      </c>
      <c r="E892" t="s">
        <v>893</v>
      </c>
      <c r="F892" t="s"/>
      <c r="G892" t="s"/>
      <c r="H892" t="s"/>
      <c r="I892" t="s"/>
      <c r="J892" t="n">
        <v>0</v>
      </c>
      <c r="K892" t="n">
        <v>0</v>
      </c>
      <c r="L892" t="n">
        <v>1</v>
      </c>
      <c r="M892" t="n">
        <v>0</v>
      </c>
    </row>
    <row r="893" spans="1:13">
      <c r="A893" s="1">
        <f>HYPERLINK("http://www.twitter.com/NathanBLawrence/status/994905464386260992", "994905464386260992")</f>
        <v/>
      </c>
      <c r="B893" s="2" t="n">
        <v>43231.48751157407</v>
      </c>
      <c r="C893" t="n">
        <v>0</v>
      </c>
      <c r="D893" t="n">
        <v>92</v>
      </c>
      <c r="E893" t="s">
        <v>894</v>
      </c>
      <c r="F893" t="s"/>
      <c r="G893" t="s"/>
      <c r="H893" t="s"/>
      <c r="I893" t="s"/>
      <c r="J893" t="n">
        <v>0.3612</v>
      </c>
      <c r="K893" t="n">
        <v>0</v>
      </c>
      <c r="L893" t="n">
        <v>0.8</v>
      </c>
      <c r="M893" t="n">
        <v>0.2</v>
      </c>
    </row>
    <row r="894" spans="1:13">
      <c r="A894" s="1">
        <f>HYPERLINK("http://www.twitter.com/NathanBLawrence/status/994905420039966720", "994905420039966720")</f>
        <v/>
      </c>
      <c r="B894" s="2" t="n">
        <v>43231.48739583333</v>
      </c>
      <c r="C894" t="n">
        <v>0</v>
      </c>
      <c r="D894" t="n">
        <v>1</v>
      </c>
      <c r="E894" t="s">
        <v>895</v>
      </c>
      <c r="F894" t="s"/>
      <c r="G894" t="s"/>
      <c r="H894" t="s"/>
      <c r="I894" t="s"/>
      <c r="J894" t="n">
        <v>0</v>
      </c>
      <c r="K894" t="n">
        <v>0</v>
      </c>
      <c r="L894" t="n">
        <v>1</v>
      </c>
      <c r="M894" t="n">
        <v>0</v>
      </c>
    </row>
    <row r="895" spans="1:13">
      <c r="A895" s="1">
        <f>HYPERLINK("http://www.twitter.com/NathanBLawrence/status/994905198375133186", "994905198375133186")</f>
        <v/>
      </c>
      <c r="B895" s="2" t="n">
        <v>43231.48678240741</v>
      </c>
      <c r="C895" t="n">
        <v>0</v>
      </c>
      <c r="D895" t="n">
        <v>3</v>
      </c>
      <c r="E895" t="s">
        <v>896</v>
      </c>
      <c r="F895" t="s"/>
      <c r="G895" t="s"/>
      <c r="H895" t="s"/>
      <c r="I895" t="s"/>
      <c r="J895" t="n">
        <v>-0.5106000000000001</v>
      </c>
      <c r="K895" t="n">
        <v>0.171</v>
      </c>
      <c r="L895" t="n">
        <v>0.829</v>
      </c>
      <c r="M895" t="n">
        <v>0</v>
      </c>
    </row>
    <row r="896" spans="1:13">
      <c r="A896" s="1">
        <f>HYPERLINK("http://www.twitter.com/NathanBLawrence/status/994905096180916224", "994905096180916224")</f>
        <v/>
      </c>
      <c r="B896" s="2" t="n">
        <v>43231.48650462963</v>
      </c>
      <c r="C896" t="n">
        <v>3</v>
      </c>
      <c r="D896" t="n">
        <v>3</v>
      </c>
      <c r="E896" t="s">
        <v>897</v>
      </c>
      <c r="F896" t="s"/>
      <c r="G896" t="s"/>
      <c r="H896" t="s"/>
      <c r="I896" t="s"/>
      <c r="J896" t="n">
        <v>-0.6288</v>
      </c>
      <c r="K896" t="n">
        <v>0.103</v>
      </c>
      <c r="L896" t="n">
        <v>0.897</v>
      </c>
      <c r="M896" t="n">
        <v>0</v>
      </c>
    </row>
    <row r="897" spans="1:13">
      <c r="A897" s="1">
        <f>HYPERLINK("http://www.twitter.com/NathanBLawrence/status/994903583782068224", "994903583782068224")</f>
        <v/>
      </c>
      <c r="B897" s="2" t="n">
        <v>43231.48232638889</v>
      </c>
      <c r="C897" t="n">
        <v>0</v>
      </c>
      <c r="D897" t="n">
        <v>4</v>
      </c>
      <c r="E897" t="s">
        <v>898</v>
      </c>
      <c r="F897" t="s"/>
      <c r="G897" t="s"/>
      <c r="H897" t="s"/>
      <c r="I897" t="s"/>
      <c r="J897" t="n">
        <v>-0.4469</v>
      </c>
      <c r="K897" t="n">
        <v>0.264</v>
      </c>
      <c r="L897" t="n">
        <v>0.5639999999999999</v>
      </c>
      <c r="M897" t="n">
        <v>0.172</v>
      </c>
    </row>
    <row r="898" spans="1:13">
      <c r="A898" s="1">
        <f>HYPERLINK("http://www.twitter.com/NathanBLawrence/status/994903305099907075", "994903305099907075")</f>
        <v/>
      </c>
      <c r="B898" s="2" t="n">
        <v>43231.4815625</v>
      </c>
      <c r="C898" t="n">
        <v>1</v>
      </c>
      <c r="D898" t="n">
        <v>1</v>
      </c>
      <c r="E898" t="s">
        <v>899</v>
      </c>
      <c r="F898">
        <f>HYPERLINK("http://pbs.twimg.com/media/Dc6bRwaX0AAySHs.jpg", "http://pbs.twimg.com/media/Dc6bRwaX0AAySHs.jpg")</f>
        <v/>
      </c>
      <c r="G898" t="s"/>
      <c r="H898" t="s"/>
      <c r="I898" t="s"/>
      <c r="J898" t="n">
        <v>0</v>
      </c>
      <c r="K898" t="n">
        <v>0</v>
      </c>
      <c r="L898" t="n">
        <v>1</v>
      </c>
      <c r="M898" t="n">
        <v>0</v>
      </c>
    </row>
    <row r="899" spans="1:13">
      <c r="A899" s="1">
        <f>HYPERLINK("http://www.twitter.com/NathanBLawrence/status/994903007610507264", "994903007610507264")</f>
        <v/>
      </c>
      <c r="B899" s="2" t="n">
        <v>43231.48074074074</v>
      </c>
      <c r="C899" t="n">
        <v>0</v>
      </c>
      <c r="D899" t="n">
        <v>3</v>
      </c>
      <c r="E899" t="s">
        <v>900</v>
      </c>
      <c r="F899" t="s"/>
      <c r="G899" t="s"/>
      <c r="H899" t="s"/>
      <c r="I899" t="s"/>
      <c r="J899" t="n">
        <v>0.2732</v>
      </c>
      <c r="K899" t="n">
        <v>0</v>
      </c>
      <c r="L899" t="n">
        <v>0.9</v>
      </c>
      <c r="M899" t="n">
        <v>0.1</v>
      </c>
    </row>
    <row r="900" spans="1:13">
      <c r="A900" s="1">
        <f>HYPERLINK("http://www.twitter.com/NathanBLawrence/status/994902947271192577", "994902947271192577")</f>
        <v/>
      </c>
      <c r="B900" s="2" t="n">
        <v>43231.48056712963</v>
      </c>
      <c r="C900" t="n">
        <v>0</v>
      </c>
      <c r="D900" t="n">
        <v>2</v>
      </c>
      <c r="E900" t="s">
        <v>901</v>
      </c>
      <c r="F900" t="s"/>
      <c r="G900" t="s"/>
      <c r="H900" t="s"/>
      <c r="I900" t="s"/>
      <c r="J900" t="n">
        <v>-0.34</v>
      </c>
      <c r="K900" t="n">
        <v>0.117</v>
      </c>
      <c r="L900" t="n">
        <v>0.8159999999999999</v>
      </c>
      <c r="M900" t="n">
        <v>0.067</v>
      </c>
    </row>
    <row r="901" spans="1:13">
      <c r="A901" s="1">
        <f>HYPERLINK("http://www.twitter.com/NathanBLawrence/status/994807840488480768", "994807840488480768")</f>
        <v/>
      </c>
      <c r="B901" s="2" t="n">
        <v>43231.218125</v>
      </c>
      <c r="C901" t="n">
        <v>7</v>
      </c>
      <c r="D901" t="n">
        <v>4</v>
      </c>
      <c r="E901" t="s">
        <v>902</v>
      </c>
      <c r="F901" t="s"/>
      <c r="G901" t="s"/>
      <c r="H901" t="s"/>
      <c r="I901" t="s"/>
      <c r="J901" t="n">
        <v>-0.9223</v>
      </c>
      <c r="K901" t="n">
        <v>0.281</v>
      </c>
      <c r="L901" t="n">
        <v>0.719</v>
      </c>
      <c r="M901" t="n">
        <v>0</v>
      </c>
    </row>
    <row r="902" spans="1:13">
      <c r="A902" s="1">
        <f>HYPERLINK("http://www.twitter.com/NathanBLawrence/status/994806480334393344", "994806480334393344")</f>
        <v/>
      </c>
      <c r="B902" s="2" t="n">
        <v>43231.214375</v>
      </c>
      <c r="C902" t="n">
        <v>0</v>
      </c>
      <c r="D902" t="n">
        <v>2</v>
      </c>
      <c r="E902" t="s">
        <v>903</v>
      </c>
      <c r="F902">
        <f>HYPERLINK("http://pbs.twimg.com/media/Dc5BXSbXkAA78ga.jpg", "http://pbs.twimg.com/media/Dc5BXSbXkAA78ga.jpg")</f>
        <v/>
      </c>
      <c r="G902" t="s"/>
      <c r="H902" t="s"/>
      <c r="I902" t="s"/>
      <c r="J902" t="n">
        <v>0.1779</v>
      </c>
      <c r="K902" t="n">
        <v>0.241</v>
      </c>
      <c r="L902" t="n">
        <v>0.535</v>
      </c>
      <c r="M902" t="n">
        <v>0.225</v>
      </c>
    </row>
    <row r="903" spans="1:13">
      <c r="A903" s="1">
        <f>HYPERLINK("http://www.twitter.com/NathanBLawrence/status/994806436290064384", "994806436290064384")</f>
        <v/>
      </c>
      <c r="B903" s="2" t="n">
        <v>43231.21424768519</v>
      </c>
      <c r="C903" t="n">
        <v>0</v>
      </c>
      <c r="D903" t="n">
        <v>1</v>
      </c>
      <c r="E903" t="s">
        <v>904</v>
      </c>
      <c r="F903" t="s"/>
      <c r="G903" t="s"/>
      <c r="H903" t="s"/>
      <c r="I903" t="s"/>
      <c r="J903" t="n">
        <v>0.3724</v>
      </c>
      <c r="K903" t="n">
        <v>0</v>
      </c>
      <c r="L903" t="n">
        <v>0.779</v>
      </c>
      <c r="M903" t="n">
        <v>0.221</v>
      </c>
    </row>
    <row r="904" spans="1:13">
      <c r="A904" s="1">
        <f>HYPERLINK("http://www.twitter.com/NathanBLawrence/status/994806352223637506", "994806352223637506")</f>
        <v/>
      </c>
      <c r="B904" s="2" t="n">
        <v>43231.2140162037</v>
      </c>
      <c r="C904" t="n">
        <v>0</v>
      </c>
      <c r="D904" t="n">
        <v>5</v>
      </c>
      <c r="E904" t="s">
        <v>905</v>
      </c>
      <c r="F904">
        <f>HYPERLINK("http://pbs.twimg.com/media/Dc5CO3zWAAAl9eg.jpg", "http://pbs.twimg.com/media/Dc5CO3zWAAAl9eg.jpg")</f>
        <v/>
      </c>
      <c r="G904" t="s"/>
      <c r="H904" t="s"/>
      <c r="I904" t="s"/>
      <c r="J904" t="n">
        <v>-0.802</v>
      </c>
      <c r="K904" t="n">
        <v>0.291</v>
      </c>
      <c r="L904" t="n">
        <v>0.709</v>
      </c>
      <c r="M904" t="n">
        <v>0</v>
      </c>
    </row>
    <row r="905" spans="1:13">
      <c r="A905" s="1">
        <f>HYPERLINK("http://www.twitter.com/NathanBLawrence/status/994806336377556994", "994806336377556994")</f>
        <v/>
      </c>
      <c r="B905" s="2" t="n">
        <v>43231.21396990741</v>
      </c>
      <c r="C905" t="n">
        <v>0</v>
      </c>
      <c r="D905" t="n">
        <v>2</v>
      </c>
      <c r="E905" t="s">
        <v>906</v>
      </c>
      <c r="F905">
        <f>HYPERLINK("http://pbs.twimg.com/media/Dc5DEUFWsAEOupS.jpg", "http://pbs.twimg.com/media/Dc5DEUFWsAEOupS.jpg")</f>
        <v/>
      </c>
      <c r="G905" t="s"/>
      <c r="H905" t="s"/>
      <c r="I905" t="s"/>
      <c r="J905" t="n">
        <v>0.5574</v>
      </c>
      <c r="K905" t="n">
        <v>0</v>
      </c>
      <c r="L905" t="n">
        <v>0.796</v>
      </c>
      <c r="M905" t="n">
        <v>0.204</v>
      </c>
    </row>
    <row r="906" spans="1:13">
      <c r="A906" s="1">
        <f>HYPERLINK("http://www.twitter.com/NathanBLawrence/status/994806316685291521", "994806316685291521")</f>
        <v/>
      </c>
      <c r="B906" s="2" t="n">
        <v>43231.21392361111</v>
      </c>
      <c r="C906" t="n">
        <v>3</v>
      </c>
      <c r="D906" t="n">
        <v>2</v>
      </c>
      <c r="E906" t="s">
        <v>907</v>
      </c>
      <c r="F906">
        <f>HYPERLINK("http://pbs.twimg.com/media/Dc5DEUFWsAEOupS.jpg", "http://pbs.twimg.com/media/Dc5DEUFWsAEOupS.jpg")</f>
        <v/>
      </c>
      <c r="G906" t="s"/>
      <c r="H906" t="s"/>
      <c r="I906" t="s"/>
      <c r="J906" t="n">
        <v>0.0258</v>
      </c>
      <c r="K906" t="n">
        <v>0.133</v>
      </c>
      <c r="L906" t="n">
        <v>0.731</v>
      </c>
      <c r="M906" t="n">
        <v>0.135</v>
      </c>
    </row>
    <row r="907" spans="1:13">
      <c r="A907" s="1">
        <f>HYPERLINK("http://www.twitter.com/NathanBLawrence/status/994805424212840448", "994805424212840448")</f>
        <v/>
      </c>
      <c r="B907" s="2" t="n">
        <v>43231.21145833333</v>
      </c>
      <c r="C907" t="n">
        <v>0</v>
      </c>
      <c r="D907" t="n">
        <v>10</v>
      </c>
      <c r="E907" t="s">
        <v>908</v>
      </c>
      <c r="F907" t="s"/>
      <c r="G907" t="s"/>
      <c r="H907" t="s"/>
      <c r="I907" t="s"/>
      <c r="J907" t="n">
        <v>0</v>
      </c>
      <c r="K907" t="n">
        <v>0</v>
      </c>
      <c r="L907" t="n">
        <v>1</v>
      </c>
      <c r="M907" t="n">
        <v>0</v>
      </c>
    </row>
    <row r="908" spans="1:13">
      <c r="A908" s="1">
        <f>HYPERLINK("http://www.twitter.com/NathanBLawrence/status/994805399290351617", "994805399290351617")</f>
        <v/>
      </c>
      <c r="B908" s="2" t="n">
        <v>43231.21138888889</v>
      </c>
      <c r="C908" t="n">
        <v>6</v>
      </c>
      <c r="D908" t="n">
        <v>5</v>
      </c>
      <c r="E908" t="s">
        <v>909</v>
      </c>
      <c r="F908">
        <f>HYPERLINK("http://pbs.twimg.com/media/Dc5CO3zWAAAl9eg.jpg", "http://pbs.twimg.com/media/Dc5CO3zWAAAl9eg.jpg")</f>
        <v/>
      </c>
      <c r="G908" t="s"/>
      <c r="H908" t="s"/>
      <c r="I908" t="s"/>
      <c r="J908" t="n">
        <v>-0.765</v>
      </c>
      <c r="K908" t="n">
        <v>0.195</v>
      </c>
      <c r="L908" t="n">
        <v>0.755</v>
      </c>
      <c r="M908" t="n">
        <v>0.05</v>
      </c>
    </row>
    <row r="909" spans="1:13">
      <c r="A909" s="1">
        <f>HYPERLINK("http://www.twitter.com/NathanBLawrence/status/994804442699616256", "994804442699616256")</f>
        <v/>
      </c>
      <c r="B909" s="2" t="n">
        <v>43231.20875</v>
      </c>
      <c r="C909" t="n">
        <v>3</v>
      </c>
      <c r="D909" t="n">
        <v>2</v>
      </c>
      <c r="E909" t="s">
        <v>910</v>
      </c>
      <c r="F909">
        <f>HYPERLINK("http://pbs.twimg.com/media/Dc5BXSbXkAA78ga.jpg", "http://pbs.twimg.com/media/Dc5BXSbXkAA78ga.jpg")</f>
        <v/>
      </c>
      <c r="G909" t="s"/>
      <c r="H909" t="s"/>
      <c r="I909" t="s"/>
      <c r="J909" t="n">
        <v>0.1779</v>
      </c>
      <c r="K909" t="n">
        <v>0.269</v>
      </c>
      <c r="L909" t="n">
        <v>0.479</v>
      </c>
      <c r="M909" t="n">
        <v>0.251</v>
      </c>
    </row>
    <row r="910" spans="1:13">
      <c r="A910" s="1">
        <f>HYPERLINK("http://www.twitter.com/NathanBLawrence/status/994803864749604864", "994803864749604864")</f>
        <v/>
      </c>
      <c r="B910" s="2" t="n">
        <v>43231.20715277778</v>
      </c>
      <c r="C910" t="n">
        <v>0</v>
      </c>
      <c r="D910" t="n">
        <v>1</v>
      </c>
      <c r="E910" t="s">
        <v>911</v>
      </c>
      <c r="F910" t="s"/>
      <c r="G910" t="s"/>
      <c r="H910" t="s"/>
      <c r="I910" t="s"/>
      <c r="J910" t="n">
        <v>0.3987</v>
      </c>
      <c r="K910" t="n">
        <v>0</v>
      </c>
      <c r="L910" t="n">
        <v>0.8169999999999999</v>
      </c>
      <c r="M910" t="n">
        <v>0.183</v>
      </c>
    </row>
    <row r="911" spans="1:13">
      <c r="A911" s="1">
        <f>HYPERLINK("http://www.twitter.com/NathanBLawrence/status/994803823716773888", "994803823716773888")</f>
        <v/>
      </c>
      <c r="B911" s="2" t="n">
        <v>43231.20703703703</v>
      </c>
      <c r="C911" t="n">
        <v>1</v>
      </c>
      <c r="D911" t="n">
        <v>1</v>
      </c>
      <c r="E911" t="s">
        <v>912</v>
      </c>
      <c r="F911" t="s"/>
      <c r="G911" t="s"/>
      <c r="H911" t="s"/>
      <c r="I911" t="s"/>
      <c r="J911" t="n">
        <v>0</v>
      </c>
      <c r="K911" t="n">
        <v>0</v>
      </c>
      <c r="L911" t="n">
        <v>1</v>
      </c>
      <c r="M911" t="n">
        <v>0</v>
      </c>
    </row>
    <row r="912" spans="1:13">
      <c r="A912" s="1">
        <f>HYPERLINK("http://www.twitter.com/NathanBLawrence/status/994803750723301376", "994803750723301376")</f>
        <v/>
      </c>
      <c r="B912" s="2" t="n">
        <v>43231.20684027778</v>
      </c>
      <c r="C912" t="n">
        <v>0</v>
      </c>
      <c r="D912" t="n">
        <v>1</v>
      </c>
      <c r="E912" t="s">
        <v>913</v>
      </c>
      <c r="F912" t="s"/>
      <c r="G912" t="s"/>
      <c r="H912" t="s"/>
      <c r="I912" t="s"/>
      <c r="J912" t="n">
        <v>0</v>
      </c>
      <c r="K912" t="n">
        <v>0</v>
      </c>
      <c r="L912" t="n">
        <v>1</v>
      </c>
      <c r="M912" t="n">
        <v>0</v>
      </c>
    </row>
    <row r="913" spans="1:13">
      <c r="A913" s="1">
        <f>HYPERLINK("http://www.twitter.com/NathanBLawrence/status/994802173455339520", "994802173455339520")</f>
        <v/>
      </c>
      <c r="B913" s="2" t="n">
        <v>43231.20248842592</v>
      </c>
      <c r="C913" t="n">
        <v>0</v>
      </c>
      <c r="D913" t="n">
        <v>2</v>
      </c>
      <c r="E913" t="s">
        <v>914</v>
      </c>
      <c r="F913" t="s"/>
      <c r="G913" t="s"/>
      <c r="H913" t="s"/>
      <c r="I913" t="s"/>
      <c r="J913" t="n">
        <v>0.128</v>
      </c>
      <c r="K913" t="n">
        <v>0.147</v>
      </c>
      <c r="L913" t="n">
        <v>0.675</v>
      </c>
      <c r="M913" t="n">
        <v>0.178</v>
      </c>
    </row>
    <row r="914" spans="1:13">
      <c r="A914" s="1">
        <f>HYPERLINK("http://www.twitter.com/NathanBLawrence/status/994802116668608513", "994802116668608513")</f>
        <v/>
      </c>
      <c r="B914" s="2" t="n">
        <v>43231.20232638889</v>
      </c>
      <c r="C914" t="n">
        <v>2</v>
      </c>
      <c r="D914" t="n">
        <v>2</v>
      </c>
      <c r="E914" t="s">
        <v>915</v>
      </c>
      <c r="F914" t="s"/>
      <c r="G914" t="s"/>
      <c r="H914" t="s"/>
      <c r="I914" t="s"/>
      <c r="J914" t="n">
        <v>0.128</v>
      </c>
      <c r="K914" t="n">
        <v>0.168</v>
      </c>
      <c r="L914" t="n">
        <v>0.629</v>
      </c>
      <c r="M914" t="n">
        <v>0.203</v>
      </c>
    </row>
    <row r="915" spans="1:13">
      <c r="A915" s="1">
        <f>HYPERLINK("http://www.twitter.com/NathanBLawrence/status/994801207511257089", "994801207511257089")</f>
        <v/>
      </c>
      <c r="B915" s="2" t="n">
        <v>43231.19982638889</v>
      </c>
      <c r="C915" t="n">
        <v>0</v>
      </c>
      <c r="D915" t="n">
        <v>4</v>
      </c>
      <c r="E915" t="s">
        <v>916</v>
      </c>
      <c r="F915" t="s"/>
      <c r="G915" t="s"/>
      <c r="H915" t="s"/>
      <c r="I915" t="s"/>
      <c r="J915" t="n">
        <v>0</v>
      </c>
      <c r="K915" t="n">
        <v>0</v>
      </c>
      <c r="L915" t="n">
        <v>1</v>
      </c>
      <c r="M915" t="n">
        <v>0</v>
      </c>
    </row>
    <row r="916" spans="1:13">
      <c r="A916" s="1">
        <f>HYPERLINK("http://www.twitter.com/NathanBLawrence/status/994801176494436353", "994801176494436353")</f>
        <v/>
      </c>
      <c r="B916" s="2" t="n">
        <v>43231.1997337963</v>
      </c>
      <c r="C916" t="n">
        <v>4</v>
      </c>
      <c r="D916" t="n">
        <v>4</v>
      </c>
      <c r="E916" t="s">
        <v>917</v>
      </c>
      <c r="F916" t="s"/>
      <c r="G916" t="s"/>
      <c r="H916" t="s"/>
      <c r="I916" t="s"/>
      <c r="J916" t="n">
        <v>-0.8270999999999999</v>
      </c>
      <c r="K916" t="n">
        <v>0.149</v>
      </c>
      <c r="L916" t="n">
        <v>0.851</v>
      </c>
      <c r="M916" t="n">
        <v>0</v>
      </c>
    </row>
    <row r="917" spans="1:13">
      <c r="A917" s="1">
        <f>HYPERLINK("http://www.twitter.com/NathanBLawrence/status/994797277012258817", "994797277012258817")</f>
        <v/>
      </c>
      <c r="B917" s="2" t="n">
        <v>43231.18896990741</v>
      </c>
      <c r="C917" t="n">
        <v>0</v>
      </c>
      <c r="D917" t="n">
        <v>3</v>
      </c>
      <c r="E917" t="s">
        <v>918</v>
      </c>
      <c r="F917">
        <f>HYPERLINK("http://pbs.twimg.com/media/Dc1yIuqVQAAUbnm.jpg", "http://pbs.twimg.com/media/Dc1yIuqVQAAUbnm.jpg")</f>
        <v/>
      </c>
      <c r="G917" t="s"/>
      <c r="H917" t="s"/>
      <c r="I917" t="s"/>
      <c r="J917" t="n">
        <v>-0.6908</v>
      </c>
      <c r="K917" t="n">
        <v>0.343</v>
      </c>
      <c r="L917" t="n">
        <v>0.657</v>
      </c>
      <c r="M917" t="n">
        <v>0</v>
      </c>
    </row>
    <row r="918" spans="1:13">
      <c r="A918" s="1">
        <f>HYPERLINK("http://www.twitter.com/NathanBLawrence/status/994796720474284032", "994796720474284032")</f>
        <v/>
      </c>
      <c r="B918" s="2" t="n">
        <v>43231.18744212963</v>
      </c>
      <c r="C918" t="n">
        <v>0</v>
      </c>
      <c r="D918" t="n">
        <v>90</v>
      </c>
      <c r="E918" t="s">
        <v>919</v>
      </c>
      <c r="F918">
        <f>HYPERLINK("http://pbs.twimg.com/media/Dc2RgBcVQAEEe-v.jpg", "http://pbs.twimg.com/media/Dc2RgBcVQAEEe-v.jpg")</f>
        <v/>
      </c>
      <c r="G918" t="s"/>
      <c r="H918" t="s"/>
      <c r="I918" t="s"/>
      <c r="J918" t="n">
        <v>-0.2755</v>
      </c>
      <c r="K918" t="n">
        <v>0.209</v>
      </c>
      <c r="L918" t="n">
        <v>0.791</v>
      </c>
      <c r="M918" t="n">
        <v>0</v>
      </c>
    </row>
    <row r="919" spans="1:13">
      <c r="A919" s="1">
        <f>HYPERLINK("http://www.twitter.com/NathanBLawrence/status/994796369129992195", "994796369129992195")</f>
        <v/>
      </c>
      <c r="B919" s="2" t="n">
        <v>43231.18646990741</v>
      </c>
      <c r="C919" t="n">
        <v>0</v>
      </c>
      <c r="D919" t="n">
        <v>1065</v>
      </c>
      <c r="E919" t="s">
        <v>920</v>
      </c>
      <c r="F919" t="s"/>
      <c r="G919" t="s"/>
      <c r="H919" t="s"/>
      <c r="I919" t="s"/>
      <c r="J919" t="n">
        <v>-0.4835</v>
      </c>
      <c r="K919" t="n">
        <v>0.242</v>
      </c>
      <c r="L919" t="n">
        <v>0.624</v>
      </c>
      <c r="M919" t="n">
        <v>0.133</v>
      </c>
    </row>
    <row r="920" spans="1:13">
      <c r="A920" s="1">
        <f>HYPERLINK("http://www.twitter.com/NathanBLawrence/status/994796330169065472", "994796330169065472")</f>
        <v/>
      </c>
      <c r="B920" s="2" t="n">
        <v>43231.18636574074</v>
      </c>
      <c r="C920" t="n">
        <v>0</v>
      </c>
      <c r="D920" t="n">
        <v>2</v>
      </c>
      <c r="E920" t="s">
        <v>921</v>
      </c>
      <c r="F920" t="s"/>
      <c r="G920" t="s"/>
      <c r="H920" t="s"/>
      <c r="I920" t="s"/>
      <c r="J920" t="n">
        <v>-0.6908</v>
      </c>
      <c r="K920" t="n">
        <v>0.288</v>
      </c>
      <c r="L920" t="n">
        <v>0.607</v>
      </c>
      <c r="M920" t="n">
        <v>0.105</v>
      </c>
    </row>
    <row r="921" spans="1:13">
      <c r="A921" s="1">
        <f>HYPERLINK("http://www.twitter.com/NathanBLawrence/status/994796289996087297", "994796289996087297")</f>
        <v/>
      </c>
      <c r="B921" s="2" t="n">
        <v>43231.18625</v>
      </c>
      <c r="C921" t="n">
        <v>0</v>
      </c>
      <c r="D921" t="n">
        <v>8</v>
      </c>
      <c r="E921" t="s">
        <v>922</v>
      </c>
      <c r="F921" t="s"/>
      <c r="G921" t="s"/>
      <c r="H921" t="s"/>
      <c r="I921" t="s"/>
      <c r="J921" t="n">
        <v>-0.5574</v>
      </c>
      <c r="K921" t="n">
        <v>0.231</v>
      </c>
      <c r="L921" t="n">
        <v>0.769</v>
      </c>
      <c r="M921" t="n">
        <v>0</v>
      </c>
    </row>
    <row r="922" spans="1:13">
      <c r="A922" s="1">
        <f>HYPERLINK("http://www.twitter.com/NathanBLawrence/status/994796194298826752", "994796194298826752")</f>
        <v/>
      </c>
      <c r="B922" s="2" t="n">
        <v>43231.1859837963</v>
      </c>
      <c r="C922" t="n">
        <v>0</v>
      </c>
      <c r="D922" t="n">
        <v>20</v>
      </c>
      <c r="E922" t="s">
        <v>923</v>
      </c>
      <c r="F922" t="s"/>
      <c r="G922" t="s"/>
      <c r="H922" t="s"/>
      <c r="I922" t="s"/>
      <c r="J922" t="n">
        <v>-0.4019</v>
      </c>
      <c r="K922" t="n">
        <v>0.144</v>
      </c>
      <c r="L922" t="n">
        <v>0.856</v>
      </c>
      <c r="M922" t="n">
        <v>0</v>
      </c>
    </row>
    <row r="923" spans="1:13">
      <c r="A923" s="1">
        <f>HYPERLINK("http://www.twitter.com/NathanBLawrence/status/994796042511114243", "994796042511114243")</f>
        <v/>
      </c>
      <c r="B923" s="2" t="n">
        <v>43231.18556712963</v>
      </c>
      <c r="C923" t="n">
        <v>1</v>
      </c>
      <c r="D923" t="n">
        <v>1</v>
      </c>
      <c r="E923" t="s">
        <v>924</v>
      </c>
      <c r="F923">
        <f>HYPERLINK("http://pbs.twimg.com/media/Dc45uLiWkAAMeSM.jpg", "http://pbs.twimg.com/media/Dc45uLiWkAAMeSM.jpg")</f>
        <v/>
      </c>
      <c r="G923" t="s"/>
      <c r="H923" t="s"/>
      <c r="I923" t="s"/>
      <c r="J923" t="n">
        <v>0</v>
      </c>
      <c r="K923" t="n">
        <v>0</v>
      </c>
      <c r="L923" t="n">
        <v>1</v>
      </c>
      <c r="M923" t="n">
        <v>0</v>
      </c>
    </row>
    <row r="924" spans="1:13">
      <c r="A924" s="1">
        <f>HYPERLINK("http://www.twitter.com/NathanBLawrence/status/994795979470704641", "994795979470704641")</f>
        <v/>
      </c>
      <c r="B924" s="2" t="n">
        <v>43231.18539351852</v>
      </c>
      <c r="C924" t="n">
        <v>0</v>
      </c>
      <c r="D924" t="n">
        <v>8</v>
      </c>
      <c r="E924" t="s">
        <v>925</v>
      </c>
      <c r="F924" t="s"/>
      <c r="G924" t="s"/>
      <c r="H924" t="s"/>
      <c r="I924" t="s"/>
      <c r="J924" t="n">
        <v>-0.0772</v>
      </c>
      <c r="K924" t="n">
        <v>0.149</v>
      </c>
      <c r="L924" t="n">
        <v>0.718</v>
      </c>
      <c r="M924" t="n">
        <v>0.133</v>
      </c>
    </row>
    <row r="925" spans="1:13">
      <c r="A925" s="1">
        <f>HYPERLINK("http://www.twitter.com/NathanBLawrence/status/994795915008409601", "994795915008409601")</f>
        <v/>
      </c>
      <c r="B925" s="2" t="n">
        <v>43231.18521990741</v>
      </c>
      <c r="C925" t="n">
        <v>0</v>
      </c>
      <c r="D925" t="n">
        <v>1</v>
      </c>
      <c r="E925" t="s">
        <v>926</v>
      </c>
      <c r="F925" t="s"/>
      <c r="G925" t="s"/>
      <c r="H925" t="s"/>
      <c r="I925" t="s"/>
      <c r="J925" t="n">
        <v>0</v>
      </c>
      <c r="K925" t="n">
        <v>0</v>
      </c>
      <c r="L925" t="n">
        <v>1</v>
      </c>
      <c r="M925" t="n">
        <v>0</v>
      </c>
    </row>
    <row r="926" spans="1:13">
      <c r="A926" s="1">
        <f>HYPERLINK("http://www.twitter.com/NathanBLawrence/status/994795805314813952", "994795805314813952")</f>
        <v/>
      </c>
      <c r="B926" s="2" t="n">
        <v>43231.18491898148</v>
      </c>
      <c r="C926" t="n">
        <v>3</v>
      </c>
      <c r="D926" t="n">
        <v>2</v>
      </c>
      <c r="E926" t="s">
        <v>927</v>
      </c>
      <c r="F926" t="s"/>
      <c r="G926" t="s"/>
      <c r="H926" t="s"/>
      <c r="I926" t="s"/>
      <c r="J926" t="n">
        <v>0</v>
      </c>
      <c r="K926" t="n">
        <v>0</v>
      </c>
      <c r="L926" t="n">
        <v>1</v>
      </c>
      <c r="M926" t="n">
        <v>0</v>
      </c>
    </row>
    <row r="927" spans="1:13">
      <c r="A927" s="1">
        <f>HYPERLINK("http://www.twitter.com/NathanBLawrence/status/994795763677966336", "994795763677966336")</f>
        <v/>
      </c>
      <c r="B927" s="2" t="n">
        <v>43231.18480324074</v>
      </c>
      <c r="C927" t="n">
        <v>0</v>
      </c>
      <c r="D927" t="n">
        <v>4</v>
      </c>
      <c r="E927" t="s">
        <v>928</v>
      </c>
      <c r="F927" t="s"/>
      <c r="G927" t="s"/>
      <c r="H927" t="s"/>
      <c r="I927" t="s"/>
      <c r="J927" t="n">
        <v>0.3612</v>
      </c>
      <c r="K927" t="n">
        <v>0</v>
      </c>
      <c r="L927" t="n">
        <v>0.889</v>
      </c>
      <c r="M927" t="n">
        <v>0.111</v>
      </c>
    </row>
    <row r="928" spans="1:13">
      <c r="A928" s="1">
        <f>HYPERLINK("http://www.twitter.com/NathanBLawrence/status/994795634229202945", "994795634229202945")</f>
        <v/>
      </c>
      <c r="B928" s="2" t="n">
        <v>43231.18444444444</v>
      </c>
      <c r="C928" t="n">
        <v>3</v>
      </c>
      <c r="D928" t="n">
        <v>1</v>
      </c>
      <c r="E928" t="s">
        <v>929</v>
      </c>
      <c r="F928" t="s"/>
      <c r="G928" t="s"/>
      <c r="H928" t="s"/>
      <c r="I928" t="s"/>
      <c r="J928" t="n">
        <v>-0.9217</v>
      </c>
      <c r="K928" t="n">
        <v>0.316</v>
      </c>
      <c r="L928" t="n">
        <v>0.632</v>
      </c>
      <c r="M928" t="n">
        <v>0.052</v>
      </c>
    </row>
    <row r="929" spans="1:13">
      <c r="A929" s="1">
        <f>HYPERLINK("http://www.twitter.com/NathanBLawrence/status/994794861676187649", "994794861676187649")</f>
        <v/>
      </c>
      <c r="B929" s="2" t="n">
        <v>43231.18231481482</v>
      </c>
      <c r="C929" t="n">
        <v>0</v>
      </c>
      <c r="D929" t="n">
        <v>2</v>
      </c>
      <c r="E929" t="s">
        <v>930</v>
      </c>
      <c r="F929" t="s"/>
      <c r="G929" t="s"/>
      <c r="H929" t="s"/>
      <c r="I929" t="s"/>
      <c r="J929" t="n">
        <v>0.7717000000000001</v>
      </c>
      <c r="K929" t="n">
        <v>0</v>
      </c>
      <c r="L929" t="n">
        <v>0.599</v>
      </c>
      <c r="M929" t="n">
        <v>0.401</v>
      </c>
    </row>
    <row r="930" spans="1:13">
      <c r="A930" s="1">
        <f>HYPERLINK("http://www.twitter.com/NathanBLawrence/status/994794683254673412", "994794683254673412")</f>
        <v/>
      </c>
      <c r="B930" s="2" t="n">
        <v>43231.18181712963</v>
      </c>
      <c r="C930" t="n">
        <v>0</v>
      </c>
      <c r="D930" t="n">
        <v>0</v>
      </c>
      <c r="E930" t="s">
        <v>931</v>
      </c>
      <c r="F930">
        <f>HYPERLINK("http://pbs.twimg.com/media/Dc44fKkXUAE1Cb5.jpg", "http://pbs.twimg.com/media/Dc44fKkXUAE1Cb5.jpg")</f>
        <v/>
      </c>
      <c r="G930" t="s"/>
      <c r="H930" t="s"/>
      <c r="I930" t="s"/>
      <c r="J930" t="n">
        <v>0</v>
      </c>
      <c r="K930" t="n">
        <v>0</v>
      </c>
      <c r="L930" t="n">
        <v>1</v>
      </c>
      <c r="M930" t="n">
        <v>0</v>
      </c>
    </row>
    <row r="931" spans="1:13">
      <c r="A931" s="1">
        <f>HYPERLINK("http://www.twitter.com/NathanBLawrence/status/994794494427004933", "994794494427004933")</f>
        <v/>
      </c>
      <c r="B931" s="2" t="n">
        <v>43231.18129629629</v>
      </c>
      <c r="C931" t="n">
        <v>1</v>
      </c>
      <c r="D931" t="n">
        <v>1</v>
      </c>
      <c r="E931" t="s">
        <v>932</v>
      </c>
      <c r="F931" t="s"/>
      <c r="G931" t="s"/>
      <c r="H931" t="s"/>
      <c r="I931" t="s"/>
      <c r="J931" t="n">
        <v>0</v>
      </c>
      <c r="K931" t="n">
        <v>0</v>
      </c>
      <c r="L931" t="n">
        <v>1</v>
      </c>
      <c r="M931" t="n">
        <v>0</v>
      </c>
    </row>
    <row r="932" spans="1:13">
      <c r="A932" s="1">
        <f>HYPERLINK("http://www.twitter.com/NathanBLawrence/status/994794454459568128", "994794454459568128")</f>
        <v/>
      </c>
      <c r="B932" s="2" t="n">
        <v>43231.18118055556</v>
      </c>
      <c r="C932" t="n">
        <v>0</v>
      </c>
      <c r="D932" t="n">
        <v>4</v>
      </c>
      <c r="E932" t="s">
        <v>933</v>
      </c>
      <c r="F932" t="s"/>
      <c r="G932" t="s"/>
      <c r="H932" t="s"/>
      <c r="I932" t="s"/>
      <c r="J932" t="n">
        <v>-0.1531</v>
      </c>
      <c r="K932" t="n">
        <v>0.074</v>
      </c>
      <c r="L932" t="n">
        <v>0.926</v>
      </c>
      <c r="M932" t="n">
        <v>0</v>
      </c>
    </row>
    <row r="933" spans="1:13">
      <c r="A933" s="1">
        <f>HYPERLINK("http://www.twitter.com/NathanBLawrence/status/994794376055443457", "994794376055443457")</f>
        <v/>
      </c>
      <c r="B933" s="2" t="n">
        <v>43231.18097222222</v>
      </c>
      <c r="C933" t="n">
        <v>1</v>
      </c>
      <c r="D933" t="n">
        <v>1</v>
      </c>
      <c r="E933" t="s">
        <v>934</v>
      </c>
      <c r="F933">
        <f>HYPERLINK("http://pbs.twimg.com/media/Dc44NaJWkAEYdTD.jpg", "http://pbs.twimg.com/media/Dc44NaJWkAEYdTD.jpg")</f>
        <v/>
      </c>
      <c r="G933" t="s"/>
      <c r="H933" t="s"/>
      <c r="I933" t="s"/>
      <c r="J933" t="n">
        <v>0</v>
      </c>
      <c r="K933" t="n">
        <v>0</v>
      </c>
      <c r="L933" t="n">
        <v>1</v>
      </c>
      <c r="M933" t="n">
        <v>0</v>
      </c>
    </row>
    <row r="934" spans="1:13">
      <c r="A934" s="1">
        <f>HYPERLINK("http://www.twitter.com/NathanBLawrence/status/994794158400376833", "994794158400376833")</f>
        <v/>
      </c>
      <c r="B934" s="2" t="n">
        <v>43231.18037037037</v>
      </c>
      <c r="C934" t="n">
        <v>1</v>
      </c>
      <c r="D934" t="n">
        <v>1</v>
      </c>
      <c r="E934" t="s">
        <v>935</v>
      </c>
      <c r="F934" t="s"/>
      <c r="G934" t="s"/>
      <c r="H934" t="s"/>
      <c r="I934" t="s"/>
      <c r="J934" t="n">
        <v>0</v>
      </c>
      <c r="K934" t="n">
        <v>0</v>
      </c>
      <c r="L934" t="n">
        <v>1</v>
      </c>
      <c r="M934" t="n">
        <v>0</v>
      </c>
    </row>
    <row r="935" spans="1:13">
      <c r="A935" s="1">
        <f>HYPERLINK("http://www.twitter.com/NathanBLawrence/status/994794110740586496", "994794110740586496")</f>
        <v/>
      </c>
      <c r="B935" s="2" t="n">
        <v>43231.18024305555</v>
      </c>
      <c r="C935" t="n">
        <v>1</v>
      </c>
      <c r="D935" t="n">
        <v>1</v>
      </c>
      <c r="E935" t="s">
        <v>927</v>
      </c>
      <c r="F935" t="s"/>
      <c r="G935" t="s"/>
      <c r="H935" t="s"/>
      <c r="I935" t="s"/>
      <c r="J935" t="n">
        <v>0</v>
      </c>
      <c r="K935" t="n">
        <v>0</v>
      </c>
      <c r="L935" t="n">
        <v>1</v>
      </c>
      <c r="M935" t="n">
        <v>0</v>
      </c>
    </row>
    <row r="936" spans="1:13">
      <c r="A936" s="1">
        <f>HYPERLINK("http://www.twitter.com/NathanBLawrence/status/994794055862308865", "994794055862308865")</f>
        <v/>
      </c>
      <c r="B936" s="2" t="n">
        <v>43231.18008101852</v>
      </c>
      <c r="C936" t="n">
        <v>1</v>
      </c>
      <c r="D936" t="n">
        <v>1</v>
      </c>
      <c r="E936" t="s">
        <v>936</v>
      </c>
      <c r="F936" t="s"/>
      <c r="G936" t="s"/>
      <c r="H936" t="s"/>
      <c r="I936" t="s"/>
      <c r="J936" t="n">
        <v>0</v>
      </c>
      <c r="K936" t="n">
        <v>0</v>
      </c>
      <c r="L936" t="n">
        <v>1</v>
      </c>
      <c r="M936" t="n">
        <v>0</v>
      </c>
    </row>
    <row r="937" spans="1:13">
      <c r="A937" s="1">
        <f>HYPERLINK("http://www.twitter.com/NathanBLawrence/status/994793980171902977", "994793980171902977")</f>
        <v/>
      </c>
      <c r="B937" s="2" t="n">
        <v>43231.17987268518</v>
      </c>
      <c r="C937" t="n">
        <v>2</v>
      </c>
      <c r="D937" t="n">
        <v>1</v>
      </c>
      <c r="E937" t="s">
        <v>936</v>
      </c>
      <c r="F937" t="s"/>
      <c r="G937" t="s"/>
      <c r="H937" t="s"/>
      <c r="I937" t="s"/>
      <c r="J937" t="n">
        <v>0</v>
      </c>
      <c r="K937" t="n">
        <v>0</v>
      </c>
      <c r="L937" t="n">
        <v>1</v>
      </c>
      <c r="M937" t="n">
        <v>0</v>
      </c>
    </row>
    <row r="938" spans="1:13">
      <c r="A938" s="1">
        <f>HYPERLINK("http://www.twitter.com/NathanBLawrence/status/994791985285353475", "994791985285353475")</f>
        <v/>
      </c>
      <c r="B938" s="2" t="n">
        <v>43231.174375</v>
      </c>
      <c r="C938" t="n">
        <v>0</v>
      </c>
      <c r="D938" t="n">
        <v>2</v>
      </c>
      <c r="E938" t="s">
        <v>937</v>
      </c>
      <c r="F938" t="s"/>
      <c r="G938" t="s"/>
      <c r="H938" t="s"/>
      <c r="I938" t="s"/>
      <c r="J938" t="n">
        <v>0</v>
      </c>
      <c r="K938" t="n">
        <v>0</v>
      </c>
      <c r="L938" t="n">
        <v>1</v>
      </c>
      <c r="M938" t="n">
        <v>0</v>
      </c>
    </row>
    <row r="939" spans="1:13">
      <c r="A939" s="1">
        <f>HYPERLINK("http://www.twitter.com/NathanBLawrence/status/994791927148175360", "994791927148175360")</f>
        <v/>
      </c>
      <c r="B939" s="2" t="n">
        <v>43231.17421296296</v>
      </c>
      <c r="C939" t="n">
        <v>0</v>
      </c>
      <c r="D939" t="n">
        <v>2</v>
      </c>
      <c r="E939" t="s">
        <v>938</v>
      </c>
      <c r="F939" t="s"/>
      <c r="G939" t="s"/>
      <c r="H939" t="s"/>
      <c r="I939" t="s"/>
      <c r="J939" t="n">
        <v>0.6597</v>
      </c>
      <c r="K939" t="n">
        <v>0</v>
      </c>
      <c r="L939" t="n">
        <v>0.803</v>
      </c>
      <c r="M939" t="n">
        <v>0.197</v>
      </c>
    </row>
    <row r="940" spans="1:13">
      <c r="A940" s="1">
        <f>HYPERLINK("http://www.twitter.com/NathanBLawrence/status/994791888451461120", "994791888451461120")</f>
        <v/>
      </c>
      <c r="B940" s="2" t="n">
        <v>43231.17410879629</v>
      </c>
      <c r="C940" t="n">
        <v>0</v>
      </c>
      <c r="D940" t="n">
        <v>3</v>
      </c>
      <c r="E940" t="s">
        <v>939</v>
      </c>
      <c r="F940" t="s"/>
      <c r="G940" t="s"/>
      <c r="H940" t="s"/>
      <c r="I940" t="s"/>
      <c r="J940" t="n">
        <v>-0.8316</v>
      </c>
      <c r="K940" t="n">
        <v>0.291</v>
      </c>
      <c r="L940" t="n">
        <v>0.709</v>
      </c>
      <c r="M940" t="n">
        <v>0</v>
      </c>
    </row>
    <row r="941" spans="1:13">
      <c r="A941" s="1">
        <f>HYPERLINK("http://www.twitter.com/NathanBLawrence/status/994791872613769216", "994791872613769216")</f>
        <v/>
      </c>
      <c r="B941" s="2" t="n">
        <v>43231.1740625</v>
      </c>
      <c r="C941" t="n">
        <v>0</v>
      </c>
      <c r="D941" t="n">
        <v>2</v>
      </c>
      <c r="E941" t="s">
        <v>940</v>
      </c>
      <c r="F941">
        <f>HYPERLINK("http://pbs.twimg.com/media/Dc40pFyW4AAJfT6.jpg", "http://pbs.twimg.com/media/Dc40pFyW4AAJfT6.jpg")</f>
        <v/>
      </c>
      <c r="G941" t="s"/>
      <c r="H941" t="s"/>
      <c r="I941" t="s"/>
      <c r="J941" t="n">
        <v>0.0772</v>
      </c>
      <c r="K941" t="n">
        <v>0.127</v>
      </c>
      <c r="L941" t="n">
        <v>0.735</v>
      </c>
      <c r="M941" t="n">
        <v>0.139</v>
      </c>
    </row>
    <row r="942" spans="1:13">
      <c r="A942" s="1">
        <f>HYPERLINK("http://www.twitter.com/NathanBLawrence/status/994791839277506560", "994791839277506560")</f>
        <v/>
      </c>
      <c r="B942" s="2" t="n">
        <v>43231.17396990741</v>
      </c>
      <c r="C942" t="n">
        <v>0</v>
      </c>
      <c r="D942" t="n">
        <v>8</v>
      </c>
      <c r="E942" t="s">
        <v>941</v>
      </c>
      <c r="F942" t="s"/>
      <c r="G942" t="s"/>
      <c r="H942" t="s"/>
      <c r="I942" t="s"/>
      <c r="J942" t="n">
        <v>-0.6808</v>
      </c>
      <c r="K942" t="n">
        <v>0.248</v>
      </c>
      <c r="L942" t="n">
        <v>0.752</v>
      </c>
      <c r="M942" t="n">
        <v>0</v>
      </c>
    </row>
    <row r="943" spans="1:13">
      <c r="A943" s="1">
        <f>HYPERLINK("http://www.twitter.com/NathanBLawrence/status/994791824949760001", "994791824949760001")</f>
        <v/>
      </c>
      <c r="B943" s="2" t="n">
        <v>43231.17393518519</v>
      </c>
      <c r="C943" t="n">
        <v>0</v>
      </c>
      <c r="D943" t="n">
        <v>1</v>
      </c>
      <c r="E943" t="s">
        <v>942</v>
      </c>
      <c r="F943">
        <f>HYPERLINK("http://pbs.twimg.com/media/Dc1guQQVMAAV2vZ.jpg", "http://pbs.twimg.com/media/Dc1guQQVMAAV2vZ.jpg")</f>
        <v/>
      </c>
      <c r="G943" t="s"/>
      <c r="H943" t="s"/>
      <c r="I943" t="s"/>
      <c r="J943" t="n">
        <v>-0.8658</v>
      </c>
      <c r="K943" t="n">
        <v>0.373</v>
      </c>
      <c r="L943" t="n">
        <v>0.627</v>
      </c>
      <c r="M943" t="n">
        <v>0</v>
      </c>
    </row>
    <row r="944" spans="1:13">
      <c r="A944" s="1">
        <f>HYPERLINK("http://www.twitter.com/NathanBLawrence/status/994791795040182274", "994791795040182274")</f>
        <v/>
      </c>
      <c r="B944" s="2" t="n">
        <v>43231.17384259259</v>
      </c>
      <c r="C944" t="n">
        <v>0</v>
      </c>
      <c r="D944" t="n">
        <v>4</v>
      </c>
      <c r="E944" t="s">
        <v>943</v>
      </c>
      <c r="F944" t="s"/>
      <c r="G944" t="s"/>
      <c r="H944" t="s"/>
      <c r="I944" t="s"/>
      <c r="J944" t="n">
        <v>0</v>
      </c>
      <c r="K944" t="n">
        <v>0</v>
      </c>
      <c r="L944" t="n">
        <v>1</v>
      </c>
      <c r="M944" t="n">
        <v>0</v>
      </c>
    </row>
    <row r="945" spans="1:13">
      <c r="A945" s="1">
        <f>HYPERLINK("http://www.twitter.com/NathanBLawrence/status/994791774794276864", "994791774794276864")</f>
        <v/>
      </c>
      <c r="B945" s="2" t="n">
        <v>43231.17379629629</v>
      </c>
      <c r="C945" t="n">
        <v>0</v>
      </c>
      <c r="D945" t="n">
        <v>5</v>
      </c>
      <c r="E945" t="s">
        <v>944</v>
      </c>
      <c r="F945" t="s"/>
      <c r="G945" t="s"/>
      <c r="H945" t="s"/>
      <c r="I945" t="s"/>
      <c r="J945" t="n">
        <v>-0.765</v>
      </c>
      <c r="K945" t="n">
        <v>0.338</v>
      </c>
      <c r="L945" t="n">
        <v>0.586</v>
      </c>
      <c r="M945" t="n">
        <v>0.076</v>
      </c>
    </row>
    <row r="946" spans="1:13">
      <c r="A946" s="1">
        <f>HYPERLINK("http://www.twitter.com/NathanBLawrence/status/994791759371751424", "994791759371751424")</f>
        <v/>
      </c>
      <c r="B946" s="2" t="n">
        <v>43231.17375</v>
      </c>
      <c r="C946" t="n">
        <v>0</v>
      </c>
      <c r="D946" t="n">
        <v>12</v>
      </c>
      <c r="E946" t="s">
        <v>945</v>
      </c>
      <c r="F946" t="s"/>
      <c r="G946" t="s"/>
      <c r="H946" t="s"/>
      <c r="I946" t="s"/>
      <c r="J946" t="n">
        <v>0</v>
      </c>
      <c r="K946" t="n">
        <v>0</v>
      </c>
      <c r="L946" t="n">
        <v>1</v>
      </c>
      <c r="M946" t="n">
        <v>0</v>
      </c>
    </row>
    <row r="947" spans="1:13">
      <c r="A947" s="1">
        <f>HYPERLINK("http://www.twitter.com/NathanBLawrence/status/994791739914375171", "994791739914375171")</f>
        <v/>
      </c>
      <c r="B947" s="2" t="n">
        <v>43231.17369212963</v>
      </c>
      <c r="C947" t="n">
        <v>0</v>
      </c>
      <c r="D947" t="n">
        <v>5</v>
      </c>
      <c r="E947" t="s">
        <v>946</v>
      </c>
      <c r="F947" t="s"/>
      <c r="G947" t="s"/>
      <c r="H947" t="s"/>
      <c r="I947" t="s"/>
      <c r="J947" t="n">
        <v>-0.5106000000000001</v>
      </c>
      <c r="K947" t="n">
        <v>0.145</v>
      </c>
      <c r="L947" t="n">
        <v>0.8090000000000001</v>
      </c>
      <c r="M947" t="n">
        <v>0.047</v>
      </c>
    </row>
    <row r="948" spans="1:13">
      <c r="A948" s="1">
        <f>HYPERLINK("http://www.twitter.com/NathanBLawrence/status/994791721908277248", "994791721908277248")</f>
        <v/>
      </c>
      <c r="B948" s="2" t="n">
        <v>43231.17364583333</v>
      </c>
      <c r="C948" t="n">
        <v>0</v>
      </c>
      <c r="D948" t="n">
        <v>1</v>
      </c>
      <c r="E948" t="s">
        <v>947</v>
      </c>
      <c r="F948" t="s"/>
      <c r="G948" t="s"/>
      <c r="H948" t="s"/>
      <c r="I948" t="s"/>
      <c r="J948" t="n">
        <v>-0.5574</v>
      </c>
      <c r="K948" t="n">
        <v>0.141</v>
      </c>
      <c r="L948" t="n">
        <v>0.859</v>
      </c>
      <c r="M948" t="n">
        <v>0</v>
      </c>
    </row>
    <row r="949" spans="1:13">
      <c r="A949" s="1">
        <f>HYPERLINK("http://www.twitter.com/NathanBLawrence/status/994791672042147840", "994791672042147840")</f>
        <v/>
      </c>
      <c r="B949" s="2" t="n">
        <v>43231.17350694445</v>
      </c>
      <c r="C949" t="n">
        <v>1</v>
      </c>
      <c r="D949" t="n">
        <v>1</v>
      </c>
      <c r="E949" t="s">
        <v>948</v>
      </c>
      <c r="F949" t="s"/>
      <c r="G949" t="s"/>
      <c r="H949" t="s"/>
      <c r="I949" t="s"/>
      <c r="J949" t="n">
        <v>-0.897</v>
      </c>
      <c r="K949" t="n">
        <v>0.209</v>
      </c>
      <c r="L949" t="n">
        <v>0.791</v>
      </c>
      <c r="M949" t="n">
        <v>0</v>
      </c>
    </row>
    <row r="950" spans="1:13">
      <c r="A950" s="1">
        <f>HYPERLINK("http://www.twitter.com/NathanBLawrence/status/994790454846808065", "994790454846808065")</f>
        <v/>
      </c>
      <c r="B950" s="2" t="n">
        <v>43231.17015046296</v>
      </c>
      <c r="C950" t="n">
        <v>2</v>
      </c>
      <c r="D950" t="n">
        <v>2</v>
      </c>
      <c r="E950" t="s">
        <v>949</v>
      </c>
      <c r="F950">
        <f>HYPERLINK("http://pbs.twimg.com/media/Dc40pFyW4AAJfT6.jpg", "http://pbs.twimg.com/media/Dc40pFyW4AAJfT6.jpg")</f>
        <v/>
      </c>
      <c r="G950" t="s"/>
      <c r="H950" t="s"/>
      <c r="I950" t="s"/>
      <c r="J950" t="n">
        <v>0.0772</v>
      </c>
      <c r="K950" t="n">
        <v>0.102</v>
      </c>
      <c r="L950" t="n">
        <v>0.787</v>
      </c>
      <c r="M950" t="n">
        <v>0.111</v>
      </c>
    </row>
    <row r="951" spans="1:13">
      <c r="A951" s="1">
        <f>HYPERLINK("http://www.twitter.com/NathanBLawrence/status/994789712782077952", "994789712782077952")</f>
        <v/>
      </c>
      <c r="B951" s="2" t="n">
        <v>43231.16810185185</v>
      </c>
      <c r="C951" t="n">
        <v>3</v>
      </c>
      <c r="D951" t="n">
        <v>3</v>
      </c>
      <c r="E951" t="s">
        <v>950</v>
      </c>
      <c r="F951" t="s"/>
      <c r="G951" t="s"/>
      <c r="H951" t="s"/>
      <c r="I951" t="s"/>
      <c r="J951" t="n">
        <v>-0.9451000000000001</v>
      </c>
      <c r="K951" t="n">
        <v>0.3</v>
      </c>
      <c r="L951" t="n">
        <v>0.657</v>
      </c>
      <c r="M951" t="n">
        <v>0.044</v>
      </c>
    </row>
    <row r="952" spans="1:13">
      <c r="A952" s="1">
        <f>HYPERLINK("http://www.twitter.com/NathanBLawrence/status/994788755792973827", "994788755792973827")</f>
        <v/>
      </c>
      <c r="B952" s="2" t="n">
        <v>43231.16546296296</v>
      </c>
      <c r="C952" t="n">
        <v>2</v>
      </c>
      <c r="D952" t="n">
        <v>2</v>
      </c>
      <c r="E952" t="s">
        <v>951</v>
      </c>
      <c r="F952" t="s"/>
      <c r="G952" t="s"/>
      <c r="H952" t="s"/>
      <c r="I952" t="s"/>
      <c r="J952" t="n">
        <v>-0.743</v>
      </c>
      <c r="K952" t="n">
        <v>0.181</v>
      </c>
      <c r="L952" t="n">
        <v>0.728</v>
      </c>
      <c r="M952" t="n">
        <v>0.091</v>
      </c>
    </row>
    <row r="953" spans="1:13">
      <c r="A953" s="1">
        <f>HYPERLINK("http://www.twitter.com/NathanBLawrence/status/994788010653814785", "994788010653814785")</f>
        <v/>
      </c>
      <c r="B953" s="2" t="n">
        <v>43231.16340277778</v>
      </c>
      <c r="C953" t="n">
        <v>2</v>
      </c>
      <c r="D953" t="n">
        <v>2</v>
      </c>
      <c r="E953" t="s">
        <v>952</v>
      </c>
      <c r="F953" t="s"/>
      <c r="G953" t="s"/>
      <c r="H953" t="s"/>
      <c r="I953" t="s"/>
      <c r="J953" t="n">
        <v>0.885</v>
      </c>
      <c r="K953" t="n">
        <v>0.074</v>
      </c>
      <c r="L953" t="n">
        <v>0.659</v>
      </c>
      <c r="M953" t="n">
        <v>0.266</v>
      </c>
    </row>
    <row r="954" spans="1:13">
      <c r="A954" s="1">
        <f>HYPERLINK("http://www.twitter.com/NathanBLawrence/status/994786727624626176", "994786727624626176")</f>
        <v/>
      </c>
      <c r="B954" s="2" t="n">
        <v>43231.15986111111</v>
      </c>
      <c r="C954" t="n">
        <v>5</v>
      </c>
      <c r="D954" t="n">
        <v>4</v>
      </c>
      <c r="E954" t="s">
        <v>953</v>
      </c>
      <c r="F954" t="s"/>
      <c r="G954" t="s"/>
      <c r="H954" t="s"/>
      <c r="I954" t="s"/>
      <c r="J954" t="n">
        <v>0.8641</v>
      </c>
      <c r="K954" t="n">
        <v>0.059</v>
      </c>
      <c r="L954" t="n">
        <v>0.728</v>
      </c>
      <c r="M954" t="n">
        <v>0.213</v>
      </c>
    </row>
    <row r="955" spans="1:13">
      <c r="A955" s="1">
        <f>HYPERLINK("http://www.twitter.com/NathanBLawrence/status/994785742177136641", "994785742177136641")</f>
        <v/>
      </c>
      <c r="B955" s="2" t="n">
        <v>43231.1571412037</v>
      </c>
      <c r="C955" t="n">
        <v>6</v>
      </c>
      <c r="D955" t="n">
        <v>4</v>
      </c>
      <c r="E955" t="s">
        <v>954</v>
      </c>
      <c r="F955" t="s"/>
      <c r="G955" t="s"/>
      <c r="H955" t="s"/>
      <c r="I955" t="s"/>
      <c r="J955" t="n">
        <v>-0.3182</v>
      </c>
      <c r="K955" t="n">
        <v>0.171</v>
      </c>
      <c r="L955" t="n">
        <v>0.697</v>
      </c>
      <c r="M955" t="n">
        <v>0.133</v>
      </c>
    </row>
    <row r="956" spans="1:13">
      <c r="A956" s="1">
        <f>HYPERLINK("http://www.twitter.com/NathanBLawrence/status/994784010076291072", "994784010076291072")</f>
        <v/>
      </c>
      <c r="B956" s="2" t="n">
        <v>43231.15236111111</v>
      </c>
      <c r="C956" t="n">
        <v>0</v>
      </c>
      <c r="D956" t="n">
        <v>74</v>
      </c>
      <c r="E956" t="s">
        <v>955</v>
      </c>
      <c r="F956">
        <f>HYPERLINK("http://pbs.twimg.com/media/Dc3WF1HVMAAAdDS.jpg", "http://pbs.twimg.com/media/Dc3WF1HVMAAAdDS.jpg")</f>
        <v/>
      </c>
      <c r="G956" t="s"/>
      <c r="H956" t="s"/>
      <c r="I956" t="s"/>
      <c r="J956" t="n">
        <v>0.7163</v>
      </c>
      <c r="K956" t="n">
        <v>0</v>
      </c>
      <c r="L956" t="n">
        <v>0.801</v>
      </c>
      <c r="M956" t="n">
        <v>0.199</v>
      </c>
    </row>
    <row r="957" spans="1:13">
      <c r="A957" s="1">
        <f>HYPERLINK("http://www.twitter.com/NathanBLawrence/status/994783930816573442", "994783930816573442")</f>
        <v/>
      </c>
      <c r="B957" s="2" t="n">
        <v>43231.1521412037</v>
      </c>
      <c r="C957" t="n">
        <v>0</v>
      </c>
      <c r="D957" t="n">
        <v>1</v>
      </c>
      <c r="E957" t="s">
        <v>956</v>
      </c>
      <c r="F957" t="s"/>
      <c r="G957" t="s"/>
      <c r="H957" t="s"/>
      <c r="I957" t="s"/>
      <c r="J957" t="n">
        <v>0</v>
      </c>
      <c r="K957" t="n">
        <v>0</v>
      </c>
      <c r="L957" t="n">
        <v>1</v>
      </c>
      <c r="M957" t="n">
        <v>0</v>
      </c>
    </row>
    <row r="958" spans="1:13">
      <c r="A958" s="1">
        <f>HYPERLINK("http://www.twitter.com/NathanBLawrence/status/994783874596077568", "994783874596077568")</f>
        <v/>
      </c>
      <c r="B958" s="2" t="n">
        <v>43231.15199074074</v>
      </c>
      <c r="C958" t="n">
        <v>0</v>
      </c>
      <c r="D958" t="n">
        <v>0</v>
      </c>
      <c r="E958" t="s">
        <v>957</v>
      </c>
      <c r="F958" t="s"/>
      <c r="G958" t="s"/>
      <c r="H958" t="s"/>
      <c r="I958" t="s"/>
      <c r="J958" t="n">
        <v>0</v>
      </c>
      <c r="K958" t="n">
        <v>0</v>
      </c>
      <c r="L958" t="n">
        <v>1</v>
      </c>
      <c r="M958" t="n">
        <v>0</v>
      </c>
    </row>
    <row r="959" spans="1:13">
      <c r="A959" s="1">
        <f>HYPERLINK("http://www.twitter.com/NathanBLawrence/status/994778088763518977", "994778088763518977")</f>
        <v/>
      </c>
      <c r="B959" s="2" t="n">
        <v>43231.1360300926</v>
      </c>
      <c r="C959" t="n">
        <v>0</v>
      </c>
      <c r="D959" t="n">
        <v>1</v>
      </c>
      <c r="E959" t="s">
        <v>958</v>
      </c>
      <c r="F959" t="s"/>
      <c r="G959" t="s"/>
      <c r="H959" t="s"/>
      <c r="I959" t="s"/>
      <c r="J959" t="n">
        <v>-0.5610000000000001</v>
      </c>
      <c r="K959" t="n">
        <v>0.147</v>
      </c>
      <c r="L959" t="n">
        <v>0.853</v>
      </c>
      <c r="M959" t="n">
        <v>0</v>
      </c>
    </row>
    <row r="960" spans="1:13">
      <c r="A960" s="1">
        <f>HYPERLINK("http://www.twitter.com/NathanBLawrence/status/994778051861995520", "994778051861995520")</f>
        <v/>
      </c>
      <c r="B960" s="2" t="n">
        <v>43231.13592592593</v>
      </c>
      <c r="C960" t="n">
        <v>1</v>
      </c>
      <c r="D960" t="n">
        <v>1</v>
      </c>
      <c r="E960" t="s">
        <v>959</v>
      </c>
      <c r="F960" t="s"/>
      <c r="G960" t="s"/>
      <c r="H960" t="s"/>
      <c r="I960" t="s"/>
      <c r="J960" t="n">
        <v>-0.8997000000000001</v>
      </c>
      <c r="K960" t="n">
        <v>0.207</v>
      </c>
      <c r="L960" t="n">
        <v>0.793</v>
      </c>
      <c r="M960" t="n">
        <v>0</v>
      </c>
    </row>
    <row r="961" spans="1:13">
      <c r="A961" s="1">
        <f>HYPERLINK("http://www.twitter.com/NathanBLawrence/status/994752195760480256", "994752195760480256")</f>
        <v/>
      </c>
      <c r="B961" s="2" t="n">
        <v>43231.06457175926</v>
      </c>
      <c r="C961" t="n">
        <v>0</v>
      </c>
      <c r="D961" t="n">
        <v>1</v>
      </c>
      <c r="E961" t="s">
        <v>960</v>
      </c>
      <c r="F961">
        <f>HYPERLINK("http://pbs.twimg.com/media/Dc4EuFjUwAArZFN.jpg", "http://pbs.twimg.com/media/Dc4EuFjUwAArZFN.jpg")</f>
        <v/>
      </c>
      <c r="G961" t="s"/>
      <c r="H961" t="s"/>
      <c r="I961" t="s"/>
      <c r="J961" t="n">
        <v>0</v>
      </c>
      <c r="K961" t="n">
        <v>0</v>
      </c>
      <c r="L961" t="n">
        <v>1</v>
      </c>
      <c r="M961" t="n">
        <v>0</v>
      </c>
    </row>
    <row r="962" spans="1:13">
      <c r="A962" s="1">
        <f>HYPERLINK("http://www.twitter.com/NathanBLawrence/status/994735447946465285", "994735447946465285")</f>
        <v/>
      </c>
      <c r="B962" s="2" t="n">
        <v>43231.01835648148</v>
      </c>
      <c r="C962" t="n">
        <v>4</v>
      </c>
      <c r="D962" t="n">
        <v>1</v>
      </c>
      <c r="E962" t="s">
        <v>961</v>
      </c>
      <c r="F962" t="s"/>
      <c r="G962" t="s"/>
      <c r="H962" t="s"/>
      <c r="I962" t="s"/>
      <c r="J962" t="n">
        <v>0.3313</v>
      </c>
      <c r="K962" t="n">
        <v>0</v>
      </c>
      <c r="L962" t="n">
        <v>0.878</v>
      </c>
      <c r="M962" t="n">
        <v>0.122</v>
      </c>
    </row>
    <row r="963" spans="1:13">
      <c r="A963" s="1">
        <f>HYPERLINK("http://www.twitter.com/NathanBLawrence/status/994735210603401216", "994735210603401216")</f>
        <v/>
      </c>
      <c r="B963" s="2" t="n">
        <v>43231.01770833333</v>
      </c>
      <c r="C963" t="n">
        <v>0</v>
      </c>
      <c r="D963" t="n">
        <v>3</v>
      </c>
      <c r="E963" t="s">
        <v>962</v>
      </c>
      <c r="F963" t="s"/>
      <c r="G963" t="s"/>
      <c r="H963" t="s"/>
      <c r="I963" t="s"/>
      <c r="J963" t="n">
        <v>0.6249</v>
      </c>
      <c r="K963" t="n">
        <v>0</v>
      </c>
      <c r="L963" t="n">
        <v>0.797</v>
      </c>
      <c r="M963" t="n">
        <v>0.203</v>
      </c>
    </row>
    <row r="964" spans="1:13">
      <c r="A964" s="1">
        <f>HYPERLINK("http://www.twitter.com/NathanBLawrence/status/994733895471026176", "994733895471026176")</f>
        <v/>
      </c>
      <c r="B964" s="2" t="n">
        <v>43231.01407407408</v>
      </c>
      <c r="C964" t="n">
        <v>0</v>
      </c>
      <c r="D964" t="n">
        <v>1</v>
      </c>
      <c r="E964" t="s">
        <v>963</v>
      </c>
      <c r="F964">
        <f>HYPERLINK("http://pbs.twimg.com/media/Dc3-XRlWkAA4P8L.jpg", "http://pbs.twimg.com/media/Dc3-XRlWkAA4P8L.jpg")</f>
        <v/>
      </c>
      <c r="G964" t="s"/>
      <c r="H964" t="s"/>
      <c r="I964" t="s"/>
      <c r="J964" t="n">
        <v>0</v>
      </c>
      <c r="K964" t="n">
        <v>0</v>
      </c>
      <c r="L964" t="n">
        <v>1</v>
      </c>
      <c r="M964" t="n">
        <v>0</v>
      </c>
    </row>
    <row r="965" spans="1:13">
      <c r="A965" s="1">
        <f>HYPERLINK("http://www.twitter.com/NathanBLawrence/status/994729298534780933", "994729298534780933")</f>
        <v/>
      </c>
      <c r="B965" s="2" t="n">
        <v>43231.00138888889</v>
      </c>
      <c r="C965" t="n">
        <v>1</v>
      </c>
      <c r="D965" t="n">
        <v>1</v>
      </c>
      <c r="E965" t="s">
        <v>964</v>
      </c>
      <c r="F965" t="s"/>
      <c r="G965" t="s"/>
      <c r="H965" t="s"/>
      <c r="I965" t="s"/>
      <c r="J965" t="n">
        <v>0</v>
      </c>
      <c r="K965" t="n">
        <v>0</v>
      </c>
      <c r="L965" t="n">
        <v>1</v>
      </c>
      <c r="M965" t="n">
        <v>0</v>
      </c>
    </row>
    <row r="966" spans="1:13">
      <c r="A966" s="1">
        <f>HYPERLINK("http://www.twitter.com/NathanBLawrence/status/994729247712468992", "994729247712468992")</f>
        <v/>
      </c>
      <c r="B966" s="2" t="n">
        <v>43231.00125</v>
      </c>
      <c r="C966" t="n">
        <v>0</v>
      </c>
      <c r="D966" t="n">
        <v>9</v>
      </c>
      <c r="E966" t="s">
        <v>965</v>
      </c>
      <c r="F966" t="s"/>
      <c r="G966" t="s"/>
      <c r="H966" t="s"/>
      <c r="I966" t="s"/>
      <c r="J966" t="n">
        <v>0</v>
      </c>
      <c r="K966" t="n">
        <v>0</v>
      </c>
      <c r="L966" t="n">
        <v>1</v>
      </c>
      <c r="M966" t="n">
        <v>0</v>
      </c>
    </row>
    <row r="967" spans="1:13">
      <c r="A967" s="1">
        <f>HYPERLINK("http://www.twitter.com/NathanBLawrence/status/994726854706843648", "994726854706843648")</f>
        <v/>
      </c>
      <c r="B967" s="2" t="n">
        <v>43230.9946412037</v>
      </c>
      <c r="C967" t="n">
        <v>0</v>
      </c>
      <c r="D967" t="n">
        <v>14829</v>
      </c>
      <c r="E967" t="s">
        <v>966</v>
      </c>
      <c r="F967" t="s"/>
      <c r="G967" t="s"/>
      <c r="H967" t="s"/>
      <c r="I967" t="s"/>
      <c r="J967" t="n">
        <v>-0.6486</v>
      </c>
      <c r="K967" t="n">
        <v>0.212</v>
      </c>
      <c r="L967" t="n">
        <v>0.788</v>
      </c>
      <c r="M967" t="n">
        <v>0</v>
      </c>
    </row>
    <row r="968" spans="1:13">
      <c r="A968" s="1">
        <f>HYPERLINK("http://www.twitter.com/NathanBLawrence/status/994726753963859968", "994726753963859968")</f>
        <v/>
      </c>
      <c r="B968" s="2" t="n">
        <v>43230.99436342593</v>
      </c>
      <c r="C968" t="n">
        <v>0</v>
      </c>
      <c r="D968" t="n">
        <v>2</v>
      </c>
      <c r="E968" t="s">
        <v>967</v>
      </c>
      <c r="F968" t="s"/>
      <c r="G968" t="s"/>
      <c r="H968" t="s"/>
      <c r="I968" t="s"/>
      <c r="J968" t="n">
        <v>0</v>
      </c>
      <c r="K968" t="n">
        <v>0</v>
      </c>
      <c r="L968" t="n">
        <v>1</v>
      </c>
      <c r="M968" t="n">
        <v>0</v>
      </c>
    </row>
    <row r="969" spans="1:13">
      <c r="A969" s="1">
        <f>HYPERLINK("http://www.twitter.com/NathanBLawrence/status/994725966986534912", "994725966986534912")</f>
        <v/>
      </c>
      <c r="B969" s="2" t="n">
        <v>43230.99219907408</v>
      </c>
      <c r="C969" t="n">
        <v>0</v>
      </c>
      <c r="D969" t="n">
        <v>0</v>
      </c>
      <c r="E969" t="s">
        <v>968</v>
      </c>
      <c r="F969" t="s"/>
      <c r="G969" t="s"/>
      <c r="H969" t="s"/>
      <c r="I969" t="s"/>
      <c r="J969" t="n">
        <v>0</v>
      </c>
      <c r="K969" t="n">
        <v>0</v>
      </c>
      <c r="L969" t="n">
        <v>1</v>
      </c>
      <c r="M969" t="n">
        <v>0</v>
      </c>
    </row>
    <row r="970" spans="1:13">
      <c r="A970" s="1">
        <f>HYPERLINK("http://www.twitter.com/NathanBLawrence/status/994720396292362240", "994720396292362240")</f>
        <v/>
      </c>
      <c r="B970" s="2" t="n">
        <v>43230.9768287037</v>
      </c>
      <c r="C970" t="n">
        <v>0</v>
      </c>
      <c r="D970" t="n">
        <v>1</v>
      </c>
      <c r="E970" t="s">
        <v>969</v>
      </c>
      <c r="F970">
        <f>HYPERLINK("http://pbs.twimg.com/media/Dc30wdoWkAMC9e2.jpg", "http://pbs.twimg.com/media/Dc30wdoWkAMC9e2.jpg")</f>
        <v/>
      </c>
      <c r="G970" t="s"/>
      <c r="H970" t="s"/>
      <c r="I970" t="s"/>
      <c r="J970" t="n">
        <v>0</v>
      </c>
      <c r="K970" t="n">
        <v>0</v>
      </c>
      <c r="L970" t="n">
        <v>1</v>
      </c>
      <c r="M970" t="n">
        <v>0</v>
      </c>
    </row>
    <row r="971" spans="1:13">
      <c r="A971" s="1">
        <f>HYPERLINK("http://www.twitter.com/NathanBLawrence/status/994720329695203328", "994720329695203328")</f>
        <v/>
      </c>
      <c r="B971" s="2" t="n">
        <v>43230.97664351852</v>
      </c>
      <c r="C971" t="n">
        <v>0</v>
      </c>
      <c r="D971" t="n">
        <v>1</v>
      </c>
      <c r="E971" t="s">
        <v>970</v>
      </c>
      <c r="F971" t="s"/>
      <c r="G971" t="s"/>
      <c r="H971" t="s"/>
      <c r="I971" t="s"/>
      <c r="J971" t="n">
        <v>-0.5423</v>
      </c>
      <c r="K971" t="n">
        <v>0.189</v>
      </c>
      <c r="L971" t="n">
        <v>0.8110000000000001</v>
      </c>
      <c r="M971" t="n">
        <v>0</v>
      </c>
    </row>
    <row r="972" spans="1:13">
      <c r="A972" s="1">
        <f>HYPERLINK("http://www.twitter.com/NathanBLawrence/status/994720270593249280", "994720270593249280")</f>
        <v/>
      </c>
      <c r="B972" s="2" t="n">
        <v>43230.97648148148</v>
      </c>
      <c r="C972" t="n">
        <v>0</v>
      </c>
      <c r="D972" t="n">
        <v>3</v>
      </c>
      <c r="E972" t="s">
        <v>971</v>
      </c>
      <c r="F972">
        <f>HYPERLINK("http://pbs.twimg.com/media/Dc3yIs3XkAE7l01.jpg", "http://pbs.twimg.com/media/Dc3yIs3XkAE7l01.jpg")</f>
        <v/>
      </c>
      <c r="G972" t="s"/>
      <c r="H972" t="s"/>
      <c r="I972" t="s"/>
      <c r="J972" t="n">
        <v>0</v>
      </c>
      <c r="K972" t="n">
        <v>0</v>
      </c>
      <c r="L972" t="n">
        <v>1</v>
      </c>
      <c r="M972" t="n">
        <v>0</v>
      </c>
    </row>
    <row r="973" spans="1:13">
      <c r="A973" s="1">
        <f>HYPERLINK("http://www.twitter.com/NathanBLawrence/status/994720213039017985", "994720213039017985")</f>
        <v/>
      </c>
      <c r="B973" s="2" t="n">
        <v>43230.97631944445</v>
      </c>
      <c r="C973" t="n">
        <v>1</v>
      </c>
      <c r="D973" t="n">
        <v>1</v>
      </c>
      <c r="E973" t="s">
        <v>972</v>
      </c>
      <c r="F973">
        <f>HYPERLINK("http://pbs.twimg.com/media/Dc30wdoWkAMC9e2.jpg", "http://pbs.twimg.com/media/Dc30wdoWkAMC9e2.jpg")</f>
        <v/>
      </c>
      <c r="G973" t="s"/>
      <c r="H973" t="s"/>
      <c r="I973" t="s"/>
      <c r="J973" t="n">
        <v>-0.7065</v>
      </c>
      <c r="K973" t="n">
        <v>0.19</v>
      </c>
      <c r="L973" t="n">
        <v>0.8100000000000001</v>
      </c>
      <c r="M973" t="n">
        <v>0</v>
      </c>
    </row>
    <row r="974" spans="1:13">
      <c r="A974" s="1">
        <f>HYPERLINK("http://www.twitter.com/NathanBLawrence/status/994719521268293633", "994719521268293633")</f>
        <v/>
      </c>
      <c r="B974" s="2" t="n">
        <v>43230.97440972222</v>
      </c>
      <c r="C974" t="n">
        <v>0</v>
      </c>
      <c r="D974" t="n">
        <v>1</v>
      </c>
      <c r="E974" t="s">
        <v>973</v>
      </c>
      <c r="F974">
        <f>HYPERLINK("http://pbs.twimg.com/media/Dc3xsUlWkAE2P8I.jpg", "http://pbs.twimg.com/media/Dc3xsUlWkAE2P8I.jpg")</f>
        <v/>
      </c>
      <c r="G974" t="s"/>
      <c r="H974" t="s"/>
      <c r="I974" t="s"/>
      <c r="J974" t="n">
        <v>-0.6369</v>
      </c>
      <c r="K974" t="n">
        <v>0.242</v>
      </c>
      <c r="L974" t="n">
        <v>0.6840000000000001</v>
      </c>
      <c r="M974" t="n">
        <v>0.074</v>
      </c>
    </row>
    <row r="975" spans="1:13">
      <c r="A975" s="1">
        <f>HYPERLINK("http://www.twitter.com/NathanBLawrence/status/994719494437253120", "994719494437253120")</f>
        <v/>
      </c>
      <c r="B975" s="2" t="n">
        <v>43230.97434027777</v>
      </c>
      <c r="C975" t="n">
        <v>2</v>
      </c>
      <c r="D975" t="n">
        <v>1</v>
      </c>
      <c r="E975" t="s">
        <v>974</v>
      </c>
      <c r="F975" t="s"/>
      <c r="G975" t="s"/>
      <c r="H975" t="s"/>
      <c r="I975" t="s"/>
      <c r="J975" t="n">
        <v>-0.5423</v>
      </c>
      <c r="K975" t="n">
        <v>0.2</v>
      </c>
      <c r="L975" t="n">
        <v>0.8</v>
      </c>
      <c r="M975" t="n">
        <v>0</v>
      </c>
    </row>
    <row r="976" spans="1:13">
      <c r="A976" s="1">
        <f>HYPERLINK("http://www.twitter.com/NathanBLawrence/status/994719026243866624", "994719026243866624")</f>
        <v/>
      </c>
      <c r="B976" s="2" t="n">
        <v>43230.97304398148</v>
      </c>
      <c r="C976" t="n">
        <v>0</v>
      </c>
      <c r="D976" t="n">
        <v>2</v>
      </c>
      <c r="E976" t="s">
        <v>975</v>
      </c>
      <c r="F976" t="s"/>
      <c r="G976" t="s"/>
      <c r="H976" t="s"/>
      <c r="I976" t="s"/>
      <c r="J976" t="n">
        <v>0.0772</v>
      </c>
      <c r="K976" t="n">
        <v>0</v>
      </c>
      <c r="L976" t="n">
        <v>0.885</v>
      </c>
      <c r="M976" t="n">
        <v>0.115</v>
      </c>
    </row>
    <row r="977" spans="1:13">
      <c r="A977" s="1">
        <f>HYPERLINK("http://www.twitter.com/NathanBLawrence/status/994717640034869248", "994717640034869248")</f>
        <v/>
      </c>
      <c r="B977" s="2" t="n">
        <v>43230.96922453704</v>
      </c>
      <c r="C977" t="n">
        <v>0</v>
      </c>
      <c r="D977" t="n">
        <v>222</v>
      </c>
      <c r="E977" t="s">
        <v>976</v>
      </c>
      <c r="F977">
        <f>HYPERLINK("https://video.twimg.com/ext_tw_video/994593516201230336/pu/vid/1280x720/GXcNqf574w5Xn2Cn.mp4?tag=3", "https://video.twimg.com/ext_tw_video/994593516201230336/pu/vid/1280x720/GXcNqf574w5Xn2Cn.mp4?tag=3")</f>
        <v/>
      </c>
      <c r="G977" t="s"/>
      <c r="H977" t="s"/>
      <c r="I977" t="s"/>
      <c r="J977" t="n">
        <v>0</v>
      </c>
      <c r="K977" t="n">
        <v>0</v>
      </c>
      <c r="L977" t="n">
        <v>1</v>
      </c>
      <c r="M977" t="n">
        <v>0</v>
      </c>
    </row>
    <row r="978" spans="1:13">
      <c r="A978" s="1">
        <f>HYPERLINK("http://www.twitter.com/NathanBLawrence/status/994717571772571648", "994717571772571648")</f>
        <v/>
      </c>
      <c r="B978" s="2" t="n">
        <v>43230.96902777778</v>
      </c>
      <c r="C978" t="n">
        <v>0</v>
      </c>
      <c r="D978" t="n">
        <v>7</v>
      </c>
      <c r="E978" t="s">
        <v>977</v>
      </c>
      <c r="F978" t="s"/>
      <c r="G978" t="s"/>
      <c r="H978" t="s"/>
      <c r="I978" t="s"/>
      <c r="J978" t="n">
        <v>0</v>
      </c>
      <c r="K978" t="n">
        <v>0</v>
      </c>
      <c r="L978" t="n">
        <v>1</v>
      </c>
      <c r="M978" t="n">
        <v>0</v>
      </c>
    </row>
    <row r="979" spans="1:13">
      <c r="A979" s="1">
        <f>HYPERLINK("http://www.twitter.com/NathanBLawrence/status/994717437986734080", "994717437986734080")</f>
        <v/>
      </c>
      <c r="B979" s="2" t="n">
        <v>43230.96865740741</v>
      </c>
      <c r="C979" t="n">
        <v>1</v>
      </c>
      <c r="D979" t="n">
        <v>1</v>
      </c>
      <c r="E979" t="s">
        <v>978</v>
      </c>
      <c r="F979" t="s"/>
      <c r="G979" t="s"/>
      <c r="H979" t="s"/>
      <c r="I979" t="s"/>
      <c r="J979" t="n">
        <v>0</v>
      </c>
      <c r="K979" t="n">
        <v>0</v>
      </c>
      <c r="L979" t="n">
        <v>1</v>
      </c>
      <c r="M979" t="n">
        <v>0</v>
      </c>
    </row>
    <row r="980" spans="1:13">
      <c r="A980" s="1">
        <f>HYPERLINK("http://www.twitter.com/NathanBLawrence/status/994716842248884224", "994716842248884224")</f>
        <v/>
      </c>
      <c r="B980" s="2" t="n">
        <v>43230.96701388889</v>
      </c>
      <c r="C980" t="n">
        <v>1</v>
      </c>
      <c r="D980" t="n">
        <v>1</v>
      </c>
      <c r="E980" t="s">
        <v>979</v>
      </c>
      <c r="F980">
        <f>HYPERLINK("http://pbs.twimg.com/media/Dc3xsUlWkAE2P8I.jpg", "http://pbs.twimg.com/media/Dc3xsUlWkAE2P8I.jpg")</f>
        <v/>
      </c>
      <c r="G980" t="s"/>
      <c r="H980" t="s"/>
      <c r="I980" t="s"/>
      <c r="J980" t="n">
        <v>-0.6369</v>
      </c>
      <c r="K980" t="n">
        <v>0.219</v>
      </c>
      <c r="L980" t="n">
        <v>0.714</v>
      </c>
      <c r="M980" t="n">
        <v>0.067</v>
      </c>
    </row>
    <row r="981" spans="1:13">
      <c r="A981" s="1">
        <f>HYPERLINK("http://www.twitter.com/NathanBLawrence/status/994716181771816961", "994716181771816961")</f>
        <v/>
      </c>
      <c r="B981" s="2" t="n">
        <v>43230.96519675926</v>
      </c>
      <c r="C981" t="n">
        <v>2</v>
      </c>
      <c r="D981" t="n">
        <v>2</v>
      </c>
      <c r="E981" t="s">
        <v>980</v>
      </c>
      <c r="F981">
        <f>HYPERLINK("http://pbs.twimg.com/media/Dc3xF0-XkAA3ZT5.jpg", "http://pbs.twimg.com/media/Dc3xF0-XkAA3ZT5.jpg")</f>
        <v/>
      </c>
      <c r="G981" t="s"/>
      <c r="H981" t="s"/>
      <c r="I981" t="s"/>
      <c r="J981" t="n">
        <v>0.1027</v>
      </c>
      <c r="K981" t="n">
        <v>0</v>
      </c>
      <c r="L981" t="n">
        <v>0.9399999999999999</v>
      </c>
      <c r="M981" t="n">
        <v>0.06</v>
      </c>
    </row>
    <row r="982" spans="1:13">
      <c r="A982" s="1">
        <f>HYPERLINK("http://www.twitter.com/NathanBLawrence/status/994714255764025352", "994714255764025352")</f>
        <v/>
      </c>
      <c r="B982" s="2" t="n">
        <v>43230.95988425926</v>
      </c>
      <c r="C982" t="n">
        <v>0</v>
      </c>
      <c r="D982" t="n">
        <v>1</v>
      </c>
      <c r="E982" t="s">
        <v>981</v>
      </c>
      <c r="F982" t="s"/>
      <c r="G982" t="s"/>
      <c r="H982" t="s"/>
      <c r="I982" t="s"/>
      <c r="J982" t="n">
        <v>0</v>
      </c>
      <c r="K982" t="n">
        <v>0</v>
      </c>
      <c r="L982" t="n">
        <v>1</v>
      </c>
      <c r="M982" t="n">
        <v>0</v>
      </c>
    </row>
    <row r="983" spans="1:13">
      <c r="A983" s="1">
        <f>HYPERLINK("http://www.twitter.com/NathanBLawrence/status/994714099945787392", "994714099945787392")</f>
        <v/>
      </c>
      <c r="B983" s="2" t="n">
        <v>43230.95944444444</v>
      </c>
      <c r="C983" t="n">
        <v>1</v>
      </c>
      <c r="D983" t="n">
        <v>1</v>
      </c>
      <c r="E983" t="s">
        <v>982</v>
      </c>
      <c r="F983" t="s"/>
      <c r="G983" t="s"/>
      <c r="H983" t="s"/>
      <c r="I983" t="s"/>
      <c r="J983" t="n">
        <v>0</v>
      </c>
      <c r="K983" t="n">
        <v>0</v>
      </c>
      <c r="L983" t="n">
        <v>1</v>
      </c>
      <c r="M983" t="n">
        <v>0</v>
      </c>
    </row>
    <row r="984" spans="1:13">
      <c r="A984" s="1">
        <f>HYPERLINK("http://www.twitter.com/NathanBLawrence/status/994712872012996608", "994712872012996608")</f>
        <v/>
      </c>
      <c r="B984" s="2" t="n">
        <v>43230.95606481482</v>
      </c>
      <c r="C984" t="n">
        <v>2</v>
      </c>
      <c r="D984" t="n">
        <v>1</v>
      </c>
      <c r="E984" t="s">
        <v>983</v>
      </c>
      <c r="F984">
        <f>HYPERLINK("http://pbs.twimg.com/media/Dc3uFKIV0AAmUu6.jpg", "http://pbs.twimg.com/media/Dc3uFKIV0AAmUu6.jpg")</f>
        <v/>
      </c>
      <c r="G984" t="s"/>
      <c r="H984" t="s"/>
      <c r="I984" t="s"/>
      <c r="J984" t="n">
        <v>0</v>
      </c>
      <c r="K984" t="n">
        <v>0</v>
      </c>
      <c r="L984" t="n">
        <v>1</v>
      </c>
      <c r="M984" t="n">
        <v>0</v>
      </c>
    </row>
    <row r="985" spans="1:13">
      <c r="A985" s="1">
        <f>HYPERLINK("http://www.twitter.com/NathanBLawrence/status/994712754912153601", "994712754912153601")</f>
        <v/>
      </c>
      <c r="B985" s="2" t="n">
        <v>43230.95574074074</v>
      </c>
      <c r="C985" t="n">
        <v>0</v>
      </c>
      <c r="D985" t="n">
        <v>1</v>
      </c>
      <c r="E985" t="s">
        <v>984</v>
      </c>
      <c r="F985">
        <f>HYPERLINK("http://pbs.twimg.com/media/Dc3trpEXUAANM-D.jpg", "http://pbs.twimg.com/media/Dc3trpEXUAANM-D.jpg")</f>
        <v/>
      </c>
      <c r="G985" t="s"/>
      <c r="H985" t="s"/>
      <c r="I985" t="s"/>
      <c r="J985" t="n">
        <v>0</v>
      </c>
      <c r="K985" t="n">
        <v>0</v>
      </c>
      <c r="L985" t="n">
        <v>1</v>
      </c>
      <c r="M985" t="n">
        <v>0</v>
      </c>
    </row>
    <row r="986" spans="1:13">
      <c r="A986" s="1">
        <f>HYPERLINK("http://www.twitter.com/NathanBLawrence/status/994712696246464512", "994712696246464512")</f>
        <v/>
      </c>
      <c r="B986" s="2" t="n">
        <v>43230.9555787037</v>
      </c>
      <c r="C986" t="n">
        <v>0</v>
      </c>
      <c r="D986" t="n">
        <v>2</v>
      </c>
      <c r="E986" t="s">
        <v>985</v>
      </c>
      <c r="F986" t="s"/>
      <c r="G986" t="s"/>
      <c r="H986" t="s"/>
      <c r="I986" t="s"/>
      <c r="J986" t="n">
        <v>0</v>
      </c>
      <c r="K986" t="n">
        <v>0</v>
      </c>
      <c r="L986" t="n">
        <v>1</v>
      </c>
      <c r="M986" t="n">
        <v>0</v>
      </c>
    </row>
    <row r="987" spans="1:13">
      <c r="A987" s="1">
        <f>HYPERLINK("http://www.twitter.com/NathanBLawrence/status/994712557289123841", "994712557289123841")</f>
        <v/>
      </c>
      <c r="B987" s="2" t="n">
        <v>43230.95519675926</v>
      </c>
      <c r="C987" t="n">
        <v>3</v>
      </c>
      <c r="D987" t="n">
        <v>2</v>
      </c>
      <c r="E987" t="s">
        <v>986</v>
      </c>
      <c r="F987" t="s"/>
      <c r="G987" t="s"/>
      <c r="H987" t="s"/>
      <c r="I987" t="s"/>
      <c r="J987" t="n">
        <v>0</v>
      </c>
      <c r="K987" t="n">
        <v>0</v>
      </c>
      <c r="L987" t="n">
        <v>1</v>
      </c>
      <c r="M987" t="n">
        <v>0</v>
      </c>
    </row>
    <row r="988" spans="1:13">
      <c r="A988" s="1">
        <f>HYPERLINK("http://www.twitter.com/NathanBLawrence/status/994712481598705664", "994712481598705664")</f>
        <v/>
      </c>
      <c r="B988" s="2" t="n">
        <v>43230.95498842592</v>
      </c>
      <c r="C988" t="n">
        <v>0</v>
      </c>
      <c r="D988" t="n">
        <v>1</v>
      </c>
      <c r="E988" t="s">
        <v>987</v>
      </c>
      <c r="F988" t="s"/>
      <c r="G988" t="s"/>
      <c r="H988" t="s"/>
      <c r="I988" t="s"/>
      <c r="J988" t="n">
        <v>0</v>
      </c>
      <c r="K988" t="n">
        <v>0</v>
      </c>
      <c r="L988" t="n">
        <v>1</v>
      </c>
      <c r="M988" t="n">
        <v>0</v>
      </c>
    </row>
    <row r="989" spans="1:13">
      <c r="A989" s="1">
        <f>HYPERLINK("http://www.twitter.com/NathanBLawrence/status/994712442113527808", "994712442113527808")</f>
        <v/>
      </c>
      <c r="B989" s="2" t="n">
        <v>43230.95487268519</v>
      </c>
      <c r="C989" t="n">
        <v>0</v>
      </c>
      <c r="D989" t="n">
        <v>0</v>
      </c>
      <c r="E989" t="s">
        <v>988</v>
      </c>
      <c r="F989" t="s"/>
      <c r="G989" t="s"/>
      <c r="H989" t="s"/>
      <c r="I989" t="s"/>
      <c r="J989" t="n">
        <v>-0.0772</v>
      </c>
      <c r="K989" t="n">
        <v>0.5649999999999999</v>
      </c>
      <c r="L989" t="n">
        <v>0.435</v>
      </c>
      <c r="M989" t="n">
        <v>0</v>
      </c>
    </row>
    <row r="990" spans="1:13">
      <c r="A990" s="1">
        <f>HYPERLINK("http://www.twitter.com/NathanBLawrence/status/994712383200382976", "994712383200382976")</f>
        <v/>
      </c>
      <c r="B990" s="2" t="n">
        <v>43230.95471064815</v>
      </c>
      <c r="C990" t="n">
        <v>0</v>
      </c>
      <c r="D990" t="n">
        <v>4</v>
      </c>
      <c r="E990" t="s">
        <v>989</v>
      </c>
      <c r="F990" t="s"/>
      <c r="G990" t="s"/>
      <c r="H990" t="s"/>
      <c r="I990" t="s"/>
      <c r="J990" t="n">
        <v>-0.596</v>
      </c>
      <c r="K990" t="n">
        <v>0.162</v>
      </c>
      <c r="L990" t="n">
        <v>0.838</v>
      </c>
      <c r="M990" t="n">
        <v>0</v>
      </c>
    </row>
    <row r="991" spans="1:13">
      <c r="A991" s="1">
        <f>HYPERLINK("http://www.twitter.com/NathanBLawrence/status/994712301520478211", "994712301520478211")</f>
        <v/>
      </c>
      <c r="B991" s="2" t="n">
        <v>43230.95449074074</v>
      </c>
      <c r="C991" t="n">
        <v>0</v>
      </c>
      <c r="D991" t="n">
        <v>4</v>
      </c>
      <c r="E991" t="s">
        <v>990</v>
      </c>
      <c r="F991" t="s"/>
      <c r="G991" t="s"/>
      <c r="H991" t="s"/>
      <c r="I991" t="s"/>
      <c r="J991" t="n">
        <v>0.4019</v>
      </c>
      <c r="K991" t="n">
        <v>0</v>
      </c>
      <c r="L991" t="n">
        <v>0.886</v>
      </c>
      <c r="M991" t="n">
        <v>0.114</v>
      </c>
    </row>
    <row r="992" spans="1:13">
      <c r="A992" s="1">
        <f>HYPERLINK("http://www.twitter.com/NathanBLawrence/status/994712205961711616", "994712205961711616")</f>
        <v/>
      </c>
      <c r="B992" s="2" t="n">
        <v>43230.95422453704</v>
      </c>
      <c r="C992" t="n">
        <v>0</v>
      </c>
      <c r="D992" t="n">
        <v>5</v>
      </c>
      <c r="E992" t="s">
        <v>991</v>
      </c>
      <c r="F992">
        <f>HYPERLINK("http://pbs.twimg.com/media/Dc3sSxAXUAA4QT-.jpg", "http://pbs.twimg.com/media/Dc3sSxAXUAA4QT-.jpg")</f>
        <v/>
      </c>
      <c r="G992" t="s"/>
      <c r="H992" t="s"/>
      <c r="I992" t="s"/>
      <c r="J992" t="n">
        <v>0</v>
      </c>
      <c r="K992" t="n">
        <v>0</v>
      </c>
      <c r="L992" t="n">
        <v>1</v>
      </c>
      <c r="M992" t="n">
        <v>0</v>
      </c>
    </row>
    <row r="993" spans="1:13">
      <c r="A993" s="1">
        <f>HYPERLINK("http://www.twitter.com/NathanBLawrence/status/994712142506086402", "994712142506086402")</f>
        <v/>
      </c>
      <c r="B993" s="2" t="n">
        <v>43230.95405092592</v>
      </c>
      <c r="C993" t="n">
        <v>0</v>
      </c>
      <c r="D993" t="n">
        <v>1</v>
      </c>
      <c r="E993" t="s">
        <v>992</v>
      </c>
      <c r="F993">
        <f>HYPERLINK("http://pbs.twimg.com/media/Dc3tVZxV0AALdhz.jpg", "http://pbs.twimg.com/media/Dc3tVZxV0AALdhz.jpg")</f>
        <v/>
      </c>
      <c r="G993" t="s"/>
      <c r="H993" t="s"/>
      <c r="I993" t="s"/>
      <c r="J993" t="n">
        <v>-0.7322</v>
      </c>
      <c r="K993" t="n">
        <v>0.255</v>
      </c>
      <c r="L993" t="n">
        <v>0.745</v>
      </c>
      <c r="M993" t="n">
        <v>0</v>
      </c>
    </row>
    <row r="994" spans="1:13">
      <c r="A994" s="1">
        <f>HYPERLINK("http://www.twitter.com/NathanBLawrence/status/994712060553498624", "994712060553498624")</f>
        <v/>
      </c>
      <c r="B994" s="2" t="n">
        <v>43230.95381944445</v>
      </c>
      <c r="C994" t="n">
        <v>1</v>
      </c>
      <c r="D994" t="n">
        <v>1</v>
      </c>
      <c r="E994" t="s">
        <v>993</v>
      </c>
      <c r="F994">
        <f>HYPERLINK("http://pbs.twimg.com/media/Dc3tVZxV0AALdhz.jpg", "http://pbs.twimg.com/media/Dc3tVZxV0AALdhz.jpg")</f>
        <v/>
      </c>
      <c r="G994" t="s"/>
      <c r="H994" t="s"/>
      <c r="I994" t="s"/>
      <c r="J994" t="n">
        <v>-0.8709</v>
      </c>
      <c r="K994" t="n">
        <v>0.222</v>
      </c>
      <c r="L994" t="n">
        <v>0.778</v>
      </c>
      <c r="M994" t="n">
        <v>0</v>
      </c>
    </row>
    <row r="995" spans="1:13">
      <c r="A995" s="1">
        <f>HYPERLINK("http://www.twitter.com/NathanBLawrence/status/994710625921196033", "994710625921196033")</f>
        <v/>
      </c>
      <c r="B995" s="2" t="n">
        <v>43230.94986111111</v>
      </c>
      <c r="C995" t="n">
        <v>0</v>
      </c>
      <c r="D995" t="n">
        <v>1</v>
      </c>
      <c r="E995" t="s">
        <v>994</v>
      </c>
      <c r="F995">
        <f>HYPERLINK("http://pbs.twimg.com/media/Dc3r-PWU8AAMB-z.jpg", "http://pbs.twimg.com/media/Dc3r-PWU8AAMB-z.jpg")</f>
        <v/>
      </c>
      <c r="G995" t="s"/>
      <c r="H995" t="s"/>
      <c r="I995" t="s"/>
      <c r="J995" t="n">
        <v>0</v>
      </c>
      <c r="K995" t="n">
        <v>0</v>
      </c>
      <c r="L995" t="n">
        <v>1</v>
      </c>
      <c r="M995" t="n">
        <v>0</v>
      </c>
    </row>
    <row r="996" spans="1:13">
      <c r="A996" s="1">
        <f>HYPERLINK("http://www.twitter.com/NathanBLawrence/status/994710606870609920", "994710606870609920")</f>
        <v/>
      </c>
      <c r="B996" s="2" t="n">
        <v>43230.94981481481</v>
      </c>
      <c r="C996" t="n">
        <v>0</v>
      </c>
      <c r="D996" t="n">
        <v>1</v>
      </c>
      <c r="E996" t="s">
        <v>994</v>
      </c>
      <c r="F996">
        <f>HYPERLINK("http://pbs.twimg.com/media/Dc3r1SzV4AAQnG9.jpg", "http://pbs.twimg.com/media/Dc3r1SzV4AAQnG9.jpg")</f>
        <v/>
      </c>
      <c r="G996" t="s"/>
      <c r="H996" t="s"/>
      <c r="I996" t="s"/>
      <c r="J996" t="n">
        <v>0</v>
      </c>
      <c r="K996" t="n">
        <v>0</v>
      </c>
      <c r="L996" t="n">
        <v>1</v>
      </c>
      <c r="M996" t="n">
        <v>0</v>
      </c>
    </row>
    <row r="997" spans="1:13">
      <c r="A997" s="1">
        <f>HYPERLINK("http://www.twitter.com/NathanBLawrence/status/994710552646750209", "994710552646750209")</f>
        <v/>
      </c>
      <c r="B997" s="2" t="n">
        <v>43230.94966435185</v>
      </c>
      <c r="C997" t="n">
        <v>3</v>
      </c>
      <c r="D997" t="n">
        <v>1</v>
      </c>
      <c r="E997" t="s">
        <v>995</v>
      </c>
      <c r="F997">
        <f>HYPERLINK("http://pbs.twimg.com/media/Dc3r-PWU8AAMB-z.jpg", "http://pbs.twimg.com/media/Dc3r-PWU8AAMB-z.jpg")</f>
        <v/>
      </c>
      <c r="G997" t="s"/>
      <c r="H997" t="s"/>
      <c r="I997" t="s"/>
      <c r="J997" t="n">
        <v>0</v>
      </c>
      <c r="K997" t="n">
        <v>0</v>
      </c>
      <c r="L997" t="n">
        <v>1</v>
      </c>
      <c r="M997" t="n">
        <v>0</v>
      </c>
    </row>
    <row r="998" spans="1:13">
      <c r="A998" s="1">
        <f>HYPERLINK("http://www.twitter.com/NathanBLawrence/status/994710400531824640", "994710400531824640")</f>
        <v/>
      </c>
      <c r="B998" s="2" t="n">
        <v>43230.94923611111</v>
      </c>
      <c r="C998" t="n">
        <v>4</v>
      </c>
      <c r="D998" t="n">
        <v>1</v>
      </c>
      <c r="E998" t="s">
        <v>996</v>
      </c>
      <c r="F998">
        <f>HYPERLINK("http://pbs.twimg.com/media/Dc3r1SzV4AAQnG9.jpg", "http://pbs.twimg.com/media/Dc3r1SzV4AAQnG9.jpg")</f>
        <v/>
      </c>
      <c r="G998" t="s"/>
      <c r="H998" t="s"/>
      <c r="I998" t="s"/>
      <c r="J998" t="n">
        <v>-0.5423</v>
      </c>
      <c r="K998" t="n">
        <v>0.189</v>
      </c>
      <c r="L998" t="n">
        <v>0.8110000000000001</v>
      </c>
      <c r="M998" t="n">
        <v>0</v>
      </c>
    </row>
    <row r="999" spans="1:13">
      <c r="A999" s="1">
        <f>HYPERLINK("http://www.twitter.com/NathanBLawrence/status/994710269015265282", "994710269015265282")</f>
        <v/>
      </c>
      <c r="B999" s="2" t="n">
        <v>43230.94887731481</v>
      </c>
      <c r="C999" t="n">
        <v>0</v>
      </c>
      <c r="D999" t="n">
        <v>5</v>
      </c>
      <c r="E999" t="s">
        <v>997</v>
      </c>
      <c r="F999">
        <f>HYPERLINK("http://pbs.twimg.com/media/Dc3pTWOX4AAnQaW.jpg", "http://pbs.twimg.com/media/Dc3pTWOX4AAnQaW.jpg")</f>
        <v/>
      </c>
      <c r="G999" t="s"/>
      <c r="H999" t="s"/>
      <c r="I999" t="s"/>
      <c r="J999" t="n">
        <v>0</v>
      </c>
      <c r="K999" t="n">
        <v>0</v>
      </c>
      <c r="L999" t="n">
        <v>1</v>
      </c>
      <c r="M999" t="n">
        <v>0</v>
      </c>
    </row>
    <row r="1000" spans="1:13">
      <c r="A1000" s="1">
        <f>HYPERLINK("http://www.twitter.com/NathanBLawrence/status/994710225361031168", "994710225361031168")</f>
        <v/>
      </c>
      <c r="B1000" s="2" t="n">
        <v>43230.94876157407</v>
      </c>
      <c r="C1000" t="n">
        <v>0</v>
      </c>
      <c r="D1000" t="n">
        <v>5</v>
      </c>
      <c r="E1000" t="s">
        <v>998</v>
      </c>
      <c r="F1000">
        <f>HYPERLINK("http://pbs.twimg.com/media/Dc3ph-1XcAAXumF.jpg", "http://pbs.twimg.com/media/Dc3ph-1XcAAXumF.jpg")</f>
        <v/>
      </c>
      <c r="G1000" t="s"/>
      <c r="H1000" t="s"/>
      <c r="I1000" t="s"/>
      <c r="J1000" t="n">
        <v>0</v>
      </c>
      <c r="K1000" t="n">
        <v>0</v>
      </c>
      <c r="L1000" t="n">
        <v>1</v>
      </c>
      <c r="M1000" t="n">
        <v>0</v>
      </c>
    </row>
    <row r="1001" spans="1:13">
      <c r="A1001" s="1">
        <f>HYPERLINK("http://www.twitter.com/NathanBLawrence/status/994710186173624321", "994710186173624321")</f>
        <v/>
      </c>
      <c r="B1001" s="2" t="n">
        <v>43230.94864583333</v>
      </c>
      <c r="C1001" t="n">
        <v>0</v>
      </c>
      <c r="D1001" t="n">
        <v>4</v>
      </c>
      <c r="E1001" t="s">
        <v>999</v>
      </c>
      <c r="F1001">
        <f>HYPERLINK("http://pbs.twimg.com/media/Dc3p4BcWkAIzh7Z.jpg", "http://pbs.twimg.com/media/Dc3p4BcWkAIzh7Z.jpg")</f>
        <v/>
      </c>
      <c r="G1001" t="s"/>
      <c r="H1001" t="s"/>
      <c r="I1001" t="s"/>
      <c r="J1001" t="n">
        <v>0</v>
      </c>
      <c r="K1001" t="n">
        <v>0</v>
      </c>
      <c r="L1001" t="n">
        <v>1</v>
      </c>
      <c r="M1001" t="n">
        <v>0</v>
      </c>
    </row>
    <row r="1002" spans="1:13">
      <c r="A1002" s="1">
        <f>HYPERLINK("http://www.twitter.com/NathanBLawrence/status/994710168616275969", "994710168616275969")</f>
        <v/>
      </c>
      <c r="B1002" s="2" t="n">
        <v>43230.94859953703</v>
      </c>
      <c r="C1002" t="n">
        <v>3</v>
      </c>
      <c r="D1002" t="n">
        <v>1</v>
      </c>
      <c r="E1002" t="s">
        <v>1000</v>
      </c>
      <c r="F1002" t="s"/>
      <c r="G1002" t="s"/>
      <c r="H1002" t="s"/>
      <c r="I1002" t="s"/>
      <c r="J1002" t="n">
        <v>0</v>
      </c>
      <c r="K1002" t="n">
        <v>0</v>
      </c>
      <c r="L1002" t="n">
        <v>1</v>
      </c>
      <c r="M1002" t="n">
        <v>0</v>
      </c>
    </row>
    <row r="1003" spans="1:13">
      <c r="A1003" s="1">
        <f>HYPERLINK("http://www.twitter.com/NathanBLawrence/status/994710024156073984", "994710024156073984")</f>
        <v/>
      </c>
      <c r="B1003" s="2" t="n">
        <v>43230.94820601852</v>
      </c>
      <c r="C1003" t="n">
        <v>0</v>
      </c>
      <c r="D1003" t="n">
        <v>1</v>
      </c>
      <c r="E1003" t="s">
        <v>1001</v>
      </c>
      <c r="F1003" t="s"/>
      <c r="G1003" t="s"/>
      <c r="H1003" t="s"/>
      <c r="I1003" t="s"/>
      <c r="J1003" t="n">
        <v>0</v>
      </c>
      <c r="K1003" t="n">
        <v>0</v>
      </c>
      <c r="L1003" t="n">
        <v>1</v>
      </c>
      <c r="M1003" t="n">
        <v>0</v>
      </c>
    </row>
    <row r="1004" spans="1:13">
      <c r="A1004" s="1">
        <f>HYPERLINK("http://www.twitter.com/NathanBLawrence/status/994710014911746048", "994710014911746048")</f>
        <v/>
      </c>
      <c r="B1004" s="2" t="n">
        <v>43230.94818287037</v>
      </c>
      <c r="C1004" t="n">
        <v>0</v>
      </c>
      <c r="D1004" t="n">
        <v>1</v>
      </c>
      <c r="E1004" t="s">
        <v>1002</v>
      </c>
      <c r="F1004" t="s"/>
      <c r="G1004" t="s"/>
      <c r="H1004" t="s"/>
      <c r="I1004" t="s"/>
      <c r="J1004" t="n">
        <v>0.1761</v>
      </c>
      <c r="K1004" t="n">
        <v>0</v>
      </c>
      <c r="L1004" t="n">
        <v>0.914</v>
      </c>
      <c r="M1004" t="n">
        <v>0.08599999999999999</v>
      </c>
    </row>
    <row r="1005" spans="1:13">
      <c r="A1005" s="1">
        <f>HYPERLINK("http://www.twitter.com/NathanBLawrence/status/994709841682862091", "994709841682862091")</f>
        <v/>
      </c>
      <c r="B1005" s="2" t="n">
        <v>43230.94769675926</v>
      </c>
      <c r="C1005" t="n">
        <v>2</v>
      </c>
      <c r="D1005" t="n">
        <v>1</v>
      </c>
      <c r="E1005" t="s">
        <v>1003</v>
      </c>
      <c r="F1005" t="s"/>
      <c r="G1005" t="s"/>
      <c r="H1005" t="s"/>
      <c r="I1005" t="s"/>
      <c r="J1005" t="n">
        <v>0.5859</v>
      </c>
      <c r="K1005" t="n">
        <v>0.073</v>
      </c>
      <c r="L1005" t="n">
        <v>0.753</v>
      </c>
      <c r="M1005" t="n">
        <v>0.174</v>
      </c>
    </row>
    <row r="1006" spans="1:13">
      <c r="A1006" s="1">
        <f>HYPERLINK("http://www.twitter.com/NathanBLawrence/status/994708871473180672", "994708871473180672")</f>
        <v/>
      </c>
      <c r="B1006" s="2" t="n">
        <v>43230.94502314815</v>
      </c>
      <c r="C1006" t="n">
        <v>1</v>
      </c>
      <c r="D1006" t="n">
        <v>1</v>
      </c>
      <c r="E1006" t="s">
        <v>1004</v>
      </c>
      <c r="F1006" t="s"/>
      <c r="G1006" t="s"/>
      <c r="H1006" t="s"/>
      <c r="I1006" t="s"/>
      <c r="J1006" t="n">
        <v>-0.8101</v>
      </c>
      <c r="K1006" t="n">
        <v>0.151</v>
      </c>
      <c r="L1006" t="n">
        <v>0.82</v>
      </c>
      <c r="M1006" t="n">
        <v>0.028</v>
      </c>
    </row>
    <row r="1007" spans="1:13">
      <c r="A1007" s="1">
        <f>HYPERLINK("http://www.twitter.com/NathanBLawrence/status/994707906875613184", "994707906875613184")</f>
        <v/>
      </c>
      <c r="B1007" s="2" t="n">
        <v>43230.94236111111</v>
      </c>
      <c r="C1007" t="n">
        <v>0</v>
      </c>
      <c r="D1007" t="n">
        <v>3</v>
      </c>
      <c r="E1007" t="s">
        <v>1005</v>
      </c>
      <c r="F1007" t="s"/>
      <c r="G1007" t="s"/>
      <c r="H1007" t="s"/>
      <c r="I1007" t="s"/>
      <c r="J1007" t="n">
        <v>0.4019</v>
      </c>
      <c r="K1007" t="n">
        <v>0</v>
      </c>
      <c r="L1007" t="n">
        <v>0.87</v>
      </c>
      <c r="M1007" t="n">
        <v>0.13</v>
      </c>
    </row>
    <row r="1008" spans="1:13">
      <c r="A1008" s="1">
        <f>HYPERLINK("http://www.twitter.com/NathanBLawrence/status/994707680429264897", "994707680429264897")</f>
        <v/>
      </c>
      <c r="B1008" s="2" t="n">
        <v>43230.94173611111</v>
      </c>
      <c r="C1008" t="n">
        <v>0</v>
      </c>
      <c r="D1008" t="n">
        <v>2</v>
      </c>
      <c r="E1008" t="s">
        <v>1006</v>
      </c>
      <c r="F1008">
        <f>HYPERLINK("http://pbs.twimg.com/media/Dc3pDj_V0AAo4OP.jpg", "http://pbs.twimg.com/media/Dc3pDj_V0AAo4OP.jpg")</f>
        <v/>
      </c>
      <c r="G1008" t="s"/>
      <c r="H1008" t="s"/>
      <c r="I1008" t="s"/>
      <c r="J1008" t="n">
        <v>-0.1007</v>
      </c>
      <c r="K1008" t="n">
        <v>0.155</v>
      </c>
      <c r="L1008" t="n">
        <v>0.708</v>
      </c>
      <c r="M1008" t="n">
        <v>0.137</v>
      </c>
    </row>
    <row r="1009" spans="1:13">
      <c r="A1009" s="1">
        <f>HYPERLINK("http://www.twitter.com/NathanBLawrence/status/994707344926937090", "994707344926937090")</f>
        <v/>
      </c>
      <c r="B1009" s="2" t="n">
        <v>43230.94081018519</v>
      </c>
      <c r="C1009" t="n">
        <v>2</v>
      </c>
      <c r="D1009" t="n">
        <v>2</v>
      </c>
      <c r="E1009" t="s">
        <v>1007</v>
      </c>
      <c r="F1009">
        <f>HYPERLINK("http://pbs.twimg.com/media/Dc3pDj_V0AAo4OP.jpg", "http://pbs.twimg.com/media/Dc3pDj_V0AAo4OP.jpg")</f>
        <v/>
      </c>
      <c r="G1009" t="s"/>
      <c r="H1009" t="s"/>
      <c r="I1009" t="s"/>
      <c r="J1009" t="n">
        <v>-0.1007</v>
      </c>
      <c r="K1009" t="n">
        <v>0.126</v>
      </c>
      <c r="L1009" t="n">
        <v>0.764</v>
      </c>
      <c r="M1009" t="n">
        <v>0.111</v>
      </c>
    </row>
    <row r="1010" spans="1:13">
      <c r="A1010" s="1">
        <f>HYPERLINK("http://www.twitter.com/NathanBLawrence/status/994706752380833792", "994706752380833792")</f>
        <v/>
      </c>
      <c r="B1010" s="2" t="n">
        <v>43230.93917824074</v>
      </c>
      <c r="C1010" t="n">
        <v>0</v>
      </c>
      <c r="D1010" t="n">
        <v>4</v>
      </c>
      <c r="E1010" t="s">
        <v>1008</v>
      </c>
      <c r="F1010" t="s"/>
      <c r="G1010" t="s"/>
      <c r="H1010" t="s"/>
      <c r="I1010" t="s"/>
      <c r="J1010" t="n">
        <v>0</v>
      </c>
      <c r="K1010" t="n">
        <v>0</v>
      </c>
      <c r="L1010" t="n">
        <v>1</v>
      </c>
      <c r="M1010" t="n">
        <v>0</v>
      </c>
    </row>
    <row r="1011" spans="1:13">
      <c r="A1011" s="1">
        <f>HYPERLINK("http://www.twitter.com/NathanBLawrence/status/994706600899248129", "994706600899248129")</f>
        <v/>
      </c>
      <c r="B1011" s="2" t="n">
        <v>43230.93876157407</v>
      </c>
      <c r="C1011" t="n">
        <v>0</v>
      </c>
      <c r="D1011" t="n">
        <v>2</v>
      </c>
      <c r="E1011" t="s">
        <v>1009</v>
      </c>
      <c r="F1011" t="s"/>
      <c r="G1011" t="s"/>
      <c r="H1011" t="s"/>
      <c r="I1011" t="s"/>
      <c r="J1011" t="n">
        <v>0</v>
      </c>
      <c r="K1011" t="n">
        <v>0</v>
      </c>
      <c r="L1011" t="n">
        <v>1</v>
      </c>
      <c r="M1011" t="n">
        <v>0</v>
      </c>
    </row>
    <row r="1012" spans="1:13">
      <c r="A1012" s="1">
        <f>HYPERLINK("http://www.twitter.com/NathanBLawrence/status/994706568695427073", "994706568695427073")</f>
        <v/>
      </c>
      <c r="B1012" s="2" t="n">
        <v>43230.93866898148</v>
      </c>
      <c r="C1012" t="n">
        <v>0</v>
      </c>
      <c r="D1012" t="n">
        <v>7</v>
      </c>
      <c r="E1012" t="s">
        <v>1010</v>
      </c>
      <c r="F1012" t="s"/>
      <c r="G1012" t="s"/>
      <c r="H1012" t="s"/>
      <c r="I1012" t="s"/>
      <c r="J1012" t="n">
        <v>-0.1486</v>
      </c>
      <c r="K1012" t="n">
        <v>0.073</v>
      </c>
      <c r="L1012" t="n">
        <v>0.927</v>
      </c>
      <c r="M1012" t="n">
        <v>0</v>
      </c>
    </row>
    <row r="1013" spans="1:13">
      <c r="A1013" s="1">
        <f>HYPERLINK("http://www.twitter.com/NathanBLawrence/status/994706526186213378", "994706526186213378")</f>
        <v/>
      </c>
      <c r="B1013" s="2" t="n">
        <v>43230.93855324074</v>
      </c>
      <c r="C1013" t="n">
        <v>0</v>
      </c>
      <c r="D1013" t="n">
        <v>1</v>
      </c>
      <c r="E1013" t="s">
        <v>1011</v>
      </c>
      <c r="F1013" t="s"/>
      <c r="G1013" t="s"/>
      <c r="H1013" t="s"/>
      <c r="I1013" t="s"/>
      <c r="J1013" t="n">
        <v>0.368</v>
      </c>
      <c r="K1013" t="n">
        <v>0</v>
      </c>
      <c r="L1013" t="n">
        <v>0.888</v>
      </c>
      <c r="M1013" t="n">
        <v>0.112</v>
      </c>
    </row>
    <row r="1014" spans="1:13">
      <c r="A1014" s="1">
        <f>HYPERLINK("http://www.twitter.com/NathanBLawrence/status/994706295776301056", "994706295776301056")</f>
        <v/>
      </c>
      <c r="B1014" s="2" t="n">
        <v>43230.93791666667</v>
      </c>
      <c r="C1014" t="n">
        <v>0</v>
      </c>
      <c r="D1014" t="n">
        <v>0</v>
      </c>
      <c r="E1014" t="s">
        <v>1012</v>
      </c>
      <c r="F1014" t="s"/>
      <c r="G1014" t="s"/>
      <c r="H1014" t="s"/>
      <c r="I1014" t="s"/>
      <c r="J1014" t="n">
        <v>-0.296</v>
      </c>
      <c r="K1014" t="n">
        <v>0.524</v>
      </c>
      <c r="L1014" t="n">
        <v>0.476</v>
      </c>
      <c r="M1014" t="n">
        <v>0</v>
      </c>
    </row>
    <row r="1015" spans="1:13">
      <c r="A1015" s="1">
        <f>HYPERLINK("http://www.twitter.com/NathanBLawrence/status/994706092541267968", "994706092541267968")</f>
        <v/>
      </c>
      <c r="B1015" s="2" t="n">
        <v>43230.93734953704</v>
      </c>
      <c r="C1015" t="n">
        <v>0</v>
      </c>
      <c r="D1015" t="n">
        <v>18</v>
      </c>
      <c r="E1015" t="s">
        <v>1013</v>
      </c>
      <c r="F1015">
        <f>HYPERLINK("http://pbs.twimg.com/media/Dc3SX1mWkAMANbN.jpg", "http://pbs.twimg.com/media/Dc3SX1mWkAMANbN.jpg")</f>
        <v/>
      </c>
      <c r="G1015" t="s"/>
      <c r="H1015" t="s"/>
      <c r="I1015" t="s"/>
      <c r="J1015" t="n">
        <v>-0.5719</v>
      </c>
      <c r="K1015" t="n">
        <v>0.15</v>
      </c>
      <c r="L1015" t="n">
        <v>0.85</v>
      </c>
      <c r="M1015" t="n">
        <v>0</v>
      </c>
    </row>
    <row r="1016" spans="1:13">
      <c r="A1016" s="1">
        <f>HYPERLINK("http://www.twitter.com/NathanBLawrence/status/994706056931659780", "994706056931659780")</f>
        <v/>
      </c>
      <c r="B1016" s="2" t="n">
        <v>43230.93725694445</v>
      </c>
      <c r="C1016" t="n">
        <v>0</v>
      </c>
      <c r="D1016" t="n">
        <v>1</v>
      </c>
      <c r="E1016" t="s">
        <v>1014</v>
      </c>
      <c r="F1016">
        <f>HYPERLINK("http://pbs.twimg.com/media/Dc3nlJnVMAAoj_X.jpg", "http://pbs.twimg.com/media/Dc3nlJnVMAAoj_X.jpg")</f>
        <v/>
      </c>
      <c r="G1016" t="s"/>
      <c r="H1016" t="s"/>
      <c r="I1016" t="s"/>
      <c r="J1016" t="n">
        <v>0</v>
      </c>
      <c r="K1016" t="n">
        <v>0</v>
      </c>
      <c r="L1016" t="n">
        <v>1</v>
      </c>
      <c r="M1016" t="n">
        <v>0</v>
      </c>
    </row>
    <row r="1017" spans="1:13">
      <c r="A1017" s="1">
        <f>HYPERLINK("http://www.twitter.com/NathanBLawrence/status/994705724671488000", "994705724671488000")</f>
        <v/>
      </c>
      <c r="B1017" s="2" t="n">
        <v>43230.93634259259</v>
      </c>
      <c r="C1017" t="n">
        <v>1</v>
      </c>
      <c r="D1017" t="n">
        <v>1</v>
      </c>
      <c r="E1017" t="s">
        <v>1015</v>
      </c>
      <c r="F1017">
        <f>HYPERLINK("http://pbs.twimg.com/media/Dc3nlJnVMAAoj_X.jpg", "http://pbs.twimg.com/media/Dc3nlJnVMAAoj_X.jpg")</f>
        <v/>
      </c>
      <c r="G1017" t="s"/>
      <c r="H1017" t="s"/>
      <c r="I1017" t="s"/>
      <c r="J1017" t="n">
        <v>0</v>
      </c>
      <c r="K1017" t="n">
        <v>0</v>
      </c>
      <c r="L1017" t="n">
        <v>1</v>
      </c>
      <c r="M1017" t="n">
        <v>0</v>
      </c>
    </row>
    <row r="1018" spans="1:13">
      <c r="A1018" s="1">
        <f>HYPERLINK("http://www.twitter.com/NathanBLawrence/status/994701709585932290", "994701709585932290")</f>
        <v/>
      </c>
      <c r="B1018" s="2" t="n">
        <v>43230.92525462963</v>
      </c>
      <c r="C1018" t="n">
        <v>1</v>
      </c>
      <c r="D1018" t="n">
        <v>1</v>
      </c>
      <c r="E1018" t="s">
        <v>1016</v>
      </c>
      <c r="F1018" t="s"/>
      <c r="G1018" t="s"/>
      <c r="H1018" t="s"/>
      <c r="I1018" t="s"/>
      <c r="J1018" t="n">
        <v>0.368</v>
      </c>
      <c r="K1018" t="n">
        <v>0</v>
      </c>
      <c r="L1018" t="n">
        <v>0.931</v>
      </c>
      <c r="M1018" t="n">
        <v>0.06900000000000001</v>
      </c>
    </row>
    <row r="1019" spans="1:13">
      <c r="A1019" s="1">
        <f>HYPERLINK("http://www.twitter.com/NathanBLawrence/status/994671452992524288", "994671452992524288")</f>
        <v/>
      </c>
      <c r="B1019" s="2" t="n">
        <v>43230.84177083334</v>
      </c>
      <c r="C1019" t="n">
        <v>0</v>
      </c>
      <c r="D1019" t="n">
        <v>0</v>
      </c>
      <c r="E1019" t="s">
        <v>1017</v>
      </c>
      <c r="F1019" t="s"/>
      <c r="G1019" t="s"/>
      <c r="H1019" t="s"/>
      <c r="I1019" t="s"/>
      <c r="J1019" t="n">
        <v>0</v>
      </c>
      <c r="K1019" t="n">
        <v>0</v>
      </c>
      <c r="L1019" t="n">
        <v>1</v>
      </c>
      <c r="M1019" t="n">
        <v>0</v>
      </c>
    </row>
    <row r="1020" spans="1:13">
      <c r="A1020" s="1">
        <f>HYPERLINK("http://www.twitter.com/NathanBLawrence/status/994661885478932480", "994661885478932480")</f>
        <v/>
      </c>
      <c r="B1020" s="2" t="n">
        <v>43230.81537037037</v>
      </c>
      <c r="C1020" t="n">
        <v>0</v>
      </c>
      <c r="D1020" t="n">
        <v>16</v>
      </c>
      <c r="E1020" t="s">
        <v>1018</v>
      </c>
      <c r="F1020">
        <f>HYPERLINK("http://pbs.twimg.com/media/Dc2pfzWW4AAq-cS.jpg", "http://pbs.twimg.com/media/Dc2pfzWW4AAq-cS.jpg")</f>
        <v/>
      </c>
      <c r="G1020" t="s"/>
      <c r="H1020" t="s"/>
      <c r="I1020" t="s"/>
      <c r="J1020" t="n">
        <v>0</v>
      </c>
      <c r="K1020" t="n">
        <v>0</v>
      </c>
      <c r="L1020" t="n">
        <v>1</v>
      </c>
      <c r="M1020" t="n">
        <v>0</v>
      </c>
    </row>
    <row r="1021" spans="1:13">
      <c r="A1021" s="1">
        <f>HYPERLINK("http://www.twitter.com/NathanBLawrence/status/994658297641947136", "994658297641947136")</f>
        <v/>
      </c>
      <c r="B1021" s="2" t="n">
        <v>43230.80546296296</v>
      </c>
      <c r="C1021" t="n">
        <v>0</v>
      </c>
      <c r="D1021" t="n">
        <v>8</v>
      </c>
      <c r="E1021" t="s">
        <v>1019</v>
      </c>
      <c r="F1021">
        <f>HYPERLINK("http://pbs.twimg.com/media/Dc21-X7XcAAdFNW.jpg", "http://pbs.twimg.com/media/Dc21-X7XcAAdFNW.jpg")</f>
        <v/>
      </c>
      <c r="G1021" t="s"/>
      <c r="H1021" t="s"/>
      <c r="I1021" t="s"/>
      <c r="J1021" t="n">
        <v>0</v>
      </c>
      <c r="K1021" t="n">
        <v>0</v>
      </c>
      <c r="L1021" t="n">
        <v>1</v>
      </c>
      <c r="M1021" t="n">
        <v>0</v>
      </c>
    </row>
    <row r="1022" spans="1:13">
      <c r="A1022" s="1">
        <f>HYPERLINK("http://www.twitter.com/NathanBLawrence/status/994651079848681472", "994651079848681472")</f>
        <v/>
      </c>
      <c r="B1022" s="2" t="n">
        <v>43230.78554398148</v>
      </c>
      <c r="C1022" t="n">
        <v>0</v>
      </c>
      <c r="D1022" t="n">
        <v>1</v>
      </c>
      <c r="E1022" t="s">
        <v>1020</v>
      </c>
      <c r="F1022" t="s"/>
      <c r="G1022" t="s"/>
      <c r="H1022" t="s"/>
      <c r="I1022" t="s"/>
      <c r="J1022" t="n">
        <v>0</v>
      </c>
      <c r="K1022" t="n">
        <v>0</v>
      </c>
      <c r="L1022" t="n">
        <v>1</v>
      </c>
      <c r="M1022" t="n">
        <v>0</v>
      </c>
    </row>
    <row r="1023" spans="1:13">
      <c r="A1023" s="1">
        <f>HYPERLINK("http://www.twitter.com/NathanBLawrence/status/994651053055410177", "994651053055410177")</f>
        <v/>
      </c>
      <c r="B1023" s="2" t="n">
        <v>43230.78547453704</v>
      </c>
      <c r="C1023" t="n">
        <v>2</v>
      </c>
      <c r="D1023" t="n">
        <v>1</v>
      </c>
      <c r="E1023" t="s">
        <v>1021</v>
      </c>
      <c r="F1023" t="s"/>
      <c r="G1023" t="s"/>
      <c r="H1023" t="s"/>
      <c r="I1023" t="s"/>
      <c r="J1023" t="n">
        <v>0</v>
      </c>
      <c r="K1023" t="n">
        <v>0</v>
      </c>
      <c r="L1023" t="n">
        <v>1</v>
      </c>
      <c r="M1023" t="n">
        <v>0</v>
      </c>
    </row>
    <row r="1024" spans="1:13">
      <c r="A1024" s="1">
        <f>HYPERLINK("http://www.twitter.com/NathanBLawrence/status/994650310273650689", "994650310273650689")</f>
        <v/>
      </c>
      <c r="B1024" s="2" t="n">
        <v>43230.78342592593</v>
      </c>
      <c r="C1024" t="n">
        <v>0</v>
      </c>
      <c r="D1024" t="n">
        <v>1</v>
      </c>
      <c r="E1024" t="s">
        <v>1022</v>
      </c>
      <c r="F1024">
        <f>HYPERLINK("http://pbs.twimg.com/media/Dc21FFHV4AAfCyZ.jpg", "http://pbs.twimg.com/media/Dc21FFHV4AAfCyZ.jpg")</f>
        <v/>
      </c>
      <c r="G1024" t="s"/>
      <c r="H1024" t="s"/>
      <c r="I1024" t="s"/>
      <c r="J1024" t="n">
        <v>0</v>
      </c>
      <c r="K1024" t="n">
        <v>0</v>
      </c>
      <c r="L1024" t="n">
        <v>1</v>
      </c>
      <c r="M1024" t="n">
        <v>0</v>
      </c>
    </row>
    <row r="1025" spans="1:13">
      <c r="A1025" s="1">
        <f>HYPERLINK("http://www.twitter.com/NathanBLawrence/status/994650253163888640", "994650253163888640")</f>
        <v/>
      </c>
      <c r="B1025" s="2" t="n">
        <v>43230.78326388889</v>
      </c>
      <c r="C1025" t="n">
        <v>0</v>
      </c>
      <c r="D1025" t="n">
        <v>15</v>
      </c>
      <c r="E1025" t="s">
        <v>1023</v>
      </c>
      <c r="F1025">
        <f>HYPERLINK("http://pbs.twimg.com/media/DcpOpEaU0AA7Y94.jpg", "http://pbs.twimg.com/media/DcpOpEaU0AA7Y94.jpg")</f>
        <v/>
      </c>
      <c r="G1025" t="s"/>
      <c r="H1025" t="s"/>
      <c r="I1025" t="s"/>
      <c r="J1025" t="n">
        <v>-0.6369</v>
      </c>
      <c r="K1025" t="n">
        <v>0.206</v>
      </c>
      <c r="L1025" t="n">
        <v>0.794</v>
      </c>
      <c r="M1025" t="n">
        <v>0</v>
      </c>
    </row>
    <row r="1026" spans="1:13">
      <c r="A1026" s="1">
        <f>HYPERLINK("http://www.twitter.com/NathanBLawrence/status/994650210176552966", "994650210176552966")</f>
        <v/>
      </c>
      <c r="B1026" s="2" t="n">
        <v>43230.78314814815</v>
      </c>
      <c r="C1026" t="n">
        <v>0</v>
      </c>
      <c r="D1026" t="n">
        <v>21</v>
      </c>
      <c r="E1026" t="s">
        <v>1024</v>
      </c>
      <c r="F1026">
        <f>HYPERLINK("http://pbs.twimg.com/media/Dc2WIHeVwAAQWB3.jpg", "http://pbs.twimg.com/media/Dc2WIHeVwAAQWB3.jpg")</f>
        <v/>
      </c>
      <c r="G1026" t="s"/>
      <c r="H1026" t="s"/>
      <c r="I1026" t="s"/>
      <c r="J1026" t="n">
        <v>0.4404</v>
      </c>
      <c r="K1026" t="n">
        <v>0</v>
      </c>
      <c r="L1026" t="n">
        <v>0.896</v>
      </c>
      <c r="M1026" t="n">
        <v>0.104</v>
      </c>
    </row>
    <row r="1027" spans="1:13">
      <c r="A1027" s="1">
        <f>HYPERLINK("http://www.twitter.com/NathanBLawrence/status/994650197308379138", "994650197308379138")</f>
        <v/>
      </c>
      <c r="B1027" s="2" t="n">
        <v>43230.78311342592</v>
      </c>
      <c r="C1027" t="n">
        <v>2</v>
      </c>
      <c r="D1027" t="n">
        <v>1</v>
      </c>
      <c r="E1027" t="s">
        <v>1025</v>
      </c>
      <c r="F1027">
        <f>HYPERLINK("http://pbs.twimg.com/media/Dc21FFHV4AAfCyZ.jpg", "http://pbs.twimg.com/media/Dc21FFHV4AAfCyZ.jpg")</f>
        <v/>
      </c>
      <c r="G1027" t="s"/>
      <c r="H1027" t="s"/>
      <c r="I1027" t="s"/>
      <c r="J1027" t="n">
        <v>0</v>
      </c>
      <c r="K1027" t="n">
        <v>0</v>
      </c>
      <c r="L1027" t="n">
        <v>1</v>
      </c>
      <c r="M1027" t="n">
        <v>0</v>
      </c>
    </row>
    <row r="1028" spans="1:13">
      <c r="A1028" s="1">
        <f>HYPERLINK("http://www.twitter.com/NathanBLawrence/status/994649668620619779", "994649668620619779")</f>
        <v/>
      </c>
      <c r="B1028" s="2" t="n">
        <v>43230.78165509259</v>
      </c>
      <c r="C1028" t="n">
        <v>0</v>
      </c>
      <c r="D1028" t="n">
        <v>1</v>
      </c>
      <c r="E1028" t="s">
        <v>1026</v>
      </c>
      <c r="F1028">
        <f>HYPERLINK("http://pbs.twimg.com/media/Dc2zeZIUwAAMluI.jpg", "http://pbs.twimg.com/media/Dc2zeZIUwAAMluI.jpg")</f>
        <v/>
      </c>
      <c r="G1028" t="s"/>
      <c r="H1028" t="s"/>
      <c r="I1028" t="s"/>
      <c r="J1028" t="n">
        <v>-0.5106000000000001</v>
      </c>
      <c r="K1028" t="n">
        <v>0.187</v>
      </c>
      <c r="L1028" t="n">
        <v>0.739</v>
      </c>
      <c r="M1028" t="n">
        <v>0.074</v>
      </c>
    </row>
    <row r="1029" spans="1:13">
      <c r="A1029" s="1">
        <f>HYPERLINK("http://www.twitter.com/NathanBLawrence/status/994649359059947521", "994649359059947521")</f>
        <v/>
      </c>
      <c r="B1029" s="2" t="n">
        <v>43230.78079861111</v>
      </c>
      <c r="C1029" t="n">
        <v>0</v>
      </c>
      <c r="D1029" t="n">
        <v>5</v>
      </c>
      <c r="E1029" t="s">
        <v>1027</v>
      </c>
      <c r="F1029" t="s"/>
      <c r="G1029" t="s"/>
      <c r="H1029" t="s"/>
      <c r="I1029" t="s"/>
      <c r="J1029" t="n">
        <v>0</v>
      </c>
      <c r="K1029" t="n">
        <v>0</v>
      </c>
      <c r="L1029" t="n">
        <v>1</v>
      </c>
      <c r="M1029" t="n">
        <v>0</v>
      </c>
    </row>
    <row r="1030" spans="1:13">
      <c r="A1030" s="1">
        <f>HYPERLINK("http://www.twitter.com/NathanBLawrence/status/994648433981083648", "994648433981083648")</f>
        <v/>
      </c>
      <c r="B1030" s="2" t="n">
        <v>43230.77824074074</v>
      </c>
      <c r="C1030" t="n">
        <v>2</v>
      </c>
      <c r="D1030" t="n">
        <v>1</v>
      </c>
      <c r="E1030" t="s">
        <v>1028</v>
      </c>
      <c r="F1030">
        <f>HYPERLINK("http://pbs.twimg.com/media/Dc2zeZIUwAAMluI.jpg", "http://pbs.twimg.com/media/Dc2zeZIUwAAMluI.jpg")</f>
        <v/>
      </c>
      <c r="G1030" t="s"/>
      <c r="H1030" t="s"/>
      <c r="I1030" t="s"/>
      <c r="J1030" t="n">
        <v>-0.5106000000000001</v>
      </c>
      <c r="K1030" t="n">
        <v>0.08</v>
      </c>
      <c r="L1030" t="n">
        <v>0.888</v>
      </c>
      <c r="M1030" t="n">
        <v>0.032</v>
      </c>
    </row>
    <row r="1031" spans="1:13">
      <c r="A1031" s="1">
        <f>HYPERLINK("http://www.twitter.com/NathanBLawrence/status/994643674050039808", "994643674050039808")</f>
        <v/>
      </c>
      <c r="B1031" s="2" t="n">
        <v>43230.76511574074</v>
      </c>
      <c r="C1031" t="n">
        <v>0</v>
      </c>
      <c r="D1031" t="n">
        <v>1</v>
      </c>
      <c r="E1031" t="s">
        <v>1029</v>
      </c>
      <c r="F1031">
        <f>HYPERLINK("http://pbs.twimg.com/media/Dc2sEzrUQAAu41d.jpg", "http://pbs.twimg.com/media/Dc2sEzrUQAAu41d.jpg")</f>
        <v/>
      </c>
      <c r="G1031" t="s"/>
      <c r="H1031" t="s"/>
      <c r="I1031" t="s"/>
      <c r="J1031" t="n">
        <v>0</v>
      </c>
      <c r="K1031" t="n">
        <v>0</v>
      </c>
      <c r="L1031" t="n">
        <v>1</v>
      </c>
      <c r="M1031" t="n">
        <v>0</v>
      </c>
    </row>
    <row r="1032" spans="1:13">
      <c r="A1032" s="1">
        <f>HYPERLINK("http://www.twitter.com/NathanBLawrence/status/994643443036098561", "994643443036098561")</f>
        <v/>
      </c>
      <c r="B1032" s="2" t="n">
        <v>43230.76447916667</v>
      </c>
      <c r="C1032" t="n">
        <v>0</v>
      </c>
      <c r="D1032" t="n">
        <v>1</v>
      </c>
      <c r="E1032" t="s">
        <v>1030</v>
      </c>
      <c r="F1032" t="s"/>
      <c r="G1032" t="s"/>
      <c r="H1032" t="s"/>
      <c r="I1032" t="s"/>
      <c r="J1032" t="n">
        <v>-0.2732</v>
      </c>
      <c r="K1032" t="n">
        <v>0.08400000000000001</v>
      </c>
      <c r="L1032" t="n">
        <v>0.916</v>
      </c>
      <c r="M1032" t="n">
        <v>0</v>
      </c>
    </row>
    <row r="1033" spans="1:13">
      <c r="A1033" s="1">
        <f>HYPERLINK("http://www.twitter.com/NathanBLawrence/status/994643400338169856", "994643400338169856")</f>
        <v/>
      </c>
      <c r="B1033" s="2" t="n">
        <v>43230.76435185185</v>
      </c>
      <c r="C1033" t="n">
        <v>0</v>
      </c>
      <c r="D1033" t="n">
        <v>1</v>
      </c>
      <c r="E1033" t="s">
        <v>1031</v>
      </c>
      <c r="F1033" t="s"/>
      <c r="G1033" t="s"/>
      <c r="H1033" t="s"/>
      <c r="I1033" t="s"/>
      <c r="J1033" t="n">
        <v>-0.9226</v>
      </c>
      <c r="K1033" t="n">
        <v>0.411</v>
      </c>
      <c r="L1033" t="n">
        <v>0.589</v>
      </c>
      <c r="M1033" t="n">
        <v>0</v>
      </c>
    </row>
    <row r="1034" spans="1:13">
      <c r="A1034" s="1">
        <f>HYPERLINK("http://www.twitter.com/NathanBLawrence/status/994642969188884480", "994642969188884480")</f>
        <v/>
      </c>
      <c r="B1034" s="2" t="n">
        <v>43230.7631712963</v>
      </c>
      <c r="C1034" t="n">
        <v>0</v>
      </c>
      <c r="D1034" t="n">
        <v>7</v>
      </c>
      <c r="E1034" t="s">
        <v>1032</v>
      </c>
      <c r="F1034">
        <f>HYPERLINK("http://pbs.twimg.com/media/Dc2tEuGX0AEGnVo.jpg", "http://pbs.twimg.com/media/Dc2tEuGX0AEGnVo.jpg")</f>
        <v/>
      </c>
      <c r="G1034" t="s"/>
      <c r="H1034" t="s"/>
      <c r="I1034" t="s"/>
      <c r="J1034" t="n">
        <v>0.8442</v>
      </c>
      <c r="K1034" t="n">
        <v>0</v>
      </c>
      <c r="L1034" t="n">
        <v>0.581</v>
      </c>
      <c r="M1034" t="n">
        <v>0.419</v>
      </c>
    </row>
    <row r="1035" spans="1:13">
      <c r="A1035" s="1">
        <f>HYPERLINK("http://www.twitter.com/NathanBLawrence/status/994642926239207424", "994642926239207424")</f>
        <v/>
      </c>
      <c r="B1035" s="2" t="n">
        <v>43230.76304398148</v>
      </c>
      <c r="C1035" t="n">
        <v>1</v>
      </c>
      <c r="D1035" t="n">
        <v>1</v>
      </c>
      <c r="E1035" t="s">
        <v>1033</v>
      </c>
      <c r="F1035" t="s"/>
      <c r="G1035" t="s"/>
      <c r="H1035" t="s"/>
      <c r="I1035" t="s"/>
      <c r="J1035" t="n">
        <v>-0.9288</v>
      </c>
      <c r="K1035" t="n">
        <v>0.279</v>
      </c>
      <c r="L1035" t="n">
        <v>0.672</v>
      </c>
      <c r="M1035" t="n">
        <v>0.049</v>
      </c>
    </row>
    <row r="1036" spans="1:13">
      <c r="A1036" s="1">
        <f>HYPERLINK("http://www.twitter.com/NathanBLawrence/status/994641933137076224", "994641933137076224")</f>
        <v/>
      </c>
      <c r="B1036" s="2" t="n">
        <v>43230.7603125</v>
      </c>
      <c r="C1036" t="n">
        <v>0</v>
      </c>
      <c r="D1036" t="n">
        <v>1</v>
      </c>
      <c r="E1036" t="s">
        <v>1034</v>
      </c>
      <c r="F1036">
        <f>HYPERLINK("http://pbs.twimg.com/media/Dc2g2MXW4AE-Pio.jpg", "http://pbs.twimg.com/media/Dc2g2MXW4AE-Pio.jpg")</f>
        <v/>
      </c>
      <c r="G1036" t="s"/>
      <c r="H1036" t="s"/>
      <c r="I1036" t="s"/>
      <c r="J1036" t="n">
        <v>-0.8442</v>
      </c>
      <c r="K1036" t="n">
        <v>0.349</v>
      </c>
      <c r="L1036" t="n">
        <v>0.651</v>
      </c>
      <c r="M1036" t="n">
        <v>0</v>
      </c>
    </row>
    <row r="1037" spans="1:13">
      <c r="A1037" s="1">
        <f>HYPERLINK("http://www.twitter.com/NathanBLawrence/status/994641874936877057", "994641874936877057")</f>
        <v/>
      </c>
      <c r="B1037" s="2" t="n">
        <v>43230.76015046296</v>
      </c>
      <c r="C1037" t="n">
        <v>1</v>
      </c>
      <c r="D1037" t="n">
        <v>1</v>
      </c>
      <c r="E1037" t="s">
        <v>1035</v>
      </c>
      <c r="F1037" t="s"/>
      <c r="G1037" t="s"/>
      <c r="H1037" t="s"/>
      <c r="I1037" t="s"/>
      <c r="J1037" t="n">
        <v>-0.2732</v>
      </c>
      <c r="K1037" t="n">
        <v>0.08699999999999999</v>
      </c>
      <c r="L1037" t="n">
        <v>0.913</v>
      </c>
      <c r="M1037" t="n">
        <v>0</v>
      </c>
    </row>
    <row r="1038" spans="1:13">
      <c r="A1038" s="1">
        <f>HYPERLINK("http://www.twitter.com/NathanBLawrence/status/994640442569486342", "994640442569486342")</f>
        <v/>
      </c>
      <c r="B1038" s="2" t="n">
        <v>43230.75619212963</v>
      </c>
      <c r="C1038" t="n">
        <v>0</v>
      </c>
      <c r="D1038" t="n">
        <v>1</v>
      </c>
      <c r="E1038" t="s">
        <v>1036</v>
      </c>
      <c r="F1038" t="s"/>
      <c r="G1038" t="s"/>
      <c r="H1038" t="s"/>
      <c r="I1038" t="s"/>
      <c r="J1038" t="n">
        <v>0</v>
      </c>
      <c r="K1038" t="n">
        <v>0</v>
      </c>
      <c r="L1038" t="n">
        <v>1</v>
      </c>
      <c r="M1038" t="n">
        <v>0</v>
      </c>
    </row>
    <row r="1039" spans="1:13">
      <c r="A1039" s="1">
        <f>HYPERLINK("http://www.twitter.com/NathanBLawrence/status/994640298600001537", "994640298600001537")</f>
        <v/>
      </c>
      <c r="B1039" s="2" t="n">
        <v>43230.75579861111</v>
      </c>
      <c r="C1039" t="n">
        <v>1</v>
      </c>
      <c r="D1039" t="n">
        <v>1</v>
      </c>
      <c r="E1039" t="s">
        <v>1037</v>
      </c>
      <c r="F1039">
        <f>HYPERLINK("http://pbs.twimg.com/media/Dc2sEzrUQAAu41d.jpg", "http://pbs.twimg.com/media/Dc2sEzrUQAAu41d.jpg")</f>
        <v/>
      </c>
      <c r="G1039" t="s"/>
      <c r="H1039" t="s"/>
      <c r="I1039" t="s"/>
      <c r="J1039" t="n">
        <v>-0.5514</v>
      </c>
      <c r="K1039" t="n">
        <v>0.09</v>
      </c>
      <c r="L1039" t="n">
        <v>0.87</v>
      </c>
      <c r="M1039" t="n">
        <v>0.04</v>
      </c>
    </row>
    <row r="1040" spans="1:13">
      <c r="A1040" s="1">
        <f>HYPERLINK("http://www.twitter.com/NathanBLawrence/status/994637770038697984", "994637770038697984")</f>
        <v/>
      </c>
      <c r="B1040" s="2" t="n">
        <v>43230.74881944444</v>
      </c>
      <c r="C1040" t="n">
        <v>0</v>
      </c>
      <c r="D1040" t="n">
        <v>4</v>
      </c>
      <c r="E1040" t="s">
        <v>1038</v>
      </c>
      <c r="F1040" t="s"/>
      <c r="G1040" t="s"/>
      <c r="H1040" t="s"/>
      <c r="I1040" t="s"/>
      <c r="J1040" t="n">
        <v>-0.4939</v>
      </c>
      <c r="K1040" t="n">
        <v>0.178</v>
      </c>
      <c r="L1040" t="n">
        <v>0.725</v>
      </c>
      <c r="M1040" t="n">
        <v>0.098</v>
      </c>
    </row>
    <row r="1041" spans="1:13">
      <c r="A1041" s="1">
        <f>HYPERLINK("http://www.twitter.com/NathanBLawrence/status/994607798536335360", "994607798536335360")</f>
        <v/>
      </c>
      <c r="B1041" s="2" t="n">
        <v>43230.66611111111</v>
      </c>
      <c r="C1041" t="n">
        <v>0</v>
      </c>
      <c r="D1041" t="n">
        <v>8</v>
      </c>
      <c r="E1041" t="s">
        <v>1039</v>
      </c>
      <c r="F1041" t="s"/>
      <c r="G1041" t="s"/>
      <c r="H1041" t="s"/>
      <c r="I1041" t="s"/>
      <c r="J1041" t="n">
        <v>0</v>
      </c>
      <c r="K1041" t="n">
        <v>0</v>
      </c>
      <c r="L1041" t="n">
        <v>1</v>
      </c>
      <c r="M1041" t="n">
        <v>0</v>
      </c>
    </row>
    <row r="1042" spans="1:13">
      <c r="A1042" s="1">
        <f>HYPERLINK("http://www.twitter.com/NathanBLawrence/status/994563361114394624", "994563361114394624")</f>
        <v/>
      </c>
      <c r="B1042" s="2" t="n">
        <v>43230.54349537037</v>
      </c>
      <c r="C1042" t="n">
        <v>2</v>
      </c>
      <c r="D1042" t="n">
        <v>0</v>
      </c>
      <c r="E1042" t="s">
        <v>1040</v>
      </c>
      <c r="F1042" t="s"/>
      <c r="G1042" t="s"/>
      <c r="H1042" t="s"/>
      <c r="I1042" t="s"/>
      <c r="J1042" t="n">
        <v>0.296</v>
      </c>
      <c r="K1042" t="n">
        <v>0</v>
      </c>
      <c r="L1042" t="n">
        <v>0.925</v>
      </c>
      <c r="M1042" t="n">
        <v>0.075</v>
      </c>
    </row>
    <row r="1043" spans="1:13">
      <c r="A1043" s="1">
        <f>HYPERLINK("http://www.twitter.com/NathanBLawrence/status/994541123862396928", "994541123862396928")</f>
        <v/>
      </c>
      <c r="B1043" s="2" t="n">
        <v>43230.48212962963</v>
      </c>
      <c r="C1043" t="n">
        <v>0</v>
      </c>
      <c r="D1043" t="n">
        <v>0</v>
      </c>
      <c r="E1043" t="s">
        <v>1041</v>
      </c>
      <c r="F1043">
        <f>HYPERLINK("http://pbs.twimg.com/media/Dc1R4LZVwAAgjpn.jpg", "http://pbs.twimg.com/media/Dc1R4LZVwAAgjpn.jpg")</f>
        <v/>
      </c>
      <c r="G1043" t="s"/>
      <c r="H1043" t="s"/>
      <c r="I1043" t="s"/>
      <c r="J1043" t="n">
        <v>0</v>
      </c>
      <c r="K1043" t="n">
        <v>0</v>
      </c>
      <c r="L1043" t="n">
        <v>1</v>
      </c>
      <c r="M1043" t="n">
        <v>0</v>
      </c>
    </row>
    <row r="1044" spans="1:13">
      <c r="A1044" s="1">
        <f>HYPERLINK("http://www.twitter.com/NathanBLawrence/status/994540599406718977", "994540599406718977")</f>
        <v/>
      </c>
      <c r="B1044" s="2" t="n">
        <v>43230.48068287037</v>
      </c>
      <c r="C1044" t="n">
        <v>0</v>
      </c>
      <c r="D1044" t="n">
        <v>3</v>
      </c>
      <c r="E1044" t="s">
        <v>1042</v>
      </c>
      <c r="F1044" t="s"/>
      <c r="G1044" t="s"/>
      <c r="H1044" t="s"/>
      <c r="I1044" t="s"/>
      <c r="J1044" t="n">
        <v>-0.5255</v>
      </c>
      <c r="K1044" t="n">
        <v>0.159</v>
      </c>
      <c r="L1044" t="n">
        <v>0.841</v>
      </c>
      <c r="M1044" t="n">
        <v>0</v>
      </c>
    </row>
    <row r="1045" spans="1:13">
      <c r="A1045" s="1">
        <f>HYPERLINK("http://www.twitter.com/NathanBLawrence/status/994460014285869056", "994460014285869056")</f>
        <v/>
      </c>
      <c r="B1045" s="2" t="n">
        <v>43230.25831018519</v>
      </c>
      <c r="C1045" t="n">
        <v>0</v>
      </c>
      <c r="D1045" t="n">
        <v>1</v>
      </c>
      <c r="E1045" t="s">
        <v>1043</v>
      </c>
      <c r="F1045">
        <f>HYPERLINK("http://pbs.twimg.com/media/Dc0ICXDV0AAW4qq.jpg", "http://pbs.twimg.com/media/Dc0ICXDV0AAW4qq.jpg")</f>
        <v/>
      </c>
      <c r="G1045" t="s"/>
      <c r="H1045" t="s"/>
      <c r="I1045" t="s"/>
      <c r="J1045" t="n">
        <v>0</v>
      </c>
      <c r="K1045" t="n">
        <v>0</v>
      </c>
      <c r="L1045" t="n">
        <v>1</v>
      </c>
      <c r="M1045" t="n">
        <v>0</v>
      </c>
    </row>
    <row r="1046" spans="1:13">
      <c r="A1046" s="1">
        <f>HYPERLINK("http://www.twitter.com/NathanBLawrence/status/994459934296367106", "994459934296367106")</f>
        <v/>
      </c>
      <c r="B1046" s="2" t="n">
        <v>43230.25809027778</v>
      </c>
      <c r="C1046" t="n">
        <v>3</v>
      </c>
      <c r="D1046" t="n">
        <v>1</v>
      </c>
      <c r="E1046" t="s">
        <v>1044</v>
      </c>
      <c r="F1046">
        <f>HYPERLINK("http://pbs.twimg.com/media/Dc0ICXDV0AAW4qq.jpg", "http://pbs.twimg.com/media/Dc0ICXDV0AAW4qq.jpg")</f>
        <v/>
      </c>
      <c r="G1046" t="s"/>
      <c r="H1046" t="s"/>
      <c r="I1046" t="s"/>
      <c r="J1046" t="n">
        <v>0</v>
      </c>
      <c r="K1046" t="n">
        <v>0</v>
      </c>
      <c r="L1046" t="n">
        <v>1</v>
      </c>
      <c r="M1046" t="n">
        <v>0</v>
      </c>
    </row>
    <row r="1047" spans="1:13">
      <c r="A1047" s="1">
        <f>HYPERLINK("http://www.twitter.com/NathanBLawrence/status/994459454388293632", "994459454388293632")</f>
        <v/>
      </c>
      <c r="B1047" s="2" t="n">
        <v>43230.25675925926</v>
      </c>
      <c r="C1047" t="n">
        <v>0</v>
      </c>
      <c r="D1047" t="n">
        <v>2</v>
      </c>
      <c r="E1047" t="s">
        <v>1045</v>
      </c>
      <c r="F1047" t="s"/>
      <c r="G1047" t="s"/>
      <c r="H1047" t="s"/>
      <c r="I1047" t="s"/>
      <c r="J1047" t="n">
        <v>0</v>
      </c>
      <c r="K1047" t="n">
        <v>0</v>
      </c>
      <c r="L1047" t="n">
        <v>1</v>
      </c>
      <c r="M1047" t="n">
        <v>0</v>
      </c>
    </row>
    <row r="1048" spans="1:13">
      <c r="A1048" s="1">
        <f>HYPERLINK("http://www.twitter.com/NathanBLawrence/status/994459392773943301", "994459392773943301")</f>
        <v/>
      </c>
      <c r="B1048" s="2" t="n">
        <v>43230.25659722222</v>
      </c>
      <c r="C1048" t="n">
        <v>0</v>
      </c>
      <c r="D1048" t="n">
        <v>2</v>
      </c>
      <c r="E1048" t="s">
        <v>1046</v>
      </c>
      <c r="F1048" t="s"/>
      <c r="G1048" t="s"/>
      <c r="H1048" t="s"/>
      <c r="I1048" t="s"/>
      <c r="J1048" t="n">
        <v>0.3612</v>
      </c>
      <c r="K1048" t="n">
        <v>0</v>
      </c>
      <c r="L1048" t="n">
        <v>0.848</v>
      </c>
      <c r="M1048" t="n">
        <v>0.152</v>
      </c>
    </row>
    <row r="1049" spans="1:13">
      <c r="A1049" s="1">
        <f>HYPERLINK("http://www.twitter.com/NathanBLawrence/status/994459311375093760", "994459311375093760")</f>
        <v/>
      </c>
      <c r="B1049" s="2" t="n">
        <v>43230.25636574074</v>
      </c>
      <c r="C1049" t="n">
        <v>0</v>
      </c>
      <c r="D1049" t="n">
        <v>0</v>
      </c>
      <c r="E1049" t="s">
        <v>1047</v>
      </c>
      <c r="F1049" t="s"/>
      <c r="G1049" t="s"/>
      <c r="H1049" t="s"/>
      <c r="I1049" t="s"/>
      <c r="J1049" t="n">
        <v>0</v>
      </c>
      <c r="K1049" t="n">
        <v>0</v>
      </c>
      <c r="L1049" t="n">
        <v>1</v>
      </c>
      <c r="M1049" t="n">
        <v>0</v>
      </c>
    </row>
    <row r="1050" spans="1:13">
      <c r="A1050" s="1">
        <f>HYPERLINK("http://www.twitter.com/NathanBLawrence/status/994458800051630080", "994458800051630080")</f>
        <v/>
      </c>
      <c r="B1050" s="2" t="n">
        <v>43230.2549537037</v>
      </c>
      <c r="C1050" t="n">
        <v>2</v>
      </c>
      <c r="D1050" t="n">
        <v>2</v>
      </c>
      <c r="E1050" t="s">
        <v>1048</v>
      </c>
      <c r="F1050" t="s"/>
      <c r="G1050" t="s"/>
      <c r="H1050" t="s"/>
      <c r="I1050" t="s"/>
      <c r="J1050" t="n">
        <v>0.4019</v>
      </c>
      <c r="K1050" t="n">
        <v>0.08400000000000001</v>
      </c>
      <c r="L1050" t="n">
        <v>0.756</v>
      </c>
      <c r="M1050" t="n">
        <v>0.16</v>
      </c>
    </row>
    <row r="1051" spans="1:13">
      <c r="A1051" s="1">
        <f>HYPERLINK("http://www.twitter.com/NathanBLawrence/status/994456031496458240", "994456031496458240")</f>
        <v/>
      </c>
      <c r="B1051" s="2" t="n">
        <v>43230.24731481481</v>
      </c>
      <c r="C1051" t="n">
        <v>0</v>
      </c>
      <c r="D1051" t="n">
        <v>0</v>
      </c>
      <c r="E1051" t="s">
        <v>1049</v>
      </c>
      <c r="F1051" t="s"/>
      <c r="G1051" t="s"/>
      <c r="H1051" t="s"/>
      <c r="I1051" t="s"/>
      <c r="J1051" t="n">
        <v>-0.7184</v>
      </c>
      <c r="K1051" t="n">
        <v>0.194</v>
      </c>
      <c r="L1051" t="n">
        <v>0.806</v>
      </c>
      <c r="M1051" t="n">
        <v>0</v>
      </c>
    </row>
    <row r="1052" spans="1:13">
      <c r="A1052" s="1">
        <f>HYPERLINK("http://www.twitter.com/NathanBLawrence/status/994455180040196097", "994455180040196097")</f>
        <v/>
      </c>
      <c r="B1052" s="2" t="n">
        <v>43230.24496527778</v>
      </c>
      <c r="C1052" t="n">
        <v>0</v>
      </c>
      <c r="D1052" t="n">
        <v>9</v>
      </c>
      <c r="E1052" t="s">
        <v>1050</v>
      </c>
      <c r="F1052" t="s"/>
      <c r="G1052" t="s"/>
      <c r="H1052" t="s"/>
      <c r="I1052" t="s"/>
      <c r="J1052" t="n">
        <v>-0.25</v>
      </c>
      <c r="K1052" t="n">
        <v>0.146</v>
      </c>
      <c r="L1052" t="n">
        <v>0.748</v>
      </c>
      <c r="M1052" t="n">
        <v>0.106</v>
      </c>
    </row>
    <row r="1053" spans="1:13">
      <c r="A1053" s="1">
        <f>HYPERLINK("http://www.twitter.com/NathanBLawrence/status/994429371808145411", "994429371808145411")</f>
        <v/>
      </c>
      <c r="B1053" s="2" t="n">
        <v>43230.17375</v>
      </c>
      <c r="C1053" t="n">
        <v>0</v>
      </c>
      <c r="D1053" t="n">
        <v>5</v>
      </c>
      <c r="E1053" t="s">
        <v>1051</v>
      </c>
      <c r="F1053" t="s"/>
      <c r="G1053" t="s"/>
      <c r="H1053" t="s"/>
      <c r="I1053" t="s"/>
      <c r="J1053" t="n">
        <v>0.7227</v>
      </c>
      <c r="K1053" t="n">
        <v>0</v>
      </c>
      <c r="L1053" t="n">
        <v>0.694</v>
      </c>
      <c r="M1053" t="n">
        <v>0.306</v>
      </c>
    </row>
    <row r="1054" spans="1:13">
      <c r="A1054" s="1">
        <f>HYPERLINK("http://www.twitter.com/NathanBLawrence/status/994429340296384513", "994429340296384513")</f>
        <v/>
      </c>
      <c r="B1054" s="2" t="n">
        <v>43230.17365740741</v>
      </c>
      <c r="C1054" t="n">
        <v>9</v>
      </c>
      <c r="D1054" t="n">
        <v>5</v>
      </c>
      <c r="E1054" t="s">
        <v>1052</v>
      </c>
      <c r="F1054" t="s"/>
      <c r="G1054" t="s"/>
      <c r="H1054" t="s"/>
      <c r="I1054" t="s"/>
      <c r="J1054" t="n">
        <v>0.2263</v>
      </c>
      <c r="K1054" t="n">
        <v>0.105</v>
      </c>
      <c r="L1054" t="n">
        <v>0.721</v>
      </c>
      <c r="M1054" t="n">
        <v>0.175</v>
      </c>
    </row>
    <row r="1055" spans="1:13">
      <c r="A1055" s="1">
        <f>HYPERLINK("http://www.twitter.com/NathanBLawrence/status/994428671615160320", "994428671615160320")</f>
        <v/>
      </c>
      <c r="B1055" s="2" t="n">
        <v>43230.17181712963</v>
      </c>
      <c r="C1055" t="n">
        <v>0</v>
      </c>
      <c r="D1055" t="n">
        <v>15</v>
      </c>
      <c r="E1055" t="s">
        <v>1053</v>
      </c>
      <c r="F1055" t="s"/>
      <c r="G1055" t="s"/>
      <c r="H1055" t="s"/>
      <c r="I1055" t="s"/>
      <c r="J1055" t="n">
        <v>-0.8316</v>
      </c>
      <c r="K1055" t="n">
        <v>0.286</v>
      </c>
      <c r="L1055" t="n">
        <v>0.714</v>
      </c>
      <c r="M1055" t="n">
        <v>0</v>
      </c>
    </row>
    <row r="1056" spans="1:13">
      <c r="A1056" s="1">
        <f>HYPERLINK("http://www.twitter.com/NathanBLawrence/status/994428521912111104", "994428521912111104")</f>
        <v/>
      </c>
      <c r="B1056" s="2" t="n">
        <v>43230.17140046296</v>
      </c>
      <c r="C1056" t="n">
        <v>0</v>
      </c>
      <c r="D1056" t="n">
        <v>1</v>
      </c>
      <c r="E1056" t="s">
        <v>1054</v>
      </c>
      <c r="F1056" t="s"/>
      <c r="G1056" t="s"/>
      <c r="H1056" t="s"/>
      <c r="I1056" t="s"/>
      <c r="J1056" t="n">
        <v>-0.4019</v>
      </c>
      <c r="K1056" t="n">
        <v>0.13</v>
      </c>
      <c r="L1056" t="n">
        <v>0.87</v>
      </c>
      <c r="M1056" t="n">
        <v>0</v>
      </c>
    </row>
    <row r="1057" spans="1:13">
      <c r="A1057" s="1">
        <f>HYPERLINK("http://www.twitter.com/NathanBLawrence/status/994428497794879488", "994428497794879488")</f>
        <v/>
      </c>
      <c r="B1057" s="2" t="n">
        <v>43230.17134259259</v>
      </c>
      <c r="C1057" t="n">
        <v>0</v>
      </c>
      <c r="D1057" t="n">
        <v>1</v>
      </c>
      <c r="E1057" t="s">
        <v>1055</v>
      </c>
      <c r="F1057" t="s"/>
      <c r="G1057" t="s"/>
      <c r="H1057" t="s"/>
      <c r="I1057" t="s"/>
      <c r="J1057" t="n">
        <v>0</v>
      </c>
      <c r="K1057" t="n">
        <v>0</v>
      </c>
      <c r="L1057" t="n">
        <v>1</v>
      </c>
      <c r="M1057" t="n">
        <v>0</v>
      </c>
    </row>
    <row r="1058" spans="1:13">
      <c r="A1058" s="1">
        <f>HYPERLINK("http://www.twitter.com/NathanBLawrence/status/994428492027658241", "994428492027658241")</f>
        <v/>
      </c>
      <c r="B1058" s="2" t="n">
        <v>43230.17131944445</v>
      </c>
      <c r="C1058" t="n">
        <v>0</v>
      </c>
      <c r="D1058" t="n">
        <v>1</v>
      </c>
      <c r="E1058" t="s">
        <v>1055</v>
      </c>
      <c r="F1058" t="s"/>
      <c r="G1058" t="s"/>
      <c r="H1058" t="s"/>
      <c r="I1058" t="s"/>
      <c r="J1058" t="n">
        <v>0</v>
      </c>
      <c r="K1058" t="n">
        <v>0</v>
      </c>
      <c r="L1058" t="n">
        <v>1</v>
      </c>
      <c r="M1058" t="n">
        <v>0</v>
      </c>
    </row>
    <row r="1059" spans="1:13">
      <c r="A1059" s="1">
        <f>HYPERLINK("http://www.twitter.com/NathanBLawrence/status/994428345419993088", "994428345419993088")</f>
        <v/>
      </c>
      <c r="B1059" s="2" t="n">
        <v>43230.17091435185</v>
      </c>
      <c r="C1059" t="n">
        <v>0</v>
      </c>
      <c r="D1059" t="n">
        <v>6</v>
      </c>
      <c r="E1059" t="s">
        <v>1056</v>
      </c>
      <c r="F1059" t="s"/>
      <c r="G1059" t="s"/>
      <c r="H1059" t="s"/>
      <c r="I1059" t="s"/>
      <c r="J1059" t="n">
        <v>0.6486</v>
      </c>
      <c r="K1059" t="n">
        <v>0.102</v>
      </c>
      <c r="L1059" t="n">
        <v>0.656</v>
      </c>
      <c r="M1059" t="n">
        <v>0.243</v>
      </c>
    </row>
    <row r="1060" spans="1:13">
      <c r="A1060" s="1">
        <f>HYPERLINK("http://www.twitter.com/NathanBLawrence/status/994428198116044800", "994428198116044800")</f>
        <v/>
      </c>
      <c r="B1060" s="2" t="n">
        <v>43230.17050925926</v>
      </c>
      <c r="C1060" t="n">
        <v>0</v>
      </c>
      <c r="D1060" t="n">
        <v>4</v>
      </c>
      <c r="E1060" t="s">
        <v>1057</v>
      </c>
      <c r="F1060" t="s"/>
      <c r="G1060" t="s"/>
      <c r="H1060" t="s"/>
      <c r="I1060" t="s"/>
      <c r="J1060" t="n">
        <v>0.7592</v>
      </c>
      <c r="K1060" t="n">
        <v>0</v>
      </c>
      <c r="L1060" t="n">
        <v>0.745</v>
      </c>
      <c r="M1060" t="n">
        <v>0.255</v>
      </c>
    </row>
    <row r="1061" spans="1:13">
      <c r="A1061" s="1">
        <f>HYPERLINK("http://www.twitter.com/NathanBLawrence/status/994428073805271040", "994428073805271040")</f>
        <v/>
      </c>
      <c r="B1061" s="2" t="n">
        <v>43230.17017361111</v>
      </c>
      <c r="C1061" t="n">
        <v>1</v>
      </c>
      <c r="D1061" t="n">
        <v>1</v>
      </c>
      <c r="E1061" t="s">
        <v>1058</v>
      </c>
      <c r="F1061" t="s"/>
      <c r="G1061" t="s"/>
      <c r="H1061" t="s"/>
      <c r="I1061" t="s"/>
      <c r="J1061" t="n">
        <v>-0.4019</v>
      </c>
      <c r="K1061" t="n">
        <v>0.144</v>
      </c>
      <c r="L1061" t="n">
        <v>0.856</v>
      </c>
      <c r="M1061" t="n">
        <v>0</v>
      </c>
    </row>
    <row r="1062" spans="1:13">
      <c r="A1062" s="1">
        <f>HYPERLINK("http://www.twitter.com/NathanBLawrence/status/994427544798728192", "994427544798728192")</f>
        <v/>
      </c>
      <c r="B1062" s="2" t="n">
        <v>43230.1687037037</v>
      </c>
      <c r="C1062" t="n">
        <v>1</v>
      </c>
      <c r="D1062" t="n">
        <v>1</v>
      </c>
      <c r="E1062" t="s">
        <v>1059</v>
      </c>
      <c r="F1062" t="s"/>
      <c r="G1062" t="s"/>
      <c r="H1062" t="s"/>
      <c r="I1062" t="s"/>
      <c r="J1062" t="n">
        <v>-0.4019</v>
      </c>
      <c r="K1062" t="n">
        <v>0.129</v>
      </c>
      <c r="L1062" t="n">
        <v>0.871</v>
      </c>
      <c r="M1062" t="n">
        <v>0</v>
      </c>
    </row>
    <row r="1063" spans="1:13">
      <c r="A1063" s="1">
        <f>HYPERLINK("http://www.twitter.com/NathanBLawrence/status/994427104765861893", "994427104765861893")</f>
        <v/>
      </c>
      <c r="B1063" s="2" t="n">
        <v>43230.16748842593</v>
      </c>
      <c r="C1063" t="n">
        <v>1</v>
      </c>
      <c r="D1063" t="n">
        <v>1</v>
      </c>
      <c r="E1063" t="s">
        <v>1060</v>
      </c>
      <c r="F1063" t="s"/>
      <c r="G1063" t="s"/>
      <c r="H1063" t="s"/>
      <c r="I1063" t="s"/>
      <c r="J1063" t="n">
        <v>0.2023</v>
      </c>
      <c r="K1063" t="n">
        <v>0</v>
      </c>
      <c r="L1063" t="n">
        <v>0.947</v>
      </c>
      <c r="M1063" t="n">
        <v>0.053</v>
      </c>
    </row>
    <row r="1064" spans="1:13">
      <c r="A1064" s="1">
        <f>HYPERLINK("http://www.twitter.com/NathanBLawrence/status/994405009403105281", "994405009403105281")</f>
        <v/>
      </c>
      <c r="B1064" s="2" t="n">
        <v>43230.10652777777</v>
      </c>
      <c r="C1064" t="n">
        <v>1</v>
      </c>
      <c r="D1064" t="n">
        <v>0</v>
      </c>
      <c r="E1064" t="s">
        <v>1061</v>
      </c>
      <c r="F1064" t="s"/>
      <c r="G1064" t="s"/>
      <c r="H1064" t="s"/>
      <c r="I1064" t="s"/>
      <c r="J1064" t="n">
        <v>0</v>
      </c>
      <c r="K1064" t="n">
        <v>0</v>
      </c>
      <c r="L1064" t="n">
        <v>1</v>
      </c>
      <c r="M1064" t="n">
        <v>0</v>
      </c>
    </row>
    <row r="1065" spans="1:13">
      <c r="A1065" s="1">
        <f>HYPERLINK("http://www.twitter.com/NathanBLawrence/status/994404822223908864", "994404822223908864")</f>
        <v/>
      </c>
      <c r="B1065" s="2" t="n">
        <v>43230.10600694444</v>
      </c>
      <c r="C1065" t="n">
        <v>0</v>
      </c>
      <c r="D1065" t="n">
        <v>1</v>
      </c>
      <c r="E1065" t="s">
        <v>1062</v>
      </c>
      <c r="F1065">
        <f>HYPERLINK("http://pbs.twimg.com/media/DczVYnJVwAA1Trq.jpg", "http://pbs.twimg.com/media/DczVYnJVwAA1Trq.jpg")</f>
        <v/>
      </c>
      <c r="G1065" t="s"/>
      <c r="H1065" t="s"/>
      <c r="I1065" t="s"/>
      <c r="J1065" t="n">
        <v>0</v>
      </c>
      <c r="K1065" t="n">
        <v>0</v>
      </c>
      <c r="L1065" t="n">
        <v>1</v>
      </c>
      <c r="M1065" t="n">
        <v>0</v>
      </c>
    </row>
    <row r="1066" spans="1:13">
      <c r="A1066" s="1">
        <f>HYPERLINK("http://www.twitter.com/NathanBLawrence/status/994404358317101056", "994404358317101056")</f>
        <v/>
      </c>
      <c r="B1066" s="2" t="n">
        <v>43230.10472222222</v>
      </c>
      <c r="C1066" t="n">
        <v>0</v>
      </c>
      <c r="D1066" t="n">
        <v>4</v>
      </c>
      <c r="E1066" t="s">
        <v>1063</v>
      </c>
      <c r="F1066" t="s"/>
      <c r="G1066" t="s"/>
      <c r="H1066" t="s"/>
      <c r="I1066" t="s"/>
      <c r="J1066" t="n">
        <v>0.2023</v>
      </c>
      <c r="K1066" t="n">
        <v>0.138</v>
      </c>
      <c r="L1066" t="n">
        <v>0.65</v>
      </c>
      <c r="M1066" t="n">
        <v>0.211</v>
      </c>
    </row>
    <row r="1067" spans="1:13">
      <c r="A1067" s="1">
        <f>HYPERLINK("http://www.twitter.com/NathanBLawrence/status/994404241170141184", "994404241170141184")</f>
        <v/>
      </c>
      <c r="B1067" s="2" t="n">
        <v>43230.10439814815</v>
      </c>
      <c r="C1067" t="n">
        <v>2</v>
      </c>
      <c r="D1067" t="n">
        <v>1</v>
      </c>
      <c r="E1067" t="s">
        <v>1064</v>
      </c>
      <c r="F1067">
        <f>HYPERLINK("http://pbs.twimg.com/media/DczVYnJVwAA1Trq.jpg", "http://pbs.twimg.com/media/DczVYnJVwAA1Trq.jpg")</f>
        <v/>
      </c>
      <c r="G1067" t="s"/>
      <c r="H1067" t="s"/>
      <c r="I1067" t="s"/>
      <c r="J1067" t="n">
        <v>0</v>
      </c>
      <c r="K1067" t="n">
        <v>0</v>
      </c>
      <c r="L1067" t="n">
        <v>1</v>
      </c>
      <c r="M1067" t="n">
        <v>0</v>
      </c>
    </row>
    <row r="1068" spans="1:13">
      <c r="A1068" s="1">
        <f>HYPERLINK("http://www.twitter.com/NathanBLawrence/status/994403559285448704", "994403559285448704")</f>
        <v/>
      </c>
      <c r="B1068" s="2" t="n">
        <v>43230.10252314815</v>
      </c>
      <c r="C1068" t="n">
        <v>0</v>
      </c>
      <c r="D1068" t="n">
        <v>1</v>
      </c>
      <c r="E1068" t="s">
        <v>1065</v>
      </c>
      <c r="F1068">
        <f>HYPERLINK("http://pbs.twimg.com/media/DczI_COU0AU8M-_.jpg", "http://pbs.twimg.com/media/DczI_COU0AU8M-_.jpg")</f>
        <v/>
      </c>
      <c r="G1068" t="s"/>
      <c r="H1068" t="s"/>
      <c r="I1068" t="s"/>
      <c r="J1068" t="n">
        <v>0</v>
      </c>
      <c r="K1068" t="n">
        <v>0</v>
      </c>
      <c r="L1068" t="n">
        <v>1</v>
      </c>
      <c r="M1068" t="n">
        <v>0</v>
      </c>
    </row>
    <row r="1069" spans="1:13">
      <c r="A1069" s="1">
        <f>HYPERLINK("http://www.twitter.com/NathanBLawrence/status/994403472475901952", "994403472475901952")</f>
        <v/>
      </c>
      <c r="B1069" s="2" t="n">
        <v>43230.10228009259</v>
      </c>
      <c r="C1069" t="n">
        <v>1</v>
      </c>
      <c r="D1069" t="n">
        <v>0</v>
      </c>
      <c r="E1069" t="s">
        <v>1066</v>
      </c>
      <c r="F1069" t="s"/>
      <c r="G1069" t="s"/>
      <c r="H1069" t="s"/>
      <c r="I1069" t="s"/>
      <c r="J1069" t="n">
        <v>-0.5627</v>
      </c>
      <c r="K1069" t="n">
        <v>0.421</v>
      </c>
      <c r="L1069" t="n">
        <v>0.579</v>
      </c>
      <c r="M1069" t="n">
        <v>0</v>
      </c>
    </row>
    <row r="1070" spans="1:13">
      <c r="A1070" s="1">
        <f>HYPERLINK("http://www.twitter.com/NathanBLawrence/status/994403291776929793", "994403291776929793")</f>
        <v/>
      </c>
      <c r="B1070" s="2" t="n">
        <v>43230.10178240741</v>
      </c>
      <c r="C1070" t="n">
        <v>0</v>
      </c>
      <c r="D1070" t="n">
        <v>0</v>
      </c>
      <c r="E1070" t="s">
        <v>1067</v>
      </c>
      <c r="F1070" t="s"/>
      <c r="G1070" t="s"/>
      <c r="H1070" t="s"/>
      <c r="I1070" t="s"/>
      <c r="J1070" t="n">
        <v>0</v>
      </c>
      <c r="K1070" t="n">
        <v>0</v>
      </c>
      <c r="L1070" t="n">
        <v>1</v>
      </c>
      <c r="M1070" t="n">
        <v>0</v>
      </c>
    </row>
    <row r="1071" spans="1:13">
      <c r="A1071" s="1">
        <f>HYPERLINK("http://www.twitter.com/NathanBLawrence/status/994402862930292736", "994402862930292736")</f>
        <v/>
      </c>
      <c r="B1071" s="2" t="n">
        <v>43230.10060185185</v>
      </c>
      <c r="C1071" t="n">
        <v>0</v>
      </c>
      <c r="D1071" t="n">
        <v>11</v>
      </c>
      <c r="E1071" t="s">
        <v>1068</v>
      </c>
      <c r="F1071">
        <f>HYPERLINK("http://pbs.twimg.com/media/Dcwxg_zVQAAMthk.jpg", "http://pbs.twimg.com/media/Dcwxg_zVQAAMthk.jpg")</f>
        <v/>
      </c>
      <c r="G1071" t="s"/>
      <c r="H1071" t="s"/>
      <c r="I1071" t="s"/>
      <c r="J1071" t="n">
        <v>0.0258</v>
      </c>
      <c r="K1071" t="n">
        <v>0.133</v>
      </c>
      <c r="L1071" t="n">
        <v>0.73</v>
      </c>
      <c r="M1071" t="n">
        <v>0.137</v>
      </c>
    </row>
    <row r="1072" spans="1:13">
      <c r="A1072" s="1">
        <f>HYPERLINK("http://www.twitter.com/NathanBLawrence/status/994402750590078982", "994402750590078982")</f>
        <v/>
      </c>
      <c r="B1072" s="2" t="n">
        <v>43230.10028935185</v>
      </c>
      <c r="C1072" t="n">
        <v>1</v>
      </c>
      <c r="D1072" t="n">
        <v>0</v>
      </c>
      <c r="E1072" t="s">
        <v>1069</v>
      </c>
      <c r="F1072" t="s"/>
      <c r="G1072" t="s"/>
      <c r="H1072" t="s"/>
      <c r="I1072" t="s"/>
      <c r="J1072" t="n">
        <v>0.34</v>
      </c>
      <c r="K1072" t="n">
        <v>0</v>
      </c>
      <c r="L1072" t="n">
        <v>0.833</v>
      </c>
      <c r="M1072" t="n">
        <v>0.167</v>
      </c>
    </row>
    <row r="1073" spans="1:13">
      <c r="A1073" s="1">
        <f>HYPERLINK("http://www.twitter.com/NathanBLawrence/status/994402494645186563", "994402494645186563")</f>
        <v/>
      </c>
      <c r="B1073" s="2" t="n">
        <v>43230.09958333334</v>
      </c>
      <c r="C1073" t="n">
        <v>0</v>
      </c>
      <c r="D1073" t="n">
        <v>2</v>
      </c>
      <c r="E1073" t="s">
        <v>1070</v>
      </c>
      <c r="F1073" t="s"/>
      <c r="G1073" t="s"/>
      <c r="H1073" t="s"/>
      <c r="I1073" t="s"/>
      <c r="J1073" t="n">
        <v>-0.7003</v>
      </c>
      <c r="K1073" t="n">
        <v>0.266</v>
      </c>
      <c r="L1073" t="n">
        <v>0.734</v>
      </c>
      <c r="M1073" t="n">
        <v>0</v>
      </c>
    </row>
    <row r="1074" spans="1:13">
      <c r="A1074" s="1">
        <f>HYPERLINK("http://www.twitter.com/NathanBLawrence/status/994400583061835783", "994400583061835783")</f>
        <v/>
      </c>
      <c r="B1074" s="2" t="n">
        <v>43230.09430555555</v>
      </c>
      <c r="C1074" t="n">
        <v>0</v>
      </c>
      <c r="D1074" t="n">
        <v>6</v>
      </c>
      <c r="E1074" t="s">
        <v>1071</v>
      </c>
      <c r="F1074" t="s"/>
      <c r="G1074" t="s"/>
      <c r="H1074" t="s"/>
      <c r="I1074" t="s"/>
      <c r="J1074" t="n">
        <v>0.7089</v>
      </c>
      <c r="K1074" t="n">
        <v>0</v>
      </c>
      <c r="L1074" t="n">
        <v>0.772</v>
      </c>
      <c r="M1074" t="n">
        <v>0.228</v>
      </c>
    </row>
    <row r="1075" spans="1:13">
      <c r="A1075" s="1">
        <f>HYPERLINK("http://www.twitter.com/NathanBLawrence/status/994400539432706048", "994400539432706048")</f>
        <v/>
      </c>
      <c r="B1075" s="2" t="n">
        <v>43230.09418981482</v>
      </c>
      <c r="C1075" t="n">
        <v>0</v>
      </c>
      <c r="D1075" t="n">
        <v>14</v>
      </c>
      <c r="E1075" t="s">
        <v>1072</v>
      </c>
      <c r="F1075" t="s"/>
      <c r="G1075" t="s"/>
      <c r="H1075" t="s"/>
      <c r="I1075" t="s"/>
      <c r="J1075" t="n">
        <v>-0.8401999999999999</v>
      </c>
      <c r="K1075" t="n">
        <v>0.375</v>
      </c>
      <c r="L1075" t="n">
        <v>0.625</v>
      </c>
      <c r="M1075" t="n">
        <v>0</v>
      </c>
    </row>
    <row r="1076" spans="1:13">
      <c r="A1076" s="1">
        <f>HYPERLINK("http://www.twitter.com/NathanBLawrence/status/994400523066511360", "994400523066511360")</f>
        <v/>
      </c>
      <c r="B1076" s="2" t="n">
        <v>43230.09414351852</v>
      </c>
      <c r="C1076" t="n">
        <v>0</v>
      </c>
      <c r="D1076" t="n">
        <v>1</v>
      </c>
      <c r="E1076" t="s">
        <v>1073</v>
      </c>
      <c r="F1076">
        <f>HYPERLINK("http://pbs.twimg.com/media/DczRyYrVQAI6Ovv.jpg", "http://pbs.twimg.com/media/DczRyYrVQAI6Ovv.jpg")</f>
        <v/>
      </c>
      <c r="G1076" t="s"/>
      <c r="H1076" t="s"/>
      <c r="I1076" t="s"/>
      <c r="J1076" t="n">
        <v>0</v>
      </c>
      <c r="K1076" t="n">
        <v>0</v>
      </c>
      <c r="L1076" t="n">
        <v>1</v>
      </c>
      <c r="M1076" t="n">
        <v>0</v>
      </c>
    </row>
    <row r="1077" spans="1:13">
      <c r="A1077" s="1">
        <f>HYPERLINK("http://www.twitter.com/NathanBLawrence/status/994400287061348352", "994400287061348352")</f>
        <v/>
      </c>
      <c r="B1077" s="2" t="n">
        <v>43230.09349537037</v>
      </c>
      <c r="C1077" t="n">
        <v>3</v>
      </c>
      <c r="D1077" t="n">
        <v>1</v>
      </c>
      <c r="E1077" t="s">
        <v>1074</v>
      </c>
      <c r="F1077">
        <f>HYPERLINK("http://pbs.twimg.com/media/DczRyYrVQAI6Ovv.jpg", "http://pbs.twimg.com/media/DczRyYrVQAI6Ovv.jpg")</f>
        <v/>
      </c>
      <c r="G1077" t="s"/>
      <c r="H1077" t="s"/>
      <c r="I1077" t="s"/>
      <c r="J1077" t="n">
        <v>0</v>
      </c>
      <c r="K1077" t="n">
        <v>0</v>
      </c>
      <c r="L1077" t="n">
        <v>1</v>
      </c>
      <c r="M1077" t="n">
        <v>0</v>
      </c>
    </row>
    <row r="1078" spans="1:13">
      <c r="A1078" s="1">
        <f>HYPERLINK("http://www.twitter.com/NathanBLawrence/status/994387820591681541", "994387820591681541")</f>
        <v/>
      </c>
      <c r="B1078" s="2" t="n">
        <v>43230.05908564815</v>
      </c>
      <c r="C1078" t="n">
        <v>0</v>
      </c>
      <c r="D1078" t="n">
        <v>0</v>
      </c>
      <c r="E1078" t="s">
        <v>1075</v>
      </c>
      <c r="F1078">
        <f>HYPERLINK("http://pbs.twimg.com/media/DczGcy2VQAAaSLC.jpg", "http://pbs.twimg.com/media/DczGcy2VQAAaSLC.jpg")</f>
        <v/>
      </c>
      <c r="G1078" t="s"/>
      <c r="H1078" t="s"/>
      <c r="I1078" t="s"/>
      <c r="J1078" t="n">
        <v>0</v>
      </c>
      <c r="K1078" t="n">
        <v>0</v>
      </c>
      <c r="L1078" t="n">
        <v>1</v>
      </c>
      <c r="M1078" t="n">
        <v>0</v>
      </c>
    </row>
    <row r="1079" spans="1:13">
      <c r="A1079" s="1">
        <f>HYPERLINK("http://www.twitter.com/NathanBLawrence/status/994387811510964225", "994387811510964225")</f>
        <v/>
      </c>
      <c r="B1079" s="2" t="n">
        <v>43230.0590625</v>
      </c>
      <c r="C1079" t="n">
        <v>0</v>
      </c>
      <c r="D1079" t="n">
        <v>0</v>
      </c>
      <c r="E1079" t="s">
        <v>1076</v>
      </c>
      <c r="F1079">
        <f>HYPERLINK("http://pbs.twimg.com/media/DczGcK6VwAAD-e4.jpg", "http://pbs.twimg.com/media/DczGcK6VwAAD-e4.jpg")</f>
        <v/>
      </c>
      <c r="G1079" t="s"/>
      <c r="H1079" t="s"/>
      <c r="I1079" t="s"/>
      <c r="J1079" t="n">
        <v>0</v>
      </c>
      <c r="K1079" t="n">
        <v>0</v>
      </c>
      <c r="L1079" t="n">
        <v>1</v>
      </c>
      <c r="M1079" t="n">
        <v>0</v>
      </c>
    </row>
    <row r="1080" spans="1:13">
      <c r="A1080" s="1">
        <f>HYPERLINK("http://www.twitter.com/NathanBLawrence/status/994387796642197504", "994387796642197504")</f>
        <v/>
      </c>
      <c r="B1080" s="2" t="n">
        <v>43230.05902777778</v>
      </c>
      <c r="C1080" t="n">
        <v>0</v>
      </c>
      <c r="D1080" t="n">
        <v>0</v>
      </c>
      <c r="E1080" t="s">
        <v>1077</v>
      </c>
      <c r="F1080">
        <f>HYPERLINK("http://pbs.twimg.com/media/DczGbcgU8AEMDMC.jpg", "http://pbs.twimg.com/media/DczGbcgU8AEMDMC.jpg")</f>
        <v/>
      </c>
      <c r="G1080" t="s"/>
      <c r="H1080" t="s"/>
      <c r="I1080" t="s"/>
      <c r="J1080" t="n">
        <v>0</v>
      </c>
      <c r="K1080" t="n">
        <v>0</v>
      </c>
      <c r="L1080" t="n">
        <v>1</v>
      </c>
      <c r="M1080" t="n">
        <v>0</v>
      </c>
    </row>
    <row r="1081" spans="1:13">
      <c r="A1081" s="1">
        <f>HYPERLINK("http://www.twitter.com/NathanBLawrence/status/994382535911239680", "994382535911239680")</f>
        <v/>
      </c>
      <c r="B1081" s="2" t="n">
        <v>43230.04450231481</v>
      </c>
      <c r="C1081" t="n">
        <v>1</v>
      </c>
      <c r="D1081" t="n">
        <v>1</v>
      </c>
      <c r="E1081" t="s">
        <v>1078</v>
      </c>
      <c r="F1081" t="s"/>
      <c r="G1081" t="s"/>
      <c r="H1081" t="s"/>
      <c r="I1081" t="s"/>
      <c r="J1081" t="n">
        <v>-0.9332</v>
      </c>
      <c r="K1081" t="n">
        <v>0.398</v>
      </c>
      <c r="L1081" t="n">
        <v>0.57</v>
      </c>
      <c r="M1081" t="n">
        <v>0.032</v>
      </c>
    </row>
    <row r="1082" spans="1:13">
      <c r="A1082" s="1">
        <f>HYPERLINK("http://www.twitter.com/NathanBLawrence/status/994380923536924672", "994380923536924672")</f>
        <v/>
      </c>
      <c r="B1082" s="2" t="n">
        <v>43230.04005787037</v>
      </c>
      <c r="C1082" t="n">
        <v>0</v>
      </c>
      <c r="D1082" t="n">
        <v>2</v>
      </c>
      <c r="E1082" t="s">
        <v>1079</v>
      </c>
      <c r="F1082" t="s"/>
      <c r="G1082" t="s"/>
      <c r="H1082" t="s"/>
      <c r="I1082" t="s"/>
      <c r="J1082" t="n">
        <v>-0.3612</v>
      </c>
      <c r="K1082" t="n">
        <v>0.143</v>
      </c>
      <c r="L1082" t="n">
        <v>0.857</v>
      </c>
      <c r="M1082" t="n">
        <v>0</v>
      </c>
    </row>
    <row r="1083" spans="1:13">
      <c r="A1083" s="1">
        <f>HYPERLINK("http://www.twitter.com/NathanBLawrence/status/994380896487780352", "994380896487780352")</f>
        <v/>
      </c>
      <c r="B1083" s="2" t="n">
        <v>43230.03998842592</v>
      </c>
      <c r="C1083" t="n">
        <v>0</v>
      </c>
      <c r="D1083" t="n">
        <v>0</v>
      </c>
      <c r="E1083" t="s">
        <v>1080</v>
      </c>
      <c r="F1083" t="s"/>
      <c r="G1083" t="s"/>
      <c r="H1083" t="s"/>
      <c r="I1083" t="s"/>
      <c r="J1083" t="n">
        <v>0</v>
      </c>
      <c r="K1083" t="n">
        <v>0</v>
      </c>
      <c r="L1083" t="n">
        <v>1</v>
      </c>
      <c r="M1083" t="n">
        <v>0</v>
      </c>
    </row>
    <row r="1084" spans="1:13">
      <c r="A1084" s="1">
        <f>HYPERLINK("http://www.twitter.com/NathanBLawrence/status/994380181275017216", "994380181275017216")</f>
        <v/>
      </c>
      <c r="B1084" s="2" t="n">
        <v>43230.03800925926</v>
      </c>
      <c r="C1084" t="n">
        <v>0</v>
      </c>
      <c r="D1084" t="n">
        <v>2</v>
      </c>
      <c r="E1084" t="s">
        <v>1081</v>
      </c>
      <c r="F1084" t="s"/>
      <c r="G1084" t="s"/>
      <c r="H1084" t="s"/>
      <c r="I1084" t="s"/>
      <c r="J1084" t="n">
        <v>0</v>
      </c>
      <c r="K1084" t="n">
        <v>0</v>
      </c>
      <c r="L1084" t="n">
        <v>1</v>
      </c>
      <c r="M1084" t="n">
        <v>0</v>
      </c>
    </row>
    <row r="1085" spans="1:13">
      <c r="A1085" s="1">
        <f>HYPERLINK("http://www.twitter.com/NathanBLawrence/status/994380128296849408", "994380128296849408")</f>
        <v/>
      </c>
      <c r="B1085" s="2" t="n">
        <v>43230.0378587963</v>
      </c>
      <c r="C1085" t="n">
        <v>6</v>
      </c>
      <c r="D1085" t="n">
        <v>0</v>
      </c>
      <c r="E1085" t="s">
        <v>1082</v>
      </c>
      <c r="F1085" t="s"/>
      <c r="G1085" t="s"/>
      <c r="H1085" t="s"/>
      <c r="I1085" t="s"/>
      <c r="J1085" t="n">
        <v>-0.1513</v>
      </c>
      <c r="K1085" t="n">
        <v>0.089</v>
      </c>
      <c r="L1085" t="n">
        <v>0.8120000000000001</v>
      </c>
      <c r="M1085" t="n">
        <v>0.099</v>
      </c>
    </row>
    <row r="1086" spans="1:13">
      <c r="A1086" s="1">
        <f>HYPERLINK("http://www.twitter.com/NathanBLawrence/status/994379997551919104", "994379997551919104")</f>
        <v/>
      </c>
      <c r="B1086" s="2" t="n">
        <v>43230.0375</v>
      </c>
      <c r="C1086" t="n">
        <v>0</v>
      </c>
      <c r="D1086" t="n">
        <v>3</v>
      </c>
      <c r="E1086" t="s">
        <v>1083</v>
      </c>
      <c r="F1086">
        <f>HYPERLINK("http://pbs.twimg.com/media/DcyxO_-WkAAWxOc.jpg", "http://pbs.twimg.com/media/DcyxO_-WkAAWxOc.jpg")</f>
        <v/>
      </c>
      <c r="G1086" t="s"/>
      <c r="H1086" t="s"/>
      <c r="I1086" t="s"/>
      <c r="J1086" t="n">
        <v>0</v>
      </c>
      <c r="K1086" t="n">
        <v>0</v>
      </c>
      <c r="L1086" t="n">
        <v>1</v>
      </c>
      <c r="M1086" t="n">
        <v>0</v>
      </c>
    </row>
    <row r="1087" spans="1:13">
      <c r="A1087" s="1">
        <f>HYPERLINK("http://www.twitter.com/NathanBLawrence/status/994370662667079680", "994370662667079680")</f>
        <v/>
      </c>
      <c r="B1087" s="2" t="n">
        <v>43230.01174768519</v>
      </c>
      <c r="C1087" t="n">
        <v>0</v>
      </c>
      <c r="D1087" t="n">
        <v>1</v>
      </c>
      <c r="E1087" t="s">
        <v>1084</v>
      </c>
      <c r="F1087" t="s"/>
      <c r="G1087" t="s"/>
      <c r="H1087" t="s"/>
      <c r="I1087" t="s"/>
      <c r="J1087" t="n">
        <v>0.4605</v>
      </c>
      <c r="K1087" t="n">
        <v>0.156</v>
      </c>
      <c r="L1087" t="n">
        <v>0.596</v>
      </c>
      <c r="M1087" t="n">
        <v>0.248</v>
      </c>
    </row>
    <row r="1088" spans="1:13">
      <c r="A1088" s="1">
        <f>HYPERLINK("http://www.twitter.com/NathanBLawrence/status/994370648947544065", "994370648947544065")</f>
        <v/>
      </c>
      <c r="B1088" s="2" t="n">
        <v>43230.01170138889</v>
      </c>
      <c r="C1088" t="n">
        <v>0</v>
      </c>
      <c r="D1088" t="n">
        <v>2</v>
      </c>
      <c r="E1088" t="s">
        <v>1085</v>
      </c>
      <c r="F1088" t="s"/>
      <c r="G1088" t="s"/>
      <c r="H1088" t="s"/>
      <c r="I1088" t="s"/>
      <c r="J1088" t="n">
        <v>0</v>
      </c>
      <c r="K1088" t="n">
        <v>0</v>
      </c>
      <c r="L1088" t="n">
        <v>1</v>
      </c>
      <c r="M1088" t="n">
        <v>0</v>
      </c>
    </row>
    <row r="1089" spans="1:13">
      <c r="A1089" s="1">
        <f>HYPERLINK("http://www.twitter.com/NathanBLawrence/status/994370616982757377", "994370616982757377")</f>
        <v/>
      </c>
      <c r="B1089" s="2" t="n">
        <v>43230.01162037037</v>
      </c>
      <c r="C1089" t="n">
        <v>3</v>
      </c>
      <c r="D1089" t="n">
        <v>1</v>
      </c>
      <c r="E1089" t="s">
        <v>1086</v>
      </c>
      <c r="F1089" t="s"/>
      <c r="G1089" t="s"/>
      <c r="H1089" t="s"/>
      <c r="I1089" t="s"/>
      <c r="J1089" t="n">
        <v>0.4605</v>
      </c>
      <c r="K1089" t="n">
        <v>0.172</v>
      </c>
      <c r="L1089" t="n">
        <v>0.555</v>
      </c>
      <c r="M1089" t="n">
        <v>0.273</v>
      </c>
    </row>
    <row r="1090" spans="1:13">
      <c r="A1090" s="1">
        <f>HYPERLINK("http://www.twitter.com/NathanBLawrence/status/994368106519724033", "994368106519724033")</f>
        <v/>
      </c>
      <c r="B1090" s="2" t="n">
        <v>43230.0046875</v>
      </c>
      <c r="C1090" t="n">
        <v>3</v>
      </c>
      <c r="D1090" t="n">
        <v>2</v>
      </c>
      <c r="E1090" t="s">
        <v>1087</v>
      </c>
      <c r="F1090" t="s"/>
      <c r="G1090" t="s"/>
      <c r="H1090" t="s"/>
      <c r="I1090" t="s"/>
      <c r="J1090" t="n">
        <v>0</v>
      </c>
      <c r="K1090" t="n">
        <v>0</v>
      </c>
      <c r="L1090" t="n">
        <v>1</v>
      </c>
      <c r="M1090" t="n">
        <v>0</v>
      </c>
    </row>
    <row r="1091" spans="1:13">
      <c r="A1091" s="1">
        <f>HYPERLINK("http://www.twitter.com/NathanBLawrence/status/994367676599488513", "994367676599488513")</f>
        <v/>
      </c>
      <c r="B1091" s="2" t="n">
        <v>43230.00350694444</v>
      </c>
      <c r="C1091" t="n">
        <v>0</v>
      </c>
      <c r="D1091" t="n">
        <v>4</v>
      </c>
      <c r="E1091" t="s">
        <v>1088</v>
      </c>
      <c r="F1091">
        <f>HYPERLINK("http://pbs.twimg.com/media/Dcyy72LX0AAydTu.jpg", "http://pbs.twimg.com/media/Dcyy72LX0AAydTu.jpg")</f>
        <v/>
      </c>
      <c r="G1091">
        <f>HYPERLINK("http://pbs.twimg.com/media/DcyzRZ6WkAUXf8n.jpg", "http://pbs.twimg.com/media/DcyzRZ6WkAUXf8n.jpg")</f>
        <v/>
      </c>
      <c r="H1091">
        <f>HYPERLINK("http://pbs.twimg.com/media/DcyzWObX0AcqcAe.jpg", "http://pbs.twimg.com/media/DcyzWObX0AcqcAe.jpg")</f>
        <v/>
      </c>
      <c r="I1091" t="s"/>
      <c r="J1091" t="n">
        <v>0.0516</v>
      </c>
      <c r="K1091" t="n">
        <v>0</v>
      </c>
      <c r="L1091" t="n">
        <v>0.948</v>
      </c>
      <c r="M1091" t="n">
        <v>0.052</v>
      </c>
    </row>
    <row r="1092" spans="1:13">
      <c r="A1092" s="1">
        <f>HYPERLINK("http://www.twitter.com/NathanBLawrence/status/994367602091810816", "994367602091810816")</f>
        <v/>
      </c>
      <c r="B1092" s="2" t="n">
        <v>43230.00329861111</v>
      </c>
      <c r="C1092" t="n">
        <v>0</v>
      </c>
      <c r="D1092" t="n">
        <v>2</v>
      </c>
      <c r="E1092" t="s">
        <v>1089</v>
      </c>
      <c r="F1092" t="s"/>
      <c r="G1092" t="s"/>
      <c r="H1092" t="s"/>
      <c r="I1092" t="s"/>
      <c r="J1092" t="n">
        <v>0</v>
      </c>
      <c r="K1092" t="n">
        <v>0</v>
      </c>
      <c r="L1092" t="n">
        <v>1</v>
      </c>
      <c r="M1092" t="n">
        <v>0</v>
      </c>
    </row>
    <row r="1093" spans="1:13">
      <c r="A1093" s="1">
        <f>HYPERLINK("http://www.twitter.com/NathanBLawrence/status/994361411471134720", "994361411471134720")</f>
        <v/>
      </c>
      <c r="B1093" s="2" t="n">
        <v>43229.98621527778</v>
      </c>
      <c r="C1093" t="n">
        <v>0</v>
      </c>
      <c r="D1093" t="n">
        <v>2</v>
      </c>
      <c r="E1093" t="s">
        <v>1090</v>
      </c>
      <c r="F1093" t="s"/>
      <c r="G1093" t="s"/>
      <c r="H1093" t="s"/>
      <c r="I1093" t="s"/>
      <c r="J1093" t="n">
        <v>0</v>
      </c>
      <c r="K1093" t="n">
        <v>0</v>
      </c>
      <c r="L1093" t="n">
        <v>1</v>
      </c>
      <c r="M1093" t="n">
        <v>0</v>
      </c>
    </row>
    <row r="1094" spans="1:13">
      <c r="A1094" s="1">
        <f>HYPERLINK("http://www.twitter.com/NathanBLawrence/status/994361207770533893", "994361207770533893")</f>
        <v/>
      </c>
      <c r="B1094" s="2" t="n">
        <v>43229.98564814815</v>
      </c>
      <c r="C1094" t="n">
        <v>0</v>
      </c>
      <c r="D1094" t="n">
        <v>2</v>
      </c>
      <c r="E1094" t="s">
        <v>1091</v>
      </c>
      <c r="F1094" t="s"/>
      <c r="G1094" t="s"/>
      <c r="H1094" t="s"/>
      <c r="I1094" t="s"/>
      <c r="J1094" t="n">
        <v>0</v>
      </c>
      <c r="K1094" t="n">
        <v>0</v>
      </c>
      <c r="L1094" t="n">
        <v>1</v>
      </c>
      <c r="M1094" t="n">
        <v>0</v>
      </c>
    </row>
    <row r="1095" spans="1:13">
      <c r="A1095" s="1">
        <f>HYPERLINK("http://www.twitter.com/NathanBLawrence/status/994361179395981312", "994361179395981312")</f>
        <v/>
      </c>
      <c r="B1095" s="2" t="n">
        <v>43229.9855787037</v>
      </c>
      <c r="C1095" t="n">
        <v>3</v>
      </c>
      <c r="D1095" t="n">
        <v>2</v>
      </c>
      <c r="E1095" t="s">
        <v>1092</v>
      </c>
      <c r="F1095" t="s"/>
      <c r="G1095" t="s"/>
      <c r="H1095" t="s"/>
      <c r="I1095" t="s"/>
      <c r="J1095" t="n">
        <v>0</v>
      </c>
      <c r="K1095" t="n">
        <v>0</v>
      </c>
      <c r="L1095" t="n">
        <v>1</v>
      </c>
      <c r="M1095" t="n">
        <v>0</v>
      </c>
    </row>
    <row r="1096" spans="1:13">
      <c r="A1096" s="1">
        <f>HYPERLINK("http://www.twitter.com/NathanBLawrence/status/994360923887472640", "994360923887472640")</f>
        <v/>
      </c>
      <c r="B1096" s="2" t="n">
        <v>43229.98487268519</v>
      </c>
      <c r="C1096" t="n">
        <v>1</v>
      </c>
      <c r="D1096" t="n">
        <v>0</v>
      </c>
      <c r="E1096" t="s">
        <v>1093</v>
      </c>
      <c r="F1096" t="s"/>
      <c r="G1096" t="s"/>
      <c r="H1096" t="s"/>
      <c r="I1096" t="s"/>
      <c r="J1096" t="n">
        <v>0.4926</v>
      </c>
      <c r="K1096" t="n">
        <v>0</v>
      </c>
      <c r="L1096" t="n">
        <v>0.856</v>
      </c>
      <c r="M1096" t="n">
        <v>0.144</v>
      </c>
    </row>
    <row r="1097" spans="1:13">
      <c r="A1097" s="1">
        <f>HYPERLINK("http://www.twitter.com/NathanBLawrence/status/994360876651220992", "994360876651220992")</f>
        <v/>
      </c>
      <c r="B1097" s="2" t="n">
        <v>43229.98473379629</v>
      </c>
      <c r="C1097" t="n">
        <v>0</v>
      </c>
      <c r="D1097" t="n">
        <v>4</v>
      </c>
      <c r="E1097" t="s">
        <v>1094</v>
      </c>
      <c r="F1097">
        <f>HYPERLINK("http://pbs.twimg.com/media/Dcytg0aW4AINAuW.jpg", "http://pbs.twimg.com/media/Dcytg0aW4AINAuW.jpg")</f>
        <v/>
      </c>
      <c r="G1097" t="s"/>
      <c r="H1097" t="s"/>
      <c r="I1097" t="s"/>
      <c r="J1097" t="n">
        <v>0</v>
      </c>
      <c r="K1097" t="n">
        <v>0</v>
      </c>
      <c r="L1097" t="n">
        <v>1</v>
      </c>
      <c r="M1097" t="n">
        <v>0</v>
      </c>
    </row>
    <row r="1098" spans="1:13">
      <c r="A1098" s="1">
        <f>HYPERLINK("http://www.twitter.com/NathanBLawrence/status/994359663750795264", "994359663750795264")</f>
        <v/>
      </c>
      <c r="B1098" s="2" t="n">
        <v>43229.98138888889</v>
      </c>
      <c r="C1098" t="n">
        <v>0</v>
      </c>
      <c r="D1098" t="n">
        <v>5</v>
      </c>
      <c r="E1098" t="s">
        <v>1095</v>
      </c>
      <c r="F1098">
        <f>HYPERLINK("http://pbs.twimg.com/media/DcysWw1X4AAEVLo.jpg", "http://pbs.twimg.com/media/DcysWw1X4AAEVLo.jpg")</f>
        <v/>
      </c>
      <c r="G1098" t="s"/>
      <c r="H1098" t="s"/>
      <c r="I1098" t="s"/>
      <c r="J1098" t="n">
        <v>-0.1779</v>
      </c>
      <c r="K1098" t="n">
        <v>0.091</v>
      </c>
      <c r="L1098" t="n">
        <v>0.909</v>
      </c>
      <c r="M1098" t="n">
        <v>0</v>
      </c>
    </row>
    <row r="1099" spans="1:13">
      <c r="A1099" s="1">
        <f>HYPERLINK("http://www.twitter.com/NathanBLawrence/status/994359374855499776", "994359374855499776")</f>
        <v/>
      </c>
      <c r="B1099" s="2" t="n">
        <v>43229.98059027778</v>
      </c>
      <c r="C1099" t="n">
        <v>0</v>
      </c>
      <c r="D1099" t="n">
        <v>2</v>
      </c>
      <c r="E1099" t="s">
        <v>1096</v>
      </c>
      <c r="F1099" t="s"/>
      <c r="G1099" t="s"/>
      <c r="H1099" t="s"/>
      <c r="I1099" t="s"/>
      <c r="J1099" t="n">
        <v>-0.6239</v>
      </c>
      <c r="K1099" t="n">
        <v>0.214</v>
      </c>
      <c r="L1099" t="n">
        <v>0.786</v>
      </c>
      <c r="M1099" t="n">
        <v>0</v>
      </c>
    </row>
    <row r="1100" spans="1:13">
      <c r="A1100" s="1">
        <f>HYPERLINK("http://www.twitter.com/NathanBLawrence/status/994359262565552128", "994359262565552128")</f>
        <v/>
      </c>
      <c r="B1100" s="2" t="n">
        <v>43229.98028935185</v>
      </c>
      <c r="C1100" t="n">
        <v>0</v>
      </c>
      <c r="D1100" t="n">
        <v>4</v>
      </c>
      <c r="E1100" t="s">
        <v>1097</v>
      </c>
      <c r="F1100" t="s"/>
      <c r="G1100" t="s"/>
      <c r="H1100" t="s"/>
      <c r="I1100" t="s"/>
      <c r="J1100" t="n">
        <v>0</v>
      </c>
      <c r="K1100" t="n">
        <v>0</v>
      </c>
      <c r="L1100" t="n">
        <v>1</v>
      </c>
      <c r="M1100" t="n">
        <v>0</v>
      </c>
    </row>
    <row r="1101" spans="1:13">
      <c r="A1101" s="1">
        <f>HYPERLINK("http://www.twitter.com/NathanBLawrence/status/994359137176838144", "994359137176838144")</f>
        <v/>
      </c>
      <c r="B1101" s="2" t="n">
        <v>43229.97994212963</v>
      </c>
      <c r="C1101" t="n">
        <v>10</v>
      </c>
      <c r="D1101" t="n">
        <v>5</v>
      </c>
      <c r="E1101" t="s">
        <v>1098</v>
      </c>
      <c r="F1101">
        <f>HYPERLINK("http://pbs.twimg.com/media/DcysWw1X4AAEVLo.jpg", "http://pbs.twimg.com/media/DcysWw1X4AAEVLo.jpg")</f>
        <v/>
      </c>
      <c r="G1101" t="s"/>
      <c r="H1101" t="s"/>
      <c r="I1101" t="s"/>
      <c r="J1101" t="n">
        <v>-0.1779</v>
      </c>
      <c r="K1101" t="n">
        <v>0.05</v>
      </c>
      <c r="L1101" t="n">
        <v>0.95</v>
      </c>
      <c r="M1101" t="n">
        <v>0</v>
      </c>
    </row>
    <row r="1102" spans="1:13">
      <c r="A1102" s="1">
        <f>HYPERLINK("http://www.twitter.com/NathanBLawrence/status/994358635265486848", "994358635265486848")</f>
        <v/>
      </c>
      <c r="B1102" s="2" t="n">
        <v>43229.97855324074</v>
      </c>
      <c r="C1102" t="n">
        <v>5</v>
      </c>
      <c r="D1102" t="n">
        <v>4</v>
      </c>
      <c r="E1102" t="s">
        <v>1099</v>
      </c>
      <c r="F1102" t="s"/>
      <c r="G1102" t="s"/>
      <c r="H1102" t="s"/>
      <c r="I1102" t="s"/>
      <c r="J1102" t="n">
        <v>0</v>
      </c>
      <c r="K1102" t="n">
        <v>0</v>
      </c>
      <c r="L1102" t="n">
        <v>1</v>
      </c>
      <c r="M1102" t="n">
        <v>0</v>
      </c>
    </row>
    <row r="1103" spans="1:13">
      <c r="A1103" s="1">
        <f>HYPERLINK("http://www.twitter.com/NathanBLawrence/status/994357413531869184", "994357413531869184")</f>
        <v/>
      </c>
      <c r="B1103" s="2" t="n">
        <v>43229.97518518518</v>
      </c>
      <c r="C1103" t="n">
        <v>0</v>
      </c>
      <c r="D1103" t="n">
        <v>1</v>
      </c>
      <c r="E1103" t="s">
        <v>1100</v>
      </c>
      <c r="F1103" t="s"/>
      <c r="G1103" t="s"/>
      <c r="H1103" t="s"/>
      <c r="I1103" t="s"/>
      <c r="J1103" t="n">
        <v>0</v>
      </c>
      <c r="K1103" t="n">
        <v>0</v>
      </c>
      <c r="L1103" t="n">
        <v>1</v>
      </c>
      <c r="M1103" t="n">
        <v>0</v>
      </c>
    </row>
    <row r="1104" spans="1:13">
      <c r="A1104" s="1">
        <f>HYPERLINK("http://www.twitter.com/NathanBLawrence/status/994357371169361920", "994357371169361920")</f>
        <v/>
      </c>
      <c r="B1104" s="2" t="n">
        <v>43229.97506944444</v>
      </c>
      <c r="C1104" t="n">
        <v>0</v>
      </c>
      <c r="D1104" t="n">
        <v>2</v>
      </c>
      <c r="E1104" t="s">
        <v>1101</v>
      </c>
      <c r="F1104" t="s"/>
      <c r="G1104" t="s"/>
      <c r="H1104" t="s"/>
      <c r="I1104" t="s"/>
      <c r="J1104" t="n">
        <v>0</v>
      </c>
      <c r="K1104" t="n">
        <v>0</v>
      </c>
      <c r="L1104" t="n">
        <v>1</v>
      </c>
      <c r="M1104" t="n">
        <v>0</v>
      </c>
    </row>
    <row r="1105" spans="1:13">
      <c r="A1105" s="1">
        <f>HYPERLINK("http://www.twitter.com/NathanBLawrence/status/994352515620724739", "994352515620724739")</f>
        <v/>
      </c>
      <c r="B1105" s="2" t="n">
        <v>43229.96166666667</v>
      </c>
      <c r="C1105" t="n">
        <v>0</v>
      </c>
      <c r="D1105" t="n">
        <v>9</v>
      </c>
      <c r="E1105" t="s">
        <v>1102</v>
      </c>
      <c r="F1105">
        <f>HYPERLINK("http://pbs.twimg.com/media/DcyintvUQAEXLPG.jpg", "http://pbs.twimg.com/media/DcyintvUQAEXLPG.jpg")</f>
        <v/>
      </c>
      <c r="G1105" t="s"/>
      <c r="H1105" t="s"/>
      <c r="I1105" t="s"/>
      <c r="J1105" t="n">
        <v>-0.6369</v>
      </c>
      <c r="K1105" t="n">
        <v>0.278</v>
      </c>
      <c r="L1105" t="n">
        <v>0.59</v>
      </c>
      <c r="M1105" t="n">
        <v>0.132</v>
      </c>
    </row>
    <row r="1106" spans="1:13">
      <c r="A1106" s="1">
        <f>HYPERLINK("http://www.twitter.com/NathanBLawrence/status/994348898931167233", "994348898931167233")</f>
        <v/>
      </c>
      <c r="B1106" s="2" t="n">
        <v>43229.95168981481</v>
      </c>
      <c r="C1106" t="n">
        <v>0</v>
      </c>
      <c r="D1106" t="n">
        <v>11</v>
      </c>
      <c r="E1106" t="s">
        <v>1103</v>
      </c>
      <c r="F1106" t="s"/>
      <c r="G1106" t="s"/>
      <c r="H1106" t="s"/>
      <c r="I1106" t="s"/>
      <c r="J1106" t="n">
        <v>-0.802</v>
      </c>
      <c r="K1106" t="n">
        <v>0.286</v>
      </c>
      <c r="L1106" t="n">
        <v>0.714</v>
      </c>
      <c r="M1106" t="n">
        <v>0</v>
      </c>
    </row>
    <row r="1107" spans="1:13">
      <c r="A1107" s="1">
        <f>HYPERLINK("http://www.twitter.com/NathanBLawrence/status/994348869214457861", "994348869214457861")</f>
        <v/>
      </c>
      <c r="B1107" s="2" t="n">
        <v>43229.9516087963</v>
      </c>
      <c r="C1107" t="n">
        <v>6</v>
      </c>
      <c r="D1107" t="n">
        <v>2</v>
      </c>
      <c r="E1107" t="s">
        <v>1104</v>
      </c>
      <c r="F1107" t="s"/>
      <c r="G1107" t="s"/>
      <c r="H1107" t="s"/>
      <c r="I1107" t="s"/>
      <c r="J1107" t="n">
        <v>0</v>
      </c>
      <c r="K1107" t="n">
        <v>0</v>
      </c>
      <c r="L1107" t="n">
        <v>1</v>
      </c>
      <c r="M1107" t="n">
        <v>0</v>
      </c>
    </row>
    <row r="1108" spans="1:13">
      <c r="A1108" s="1">
        <f>HYPERLINK("http://www.twitter.com/NathanBLawrence/status/994348717049286657", "994348717049286657")</f>
        <v/>
      </c>
      <c r="B1108" s="2" t="n">
        <v>43229.95118055555</v>
      </c>
      <c r="C1108" t="n">
        <v>0</v>
      </c>
      <c r="D1108" t="n">
        <v>4</v>
      </c>
      <c r="E1108" t="s">
        <v>1105</v>
      </c>
      <c r="F1108" t="s"/>
      <c r="G1108" t="s"/>
      <c r="H1108" t="s"/>
      <c r="I1108" t="s"/>
      <c r="J1108" t="n">
        <v>0.2263</v>
      </c>
      <c r="K1108" t="n">
        <v>0</v>
      </c>
      <c r="L1108" t="n">
        <v>0.929</v>
      </c>
      <c r="M1108" t="n">
        <v>0.07099999999999999</v>
      </c>
    </row>
    <row r="1109" spans="1:13">
      <c r="A1109" s="1">
        <f>HYPERLINK("http://www.twitter.com/NathanBLawrence/status/994348625969991680", "994348625969991680")</f>
        <v/>
      </c>
      <c r="B1109" s="2" t="n">
        <v>43229.9509375</v>
      </c>
      <c r="C1109" t="n">
        <v>0</v>
      </c>
      <c r="D1109" t="n">
        <v>2</v>
      </c>
      <c r="E1109" t="s">
        <v>1106</v>
      </c>
      <c r="F1109" t="s"/>
      <c r="G1109" t="s"/>
      <c r="H1109" t="s"/>
      <c r="I1109" t="s"/>
      <c r="J1109" t="n">
        <v>0.466</v>
      </c>
      <c r="K1109" t="n">
        <v>0</v>
      </c>
      <c r="L1109" t="n">
        <v>0.8100000000000001</v>
      </c>
      <c r="M1109" t="n">
        <v>0.19</v>
      </c>
    </row>
    <row r="1110" spans="1:13">
      <c r="A1110" s="1">
        <f>HYPERLINK("http://www.twitter.com/NathanBLawrence/status/994348606764277762", "994348606764277762")</f>
        <v/>
      </c>
      <c r="B1110" s="2" t="n">
        <v>43229.95087962963</v>
      </c>
      <c r="C1110" t="n">
        <v>0</v>
      </c>
      <c r="D1110" t="n">
        <v>3</v>
      </c>
      <c r="E1110" t="s">
        <v>1107</v>
      </c>
      <c r="F1110">
        <f>HYPERLINK("http://pbs.twimg.com/media/DchDH-KVMAEJGUM.jpg", "http://pbs.twimg.com/media/DchDH-KVMAEJGUM.jpg")</f>
        <v/>
      </c>
      <c r="G1110" t="s"/>
      <c r="H1110" t="s"/>
      <c r="I1110" t="s"/>
      <c r="J1110" t="n">
        <v>0</v>
      </c>
      <c r="K1110" t="n">
        <v>0</v>
      </c>
      <c r="L1110" t="n">
        <v>1</v>
      </c>
      <c r="M1110" t="n">
        <v>0</v>
      </c>
    </row>
    <row r="1111" spans="1:13">
      <c r="A1111" s="1">
        <f>HYPERLINK("http://www.twitter.com/NathanBLawrence/status/994348401230860290", "994348401230860290")</f>
        <v/>
      </c>
      <c r="B1111" s="2" t="n">
        <v>43229.9503125</v>
      </c>
      <c r="C1111" t="n">
        <v>0</v>
      </c>
      <c r="D1111" t="n">
        <v>1</v>
      </c>
      <c r="E1111" t="s">
        <v>1108</v>
      </c>
      <c r="F1111" t="s"/>
      <c r="G1111" t="s"/>
      <c r="H1111" t="s"/>
      <c r="I1111" t="s"/>
      <c r="J1111" t="n">
        <v>0</v>
      </c>
      <c r="K1111" t="n">
        <v>0</v>
      </c>
      <c r="L1111" t="n">
        <v>1</v>
      </c>
      <c r="M1111" t="n">
        <v>0</v>
      </c>
    </row>
    <row r="1112" spans="1:13">
      <c r="A1112" s="1">
        <f>HYPERLINK("http://www.twitter.com/NathanBLawrence/status/994348359853932546", "994348359853932546")</f>
        <v/>
      </c>
      <c r="B1112" s="2" t="n">
        <v>43229.95019675926</v>
      </c>
      <c r="C1112" t="n">
        <v>4</v>
      </c>
      <c r="D1112" t="n">
        <v>2</v>
      </c>
      <c r="E1112" t="s">
        <v>1109</v>
      </c>
      <c r="F1112" t="s"/>
      <c r="G1112" t="s"/>
      <c r="H1112" t="s"/>
      <c r="I1112" t="s"/>
      <c r="J1112" t="n">
        <v>0</v>
      </c>
      <c r="K1112" t="n">
        <v>0</v>
      </c>
      <c r="L1112" t="n">
        <v>1</v>
      </c>
      <c r="M1112" t="n">
        <v>0</v>
      </c>
    </row>
    <row r="1113" spans="1:13">
      <c r="A1113" s="1">
        <f>HYPERLINK("http://www.twitter.com/NathanBLawrence/status/994348303168008193", "994348303168008193")</f>
        <v/>
      </c>
      <c r="B1113" s="2" t="n">
        <v>43229.9500462963</v>
      </c>
      <c r="C1113" t="n">
        <v>0</v>
      </c>
      <c r="D1113" t="n">
        <v>4</v>
      </c>
      <c r="E1113" t="s">
        <v>1110</v>
      </c>
      <c r="F1113" t="s"/>
      <c r="G1113" t="s"/>
      <c r="H1113" t="s"/>
      <c r="I1113" t="s"/>
      <c r="J1113" t="n">
        <v>0</v>
      </c>
      <c r="K1113" t="n">
        <v>0</v>
      </c>
      <c r="L1113" t="n">
        <v>1</v>
      </c>
      <c r="M1113" t="n">
        <v>0</v>
      </c>
    </row>
    <row r="1114" spans="1:13">
      <c r="A1114" s="1">
        <f>HYPERLINK("http://www.twitter.com/NathanBLawrence/status/994347883251097600", "994347883251097600")</f>
        <v/>
      </c>
      <c r="B1114" s="2" t="n">
        <v>43229.94888888889</v>
      </c>
      <c r="C1114" t="n">
        <v>0</v>
      </c>
      <c r="D1114" t="n">
        <v>4</v>
      </c>
      <c r="E1114" t="s">
        <v>1111</v>
      </c>
      <c r="F1114" t="s"/>
      <c r="G1114" t="s"/>
      <c r="H1114" t="s"/>
      <c r="I1114" t="s"/>
      <c r="J1114" t="n">
        <v>0</v>
      </c>
      <c r="K1114" t="n">
        <v>0</v>
      </c>
      <c r="L1114" t="n">
        <v>1</v>
      </c>
      <c r="M1114" t="n">
        <v>0</v>
      </c>
    </row>
    <row r="1115" spans="1:13">
      <c r="A1115" s="1">
        <f>HYPERLINK("http://www.twitter.com/NathanBLawrence/status/994347782419943425", "994347782419943425")</f>
        <v/>
      </c>
      <c r="B1115" s="2" t="n">
        <v>43229.94861111111</v>
      </c>
      <c r="C1115" t="n">
        <v>0</v>
      </c>
      <c r="D1115" t="n">
        <v>9</v>
      </c>
      <c r="E1115" t="s">
        <v>1112</v>
      </c>
      <c r="F1115">
        <f>HYPERLINK("http://pbs.twimg.com/media/Dcnt56NVAAABA8g.jpg", "http://pbs.twimg.com/media/Dcnt56NVAAABA8g.jpg")</f>
        <v/>
      </c>
      <c r="G1115" t="s"/>
      <c r="H1115" t="s"/>
      <c r="I1115" t="s"/>
      <c r="J1115" t="n">
        <v>0.5052</v>
      </c>
      <c r="K1115" t="n">
        <v>0.108</v>
      </c>
      <c r="L1115" t="n">
        <v>0.627</v>
      </c>
      <c r="M1115" t="n">
        <v>0.265</v>
      </c>
    </row>
    <row r="1116" spans="1:13">
      <c r="A1116" s="1">
        <f>HYPERLINK("http://www.twitter.com/NathanBLawrence/status/994347630582001665", "994347630582001665")</f>
        <v/>
      </c>
      <c r="B1116" s="2" t="n">
        <v>43229.94818287037</v>
      </c>
      <c r="C1116" t="n">
        <v>0</v>
      </c>
      <c r="D1116" t="n">
        <v>1</v>
      </c>
      <c r="E1116" t="s">
        <v>1113</v>
      </c>
      <c r="F1116" t="s"/>
      <c r="G1116" t="s"/>
      <c r="H1116" t="s"/>
      <c r="I1116" t="s"/>
      <c r="J1116" t="n">
        <v>0</v>
      </c>
      <c r="K1116" t="n">
        <v>0</v>
      </c>
      <c r="L1116" t="n">
        <v>1</v>
      </c>
      <c r="M1116" t="n">
        <v>0</v>
      </c>
    </row>
    <row r="1117" spans="1:13">
      <c r="A1117" s="1">
        <f>HYPERLINK("http://www.twitter.com/NathanBLawrence/status/994346601505280007", "994346601505280007")</f>
        <v/>
      </c>
      <c r="B1117" s="2" t="n">
        <v>43229.94534722222</v>
      </c>
      <c r="C1117" t="n">
        <v>0</v>
      </c>
      <c r="D1117" t="n">
        <v>18</v>
      </c>
      <c r="E1117" t="s">
        <v>1114</v>
      </c>
      <c r="F1117" t="s"/>
      <c r="G1117" t="s"/>
      <c r="H1117" t="s"/>
      <c r="I1117" t="s"/>
      <c r="J1117" t="n">
        <v>0</v>
      </c>
      <c r="K1117" t="n">
        <v>0</v>
      </c>
      <c r="L1117" t="n">
        <v>1</v>
      </c>
      <c r="M1117" t="n">
        <v>0</v>
      </c>
    </row>
    <row r="1118" spans="1:13">
      <c r="A1118" s="1">
        <f>HYPERLINK("http://www.twitter.com/NathanBLawrence/status/994346132523442182", "994346132523442182")</f>
        <v/>
      </c>
      <c r="B1118" s="2" t="n">
        <v>43229.94405092593</v>
      </c>
      <c r="C1118" t="n">
        <v>0</v>
      </c>
      <c r="D1118" t="n">
        <v>2</v>
      </c>
      <c r="E1118" t="s">
        <v>1115</v>
      </c>
      <c r="F1118">
        <f>HYPERLINK("http://pbs.twimg.com/media/DcycevbW4AE1bUD.jpg", "http://pbs.twimg.com/media/DcycevbW4AE1bUD.jpg")</f>
        <v/>
      </c>
      <c r="G1118" t="s"/>
      <c r="H1118" t="s"/>
      <c r="I1118" t="s"/>
      <c r="J1118" t="n">
        <v>0</v>
      </c>
      <c r="K1118" t="n">
        <v>0</v>
      </c>
      <c r="L1118" t="n">
        <v>1</v>
      </c>
      <c r="M1118" t="n">
        <v>0</v>
      </c>
    </row>
    <row r="1119" spans="1:13">
      <c r="A1119" s="1">
        <f>HYPERLINK("http://www.twitter.com/NathanBLawrence/status/994345429415407616", "994345429415407616")</f>
        <v/>
      </c>
      <c r="B1119" s="2" t="n">
        <v>43229.94211805556</v>
      </c>
      <c r="C1119" t="n">
        <v>0</v>
      </c>
      <c r="D1119" t="n">
        <v>1</v>
      </c>
      <c r="E1119" t="s">
        <v>1116</v>
      </c>
      <c r="F1119" t="s"/>
      <c r="G1119" t="s"/>
      <c r="H1119" t="s"/>
      <c r="I1119" t="s"/>
      <c r="J1119" t="n">
        <v>-0.7405</v>
      </c>
      <c r="K1119" t="n">
        <v>0.369</v>
      </c>
      <c r="L1119" t="n">
        <v>0.451</v>
      </c>
      <c r="M1119" t="n">
        <v>0.18</v>
      </c>
    </row>
    <row r="1120" spans="1:13">
      <c r="A1120" s="1">
        <f>HYPERLINK("http://www.twitter.com/NathanBLawrence/status/994345381688377344", "994345381688377344")</f>
        <v/>
      </c>
      <c r="B1120" s="2" t="n">
        <v>43229.94197916667</v>
      </c>
      <c r="C1120" t="n">
        <v>0</v>
      </c>
      <c r="D1120" t="n">
        <v>12</v>
      </c>
      <c r="E1120" t="s">
        <v>1117</v>
      </c>
      <c r="F1120" t="s"/>
      <c r="G1120" t="s"/>
      <c r="H1120" t="s"/>
      <c r="I1120" t="s"/>
      <c r="J1120" t="n">
        <v>-0.4981</v>
      </c>
      <c r="K1120" t="n">
        <v>0.133</v>
      </c>
      <c r="L1120" t="n">
        <v>0.867</v>
      </c>
      <c r="M1120" t="n">
        <v>0</v>
      </c>
    </row>
    <row r="1121" spans="1:13">
      <c r="A1121" s="1">
        <f>HYPERLINK("http://www.twitter.com/NathanBLawrence/status/994341696392581120", "994341696392581120")</f>
        <v/>
      </c>
      <c r="B1121" s="2" t="n">
        <v>43229.93181712963</v>
      </c>
      <c r="C1121" t="n">
        <v>5</v>
      </c>
      <c r="D1121" t="n">
        <v>2</v>
      </c>
      <c r="E1121" t="s">
        <v>1118</v>
      </c>
      <c r="F1121">
        <f>HYPERLINK("http://pbs.twimg.com/media/DcycevbW4AE1bUD.jpg", "http://pbs.twimg.com/media/DcycevbW4AE1bUD.jpg")</f>
        <v/>
      </c>
      <c r="G1121" t="s"/>
      <c r="H1121" t="s"/>
      <c r="I1121" t="s"/>
      <c r="J1121" t="n">
        <v>0</v>
      </c>
      <c r="K1121" t="n">
        <v>0</v>
      </c>
      <c r="L1121" t="n">
        <v>1</v>
      </c>
      <c r="M1121" t="n">
        <v>0</v>
      </c>
    </row>
    <row r="1122" spans="1:13">
      <c r="A1122" s="1">
        <f>HYPERLINK("http://www.twitter.com/NathanBLawrence/status/994340260342587394", "994340260342587394")</f>
        <v/>
      </c>
      <c r="B1122" s="2" t="n">
        <v>43229.92784722222</v>
      </c>
      <c r="C1122" t="n">
        <v>3</v>
      </c>
      <c r="D1122" t="n">
        <v>1</v>
      </c>
      <c r="E1122" t="s">
        <v>1119</v>
      </c>
      <c r="F1122" t="s"/>
      <c r="G1122" t="s"/>
      <c r="H1122" t="s"/>
      <c r="I1122" t="s"/>
      <c r="J1122" t="n">
        <v>-0.4265</v>
      </c>
      <c r="K1122" t="n">
        <v>0.209</v>
      </c>
      <c r="L1122" t="n">
        <v>0.613</v>
      </c>
      <c r="M1122" t="n">
        <v>0.178</v>
      </c>
    </row>
    <row r="1123" spans="1:13">
      <c r="A1123" s="1">
        <f>HYPERLINK("http://www.twitter.com/NathanBLawrence/status/994328125990490112", "994328125990490112")</f>
        <v/>
      </c>
      <c r="B1123" s="2" t="n">
        <v>43229.89436342593</v>
      </c>
      <c r="C1123" t="n">
        <v>0</v>
      </c>
      <c r="D1123" t="n">
        <v>233</v>
      </c>
      <c r="E1123" t="s">
        <v>1120</v>
      </c>
      <c r="F1123" t="s"/>
      <c r="G1123" t="s"/>
      <c r="H1123" t="s"/>
      <c r="I1123" t="s"/>
      <c r="J1123" t="n">
        <v>-0.6486</v>
      </c>
      <c r="K1123" t="n">
        <v>0.227</v>
      </c>
      <c r="L1123" t="n">
        <v>0.773</v>
      </c>
      <c r="M1123" t="n">
        <v>0</v>
      </c>
    </row>
    <row r="1124" spans="1:13">
      <c r="A1124" s="1">
        <f>HYPERLINK("http://www.twitter.com/NathanBLawrence/status/994328078309625856", "994328078309625856")</f>
        <v/>
      </c>
      <c r="B1124" s="2" t="n">
        <v>43229.89423611111</v>
      </c>
      <c r="C1124" t="n">
        <v>0</v>
      </c>
      <c r="D1124" t="n">
        <v>59</v>
      </c>
      <c r="E1124" t="s">
        <v>1121</v>
      </c>
      <c r="F1124">
        <f>HYPERLINK("http://pbs.twimg.com/media/DctputaVAAAmfF4.jpg", "http://pbs.twimg.com/media/DctputaVAAAmfF4.jpg")</f>
        <v/>
      </c>
      <c r="G1124" t="s"/>
      <c r="H1124" t="s"/>
      <c r="I1124" t="s"/>
      <c r="J1124" t="n">
        <v>0</v>
      </c>
      <c r="K1124" t="n">
        <v>0</v>
      </c>
      <c r="L1124" t="n">
        <v>1</v>
      </c>
      <c r="M1124" t="n">
        <v>0</v>
      </c>
    </row>
    <row r="1125" spans="1:13">
      <c r="A1125" s="1">
        <f>HYPERLINK("http://www.twitter.com/NathanBLawrence/status/994327992364142593", "994327992364142593")</f>
        <v/>
      </c>
      <c r="B1125" s="2" t="n">
        <v>43229.89399305556</v>
      </c>
      <c r="C1125" t="n">
        <v>0</v>
      </c>
      <c r="D1125" t="n">
        <v>1</v>
      </c>
      <c r="E1125" t="s">
        <v>1122</v>
      </c>
      <c r="F1125" t="s"/>
      <c r="G1125" t="s"/>
      <c r="H1125" t="s"/>
      <c r="I1125" t="s"/>
      <c r="J1125" t="n">
        <v>0.3109</v>
      </c>
      <c r="K1125" t="n">
        <v>0.113</v>
      </c>
      <c r="L1125" t="n">
        <v>0.707</v>
      </c>
      <c r="M1125" t="n">
        <v>0.18</v>
      </c>
    </row>
    <row r="1126" spans="1:13">
      <c r="A1126" s="1">
        <f>HYPERLINK("http://www.twitter.com/NathanBLawrence/status/994327968548876290", "994327968548876290")</f>
        <v/>
      </c>
      <c r="B1126" s="2" t="n">
        <v>43229.89393518519</v>
      </c>
      <c r="C1126" t="n">
        <v>0</v>
      </c>
      <c r="D1126" t="n">
        <v>7</v>
      </c>
      <c r="E1126" t="s">
        <v>1123</v>
      </c>
      <c r="F1126" t="s"/>
      <c r="G1126" t="s"/>
      <c r="H1126" t="s"/>
      <c r="I1126" t="s"/>
      <c r="J1126" t="n">
        <v>0.4451</v>
      </c>
      <c r="K1126" t="n">
        <v>0.165</v>
      </c>
      <c r="L1126" t="n">
        <v>0.577</v>
      </c>
      <c r="M1126" t="n">
        <v>0.258</v>
      </c>
    </row>
    <row r="1127" spans="1:13">
      <c r="A1127" s="1">
        <f>HYPERLINK("http://www.twitter.com/NathanBLawrence/status/994327893051396097", "994327893051396097")</f>
        <v/>
      </c>
      <c r="B1127" s="2" t="n">
        <v>43229.89372685185</v>
      </c>
      <c r="C1127" t="n">
        <v>0</v>
      </c>
      <c r="D1127" t="n">
        <v>1</v>
      </c>
      <c r="E1127" t="s">
        <v>1124</v>
      </c>
      <c r="F1127">
        <f>HYPERLINK("http://pbs.twimg.com/media/DcyMTM7XkAAqjc2.jpg", "http://pbs.twimg.com/media/DcyMTM7XkAAqjc2.jpg")</f>
        <v/>
      </c>
      <c r="G1127" t="s"/>
      <c r="H1127" t="s"/>
      <c r="I1127" t="s"/>
      <c r="J1127" t="n">
        <v>0</v>
      </c>
      <c r="K1127" t="n">
        <v>0</v>
      </c>
      <c r="L1127" t="n">
        <v>1</v>
      </c>
      <c r="M1127" t="n">
        <v>0</v>
      </c>
    </row>
    <row r="1128" spans="1:13">
      <c r="A1128" s="1">
        <f>HYPERLINK("http://www.twitter.com/NathanBLawrence/status/994327798423670785", "994327798423670785")</f>
        <v/>
      </c>
      <c r="B1128" s="2" t="n">
        <v>43229.89346064815</v>
      </c>
      <c r="C1128" t="n">
        <v>0</v>
      </c>
      <c r="D1128" t="n">
        <v>1</v>
      </c>
      <c r="E1128" t="s">
        <v>1125</v>
      </c>
      <c r="F1128" t="s"/>
      <c r="G1128" t="s"/>
      <c r="H1128" t="s"/>
      <c r="I1128" t="s"/>
      <c r="J1128" t="n">
        <v>0</v>
      </c>
      <c r="K1128" t="n">
        <v>0</v>
      </c>
      <c r="L1128" t="n">
        <v>1</v>
      </c>
      <c r="M1128" t="n">
        <v>0</v>
      </c>
    </row>
    <row r="1129" spans="1:13">
      <c r="A1129" s="1">
        <f>HYPERLINK("http://www.twitter.com/NathanBLawrence/status/994327751040688128", "994327751040688128")</f>
        <v/>
      </c>
      <c r="B1129" s="2" t="n">
        <v>43229.89333333333</v>
      </c>
      <c r="C1129" t="n">
        <v>0</v>
      </c>
      <c r="D1129" t="n">
        <v>359</v>
      </c>
      <c r="E1129" t="s">
        <v>1126</v>
      </c>
      <c r="F1129" t="s"/>
      <c r="G1129" t="s"/>
      <c r="H1129" t="s"/>
      <c r="I1129" t="s"/>
      <c r="J1129" t="n">
        <v>0</v>
      </c>
      <c r="K1129" t="n">
        <v>0</v>
      </c>
      <c r="L1129" t="n">
        <v>1</v>
      </c>
      <c r="M1129" t="n">
        <v>0</v>
      </c>
    </row>
    <row r="1130" spans="1:13">
      <c r="A1130" s="1">
        <f>HYPERLINK("http://www.twitter.com/NathanBLawrence/status/994327730429792257", "994327730429792257")</f>
        <v/>
      </c>
      <c r="B1130" s="2" t="n">
        <v>43229.89327546296</v>
      </c>
      <c r="C1130" t="n">
        <v>0</v>
      </c>
      <c r="D1130" t="n">
        <v>16</v>
      </c>
      <c r="E1130" t="s">
        <v>1127</v>
      </c>
      <c r="F1130" t="s"/>
      <c r="G1130" t="s"/>
      <c r="H1130" t="s"/>
      <c r="I1130" t="s"/>
      <c r="J1130" t="n">
        <v>-0.6988</v>
      </c>
      <c r="K1130" t="n">
        <v>0.243</v>
      </c>
      <c r="L1130" t="n">
        <v>0.757</v>
      </c>
      <c r="M1130" t="n">
        <v>0</v>
      </c>
    </row>
    <row r="1131" spans="1:13">
      <c r="A1131" s="1">
        <f>HYPERLINK("http://www.twitter.com/NathanBLawrence/status/994327455413538816", "994327455413538816")</f>
        <v/>
      </c>
      <c r="B1131" s="2" t="n">
        <v>43229.89251157407</v>
      </c>
      <c r="C1131" t="n">
        <v>0</v>
      </c>
      <c r="D1131" t="n">
        <v>3</v>
      </c>
      <c r="E1131" t="s">
        <v>1128</v>
      </c>
      <c r="F1131">
        <f>HYPERLINK("http://pbs.twimg.com/media/DcyNgg5V4AAmPy3.jpg", "http://pbs.twimg.com/media/DcyNgg5V4AAmPy3.jpg")</f>
        <v/>
      </c>
      <c r="G1131" t="s"/>
      <c r="H1131" t="s"/>
      <c r="I1131" t="s"/>
      <c r="J1131" t="n">
        <v>-0.296</v>
      </c>
      <c r="K1131" t="n">
        <v>0.104</v>
      </c>
      <c r="L1131" t="n">
        <v>0.896</v>
      </c>
      <c r="M1131" t="n">
        <v>0</v>
      </c>
    </row>
    <row r="1132" spans="1:13">
      <c r="A1132" s="1">
        <f>HYPERLINK("http://www.twitter.com/NathanBLawrence/status/994327408252727296", "994327408252727296")</f>
        <v/>
      </c>
      <c r="B1132" s="2" t="n">
        <v>43229.89238425926</v>
      </c>
      <c r="C1132" t="n">
        <v>0</v>
      </c>
      <c r="D1132" t="n">
        <v>38</v>
      </c>
      <c r="E1132" t="s">
        <v>1129</v>
      </c>
      <c r="F1132" t="s"/>
      <c r="G1132" t="s"/>
      <c r="H1132" t="s"/>
      <c r="I1132" t="s"/>
      <c r="J1132" t="n">
        <v>0</v>
      </c>
      <c r="K1132" t="n">
        <v>0.114</v>
      </c>
      <c r="L1132" t="n">
        <v>0.773</v>
      </c>
      <c r="M1132" t="n">
        <v>0.114</v>
      </c>
    </row>
    <row r="1133" spans="1:13">
      <c r="A1133" s="1">
        <f>HYPERLINK("http://www.twitter.com/NathanBLawrence/status/994327332356808704", "994327332356808704")</f>
        <v/>
      </c>
      <c r="B1133" s="2" t="n">
        <v>43229.89217592592</v>
      </c>
      <c r="C1133" t="n">
        <v>0</v>
      </c>
      <c r="D1133" t="n">
        <v>0</v>
      </c>
      <c r="E1133" t="s">
        <v>1130</v>
      </c>
      <c r="F1133" t="s"/>
      <c r="G1133" t="s"/>
      <c r="H1133" t="s"/>
      <c r="I1133" t="s"/>
      <c r="J1133" t="n">
        <v>0</v>
      </c>
      <c r="K1133" t="n">
        <v>0</v>
      </c>
      <c r="L1133" t="n">
        <v>1</v>
      </c>
      <c r="M1133" t="n">
        <v>0</v>
      </c>
    </row>
    <row r="1134" spans="1:13">
      <c r="A1134" s="1">
        <f>HYPERLINK("http://www.twitter.com/NathanBLawrence/status/994327036775759874", "994327036775759874")</f>
        <v/>
      </c>
      <c r="B1134" s="2" t="n">
        <v>43229.89135416667</v>
      </c>
      <c r="C1134" t="n">
        <v>1</v>
      </c>
      <c r="D1134" t="n">
        <v>0</v>
      </c>
      <c r="E1134" t="s">
        <v>1131</v>
      </c>
      <c r="F1134" t="s"/>
      <c r="G1134" t="s"/>
      <c r="H1134" t="s"/>
      <c r="I1134" t="s"/>
      <c r="J1134" t="n">
        <v>0</v>
      </c>
      <c r="K1134" t="n">
        <v>0</v>
      </c>
      <c r="L1134" t="n">
        <v>1</v>
      </c>
      <c r="M1134" t="n">
        <v>0</v>
      </c>
    </row>
    <row r="1135" spans="1:13">
      <c r="A1135" s="1">
        <f>HYPERLINK("http://www.twitter.com/NathanBLawrence/status/994324644277649410", "994324644277649410")</f>
        <v/>
      </c>
      <c r="B1135" s="2" t="n">
        <v>43229.88475694445</v>
      </c>
      <c r="C1135" t="n">
        <v>0</v>
      </c>
      <c r="D1135" t="n">
        <v>1</v>
      </c>
      <c r="E1135" t="s">
        <v>1132</v>
      </c>
      <c r="F1135">
        <f>HYPERLINK("http://pbs.twimg.com/media/DcyM9j0WkAI-ts5.jpg", "http://pbs.twimg.com/media/DcyM9j0WkAI-ts5.jpg")</f>
        <v/>
      </c>
      <c r="G1135" t="s"/>
      <c r="H1135" t="s"/>
      <c r="I1135" t="s"/>
      <c r="J1135" t="n">
        <v>0.4404</v>
      </c>
      <c r="K1135" t="n">
        <v>0</v>
      </c>
      <c r="L1135" t="n">
        <v>0.805</v>
      </c>
      <c r="M1135" t="n">
        <v>0.195</v>
      </c>
    </row>
    <row r="1136" spans="1:13">
      <c r="A1136" s="1">
        <f>HYPERLINK("http://www.twitter.com/NathanBLawrence/status/994324622719049733", "994324622719049733")</f>
        <v/>
      </c>
      <c r="B1136" s="2" t="n">
        <v>43229.88469907407</v>
      </c>
      <c r="C1136" t="n">
        <v>1</v>
      </c>
      <c r="D1136" t="n">
        <v>1</v>
      </c>
      <c r="E1136" t="s">
        <v>1133</v>
      </c>
      <c r="F1136">
        <f>HYPERLINK("http://pbs.twimg.com/media/DcyM9j0WkAI-ts5.jpg", "http://pbs.twimg.com/media/DcyM9j0WkAI-ts5.jpg")</f>
        <v/>
      </c>
      <c r="G1136" t="s"/>
      <c r="H1136" t="s"/>
      <c r="I1136" t="s"/>
      <c r="J1136" t="n">
        <v>0.4404</v>
      </c>
      <c r="K1136" t="n">
        <v>0</v>
      </c>
      <c r="L1136" t="n">
        <v>0.791</v>
      </c>
      <c r="M1136" t="n">
        <v>0.209</v>
      </c>
    </row>
    <row r="1137" spans="1:13">
      <c r="A1137" s="1">
        <f>HYPERLINK("http://www.twitter.com/NathanBLawrence/status/994323938867122176", "994323938867122176")</f>
        <v/>
      </c>
      <c r="B1137" s="2" t="n">
        <v>43229.8828125</v>
      </c>
      <c r="C1137" t="n">
        <v>2</v>
      </c>
      <c r="D1137" t="n">
        <v>1</v>
      </c>
      <c r="E1137" t="s">
        <v>1134</v>
      </c>
      <c r="F1137">
        <f>HYPERLINK("http://pbs.twimg.com/media/DcyMTM7XkAAqjc2.jpg", "http://pbs.twimg.com/media/DcyMTM7XkAAqjc2.jpg")</f>
        <v/>
      </c>
      <c r="G1137" t="s"/>
      <c r="H1137" t="s"/>
      <c r="I1137" t="s"/>
      <c r="J1137" t="n">
        <v>0</v>
      </c>
      <c r="K1137" t="n">
        <v>0</v>
      </c>
      <c r="L1137" t="n">
        <v>1</v>
      </c>
      <c r="M1137" t="n">
        <v>0</v>
      </c>
    </row>
    <row r="1138" spans="1:13">
      <c r="A1138" s="1">
        <f>HYPERLINK("http://www.twitter.com/NathanBLawrence/status/994323313542553605", "994323313542553605")</f>
        <v/>
      </c>
      <c r="B1138" s="2" t="n">
        <v>43229.88108796296</v>
      </c>
      <c r="C1138" t="n">
        <v>0</v>
      </c>
      <c r="D1138" t="n">
        <v>2</v>
      </c>
      <c r="E1138" t="s">
        <v>1135</v>
      </c>
      <c r="F1138" t="s"/>
      <c r="G1138" t="s"/>
      <c r="H1138" t="s"/>
      <c r="I1138" t="s"/>
      <c r="J1138" t="n">
        <v>-0.4019</v>
      </c>
      <c r="K1138" t="n">
        <v>0.13</v>
      </c>
      <c r="L1138" t="n">
        <v>0.87</v>
      </c>
      <c r="M1138" t="n">
        <v>0</v>
      </c>
    </row>
    <row r="1139" spans="1:13">
      <c r="A1139" s="1">
        <f>HYPERLINK("http://www.twitter.com/NathanBLawrence/status/994323245238190083", "994323245238190083")</f>
        <v/>
      </c>
      <c r="B1139" s="2" t="n">
        <v>43229.88089120371</v>
      </c>
      <c r="C1139" t="n">
        <v>0</v>
      </c>
      <c r="D1139" t="n">
        <v>1</v>
      </c>
      <c r="E1139" t="s">
        <v>1136</v>
      </c>
      <c r="F1139">
        <f>HYPERLINK("http://pbs.twimg.com/media/DcyLKHNX0AEATGW.jpg", "http://pbs.twimg.com/media/DcyLKHNX0AEATGW.jpg")</f>
        <v/>
      </c>
      <c r="G1139" t="s"/>
      <c r="H1139" t="s"/>
      <c r="I1139" t="s"/>
      <c r="J1139" t="n">
        <v>-0.3578</v>
      </c>
      <c r="K1139" t="n">
        <v>0.208</v>
      </c>
      <c r="L1139" t="n">
        <v>0.636</v>
      </c>
      <c r="M1139" t="n">
        <v>0.156</v>
      </c>
    </row>
    <row r="1140" spans="1:13">
      <c r="A1140" s="1">
        <f>HYPERLINK("http://www.twitter.com/NathanBLawrence/status/994323221964042240", "994323221964042240")</f>
        <v/>
      </c>
      <c r="B1140" s="2" t="n">
        <v>43229.88083333334</v>
      </c>
      <c r="C1140" t="n">
        <v>0</v>
      </c>
      <c r="D1140" t="n">
        <v>1</v>
      </c>
      <c r="E1140" t="s">
        <v>1137</v>
      </c>
      <c r="F1140" t="s"/>
      <c r="G1140" t="s"/>
      <c r="H1140" t="s"/>
      <c r="I1140" t="s"/>
      <c r="J1140" t="n">
        <v>0</v>
      </c>
      <c r="K1140" t="n">
        <v>0</v>
      </c>
      <c r="L1140" t="n">
        <v>1</v>
      </c>
      <c r="M1140" t="n">
        <v>0</v>
      </c>
    </row>
    <row r="1141" spans="1:13">
      <c r="A1141" s="1">
        <f>HYPERLINK("http://www.twitter.com/NathanBLawrence/status/994323044347842560", "994323044347842560")</f>
        <v/>
      </c>
      <c r="B1141" s="2" t="n">
        <v>43229.88034722222</v>
      </c>
      <c r="C1141" t="n">
        <v>1</v>
      </c>
      <c r="D1141" t="n">
        <v>1</v>
      </c>
      <c r="E1141" t="s">
        <v>1138</v>
      </c>
      <c r="F1141" t="s"/>
      <c r="G1141" t="s"/>
      <c r="H1141" t="s"/>
      <c r="I1141" t="s"/>
      <c r="J1141" t="n">
        <v>0</v>
      </c>
      <c r="K1141" t="n">
        <v>0</v>
      </c>
      <c r="L1141" t="n">
        <v>1</v>
      </c>
      <c r="M1141" t="n">
        <v>0</v>
      </c>
    </row>
    <row r="1142" spans="1:13">
      <c r="A1142" s="1">
        <f>HYPERLINK("http://www.twitter.com/NathanBLawrence/status/994322648220958720", "994322648220958720")</f>
        <v/>
      </c>
      <c r="B1142" s="2" t="n">
        <v>43229.87924768519</v>
      </c>
      <c r="C1142" t="n">
        <v>3</v>
      </c>
      <c r="D1142" t="n">
        <v>1</v>
      </c>
      <c r="E1142" t="s">
        <v>1139</v>
      </c>
      <c r="F1142">
        <f>HYPERLINK("http://pbs.twimg.com/media/DcyLKHNX0AEATGW.jpg", "http://pbs.twimg.com/media/DcyLKHNX0AEATGW.jpg")</f>
        <v/>
      </c>
      <c r="G1142" t="s"/>
      <c r="H1142" t="s"/>
      <c r="I1142" t="s"/>
      <c r="J1142" t="n">
        <v>0.5125999999999999</v>
      </c>
      <c r="K1142" t="n">
        <v>0.097</v>
      </c>
      <c r="L1142" t="n">
        <v>0.713</v>
      </c>
      <c r="M1142" t="n">
        <v>0.19</v>
      </c>
    </row>
    <row r="1143" spans="1:13">
      <c r="A1143" s="1">
        <f>HYPERLINK("http://www.twitter.com/NathanBLawrence/status/994315954413850624", "994315954413850624")</f>
        <v/>
      </c>
      <c r="B1143" s="2" t="n">
        <v>43229.86077546296</v>
      </c>
      <c r="C1143" t="n">
        <v>0</v>
      </c>
      <c r="D1143" t="n">
        <v>2</v>
      </c>
      <c r="E1143" t="s">
        <v>1140</v>
      </c>
      <c r="F1143" t="s"/>
      <c r="G1143" t="s"/>
      <c r="H1143" t="s"/>
      <c r="I1143" t="s"/>
      <c r="J1143" t="n">
        <v>-0.6705</v>
      </c>
      <c r="K1143" t="n">
        <v>0.297</v>
      </c>
      <c r="L1143" t="n">
        <v>0.703</v>
      </c>
      <c r="M1143" t="n">
        <v>0</v>
      </c>
    </row>
    <row r="1144" spans="1:13">
      <c r="A1144" s="1">
        <f>HYPERLINK("http://www.twitter.com/NathanBLawrence/status/994306630740258816", "994306630740258816")</f>
        <v/>
      </c>
      <c r="B1144" s="2" t="n">
        <v>43229.8350462963</v>
      </c>
      <c r="C1144" t="n">
        <v>0</v>
      </c>
      <c r="D1144" t="n">
        <v>15</v>
      </c>
      <c r="E1144" t="s">
        <v>1141</v>
      </c>
      <c r="F1144" t="s"/>
      <c r="G1144" t="s"/>
      <c r="H1144" t="s"/>
      <c r="I1144" t="s"/>
      <c r="J1144" t="n">
        <v>-0.2942</v>
      </c>
      <c r="K1144" t="n">
        <v>0.135</v>
      </c>
      <c r="L1144" t="n">
        <v>0.865</v>
      </c>
      <c r="M1144" t="n">
        <v>0</v>
      </c>
    </row>
    <row r="1145" spans="1:13">
      <c r="A1145" s="1">
        <f>HYPERLINK("http://www.twitter.com/NathanBLawrence/status/994298387053907968", "994298387053907968")</f>
        <v/>
      </c>
      <c r="B1145" s="2" t="n">
        <v>43229.81230324074</v>
      </c>
      <c r="C1145" t="n">
        <v>0</v>
      </c>
      <c r="D1145" t="n">
        <v>1</v>
      </c>
      <c r="E1145" t="s">
        <v>1142</v>
      </c>
      <c r="F1145" t="s"/>
      <c r="G1145" t="s"/>
      <c r="H1145" t="s"/>
      <c r="I1145" t="s"/>
      <c r="J1145" t="n">
        <v>-0.3818</v>
      </c>
      <c r="K1145" t="n">
        <v>0.12</v>
      </c>
      <c r="L1145" t="n">
        <v>0.88</v>
      </c>
      <c r="M1145" t="n">
        <v>0</v>
      </c>
    </row>
    <row r="1146" spans="1:13">
      <c r="A1146" s="1">
        <f>HYPERLINK("http://www.twitter.com/NathanBLawrence/status/994298376802963456", "994298376802963456")</f>
        <v/>
      </c>
      <c r="B1146" s="2" t="n">
        <v>43229.81226851852</v>
      </c>
      <c r="C1146" t="n">
        <v>0</v>
      </c>
      <c r="D1146" t="n">
        <v>1</v>
      </c>
      <c r="E1146" t="s">
        <v>1143</v>
      </c>
      <c r="F1146" t="s"/>
      <c r="G1146" t="s"/>
      <c r="H1146" t="s"/>
      <c r="I1146" t="s"/>
      <c r="J1146" t="n">
        <v>-0.8555</v>
      </c>
      <c r="K1146" t="n">
        <v>0.276</v>
      </c>
      <c r="L1146" t="n">
        <v>0.724</v>
      </c>
      <c r="M1146" t="n">
        <v>0</v>
      </c>
    </row>
    <row r="1147" spans="1:13">
      <c r="A1147" s="1">
        <f>HYPERLINK("http://www.twitter.com/NathanBLawrence/status/994294799527239680", "994294799527239680")</f>
        <v/>
      </c>
      <c r="B1147" s="2" t="n">
        <v>43229.80239583334</v>
      </c>
      <c r="C1147" t="n">
        <v>2</v>
      </c>
      <c r="D1147" t="n">
        <v>0</v>
      </c>
      <c r="E1147" t="s">
        <v>1144</v>
      </c>
      <c r="F1147" t="s"/>
      <c r="G1147" t="s"/>
      <c r="H1147" t="s"/>
      <c r="I1147" t="s"/>
      <c r="J1147" t="n">
        <v>0</v>
      </c>
      <c r="K1147" t="n">
        <v>0</v>
      </c>
      <c r="L1147" t="n">
        <v>1</v>
      </c>
      <c r="M1147" t="n">
        <v>0</v>
      </c>
    </row>
    <row r="1148" spans="1:13">
      <c r="A1148" s="1">
        <f>HYPERLINK("http://www.twitter.com/NathanBLawrence/status/994294528218681345", "994294528218681345")</f>
        <v/>
      </c>
      <c r="B1148" s="2" t="n">
        <v>43229.80165509259</v>
      </c>
      <c r="C1148" t="n">
        <v>0</v>
      </c>
      <c r="D1148" t="n">
        <v>4</v>
      </c>
      <c r="E1148" t="s">
        <v>1145</v>
      </c>
      <c r="F1148" t="s"/>
      <c r="G1148" t="s"/>
      <c r="H1148" t="s"/>
      <c r="I1148" t="s"/>
      <c r="J1148" t="n">
        <v>0.2732</v>
      </c>
      <c r="K1148" t="n">
        <v>0</v>
      </c>
      <c r="L1148" t="n">
        <v>0.916</v>
      </c>
      <c r="M1148" t="n">
        <v>0.08400000000000001</v>
      </c>
    </row>
    <row r="1149" spans="1:13">
      <c r="A1149" s="1">
        <f>HYPERLINK("http://www.twitter.com/NathanBLawrence/status/994294360735961088", "994294360735961088")</f>
        <v/>
      </c>
      <c r="B1149" s="2" t="n">
        <v>43229.80119212963</v>
      </c>
      <c r="C1149" t="n">
        <v>0</v>
      </c>
      <c r="D1149" t="n">
        <v>1</v>
      </c>
      <c r="E1149" t="s">
        <v>1146</v>
      </c>
      <c r="F1149">
        <f>HYPERLINK("http://pbs.twimg.com/media/Dcxc_dWV0AAzm9P.jpg", "http://pbs.twimg.com/media/Dcxc_dWV0AAzm9P.jpg")</f>
        <v/>
      </c>
      <c r="G1149" t="s"/>
      <c r="H1149" t="s"/>
      <c r="I1149" t="s"/>
      <c r="J1149" t="n">
        <v>0.743</v>
      </c>
      <c r="K1149" t="n">
        <v>0.082</v>
      </c>
      <c r="L1149" t="n">
        <v>0.637</v>
      </c>
      <c r="M1149" t="n">
        <v>0.281</v>
      </c>
    </row>
    <row r="1150" spans="1:13">
      <c r="A1150" s="1">
        <f>HYPERLINK("http://www.twitter.com/NathanBLawrence/status/994293980606156804", "994293980606156804")</f>
        <v/>
      </c>
      <c r="B1150" s="2" t="n">
        <v>43229.80013888889</v>
      </c>
      <c r="C1150" t="n">
        <v>0</v>
      </c>
      <c r="D1150" t="n">
        <v>2</v>
      </c>
      <c r="E1150" t="s">
        <v>1147</v>
      </c>
      <c r="F1150">
        <f>HYPERLINK("http://pbs.twimg.com/media/DcxpJVAUQAAfLDR.jpg", "http://pbs.twimg.com/media/DcxpJVAUQAAfLDR.jpg")</f>
        <v/>
      </c>
      <c r="G1150" t="s"/>
      <c r="H1150" t="s"/>
      <c r="I1150" t="s"/>
      <c r="J1150" t="n">
        <v>0</v>
      </c>
      <c r="K1150" t="n">
        <v>0</v>
      </c>
      <c r="L1150" t="n">
        <v>1</v>
      </c>
      <c r="M1150" t="n">
        <v>0</v>
      </c>
    </row>
    <row r="1151" spans="1:13">
      <c r="A1151" s="1">
        <f>HYPERLINK("http://www.twitter.com/NathanBLawrence/status/994293938294087680", "994293938294087680")</f>
        <v/>
      </c>
      <c r="B1151" s="2" t="n">
        <v>43229.80002314815</v>
      </c>
      <c r="C1151" t="n">
        <v>2</v>
      </c>
      <c r="D1151" t="n">
        <v>1</v>
      </c>
      <c r="E1151" t="s">
        <v>1148</v>
      </c>
      <c r="F1151" t="s"/>
      <c r="G1151" t="s"/>
      <c r="H1151" t="s"/>
      <c r="I1151" t="s"/>
      <c r="J1151" t="n">
        <v>-0.7096</v>
      </c>
      <c r="K1151" t="n">
        <v>0.182</v>
      </c>
      <c r="L1151" t="n">
        <v>0.752</v>
      </c>
      <c r="M1151" t="n">
        <v>0.065</v>
      </c>
    </row>
    <row r="1152" spans="1:13">
      <c r="A1152" s="1">
        <f>HYPERLINK("http://www.twitter.com/NathanBLawrence/status/994285319599149057", "994285319599149057")</f>
        <v/>
      </c>
      <c r="B1152" s="2" t="n">
        <v>43229.77623842593</v>
      </c>
      <c r="C1152" t="n">
        <v>0</v>
      </c>
      <c r="D1152" t="n">
        <v>12</v>
      </c>
      <c r="E1152" t="s">
        <v>1149</v>
      </c>
      <c r="F1152">
        <f>HYPERLINK("http://pbs.twimg.com/media/DcxNO4mXcAAXiN-.jpg", "http://pbs.twimg.com/media/DcxNO4mXcAAXiN-.jpg")</f>
        <v/>
      </c>
      <c r="G1152" t="s"/>
      <c r="H1152" t="s"/>
      <c r="I1152" t="s"/>
      <c r="J1152" t="n">
        <v>0</v>
      </c>
      <c r="K1152" t="n">
        <v>0</v>
      </c>
      <c r="L1152" t="n">
        <v>1</v>
      </c>
      <c r="M1152" t="n">
        <v>0</v>
      </c>
    </row>
    <row r="1153" spans="1:13">
      <c r="A1153" s="1">
        <f>HYPERLINK("http://www.twitter.com/NathanBLawrence/status/994285233120989184", "994285233120989184")</f>
        <v/>
      </c>
      <c r="B1153" s="2" t="n">
        <v>43229.77600694444</v>
      </c>
      <c r="C1153" t="n">
        <v>4</v>
      </c>
      <c r="D1153" t="n">
        <v>2</v>
      </c>
      <c r="E1153" t="s">
        <v>1150</v>
      </c>
      <c r="F1153">
        <f>HYPERLINK("http://pbs.twimg.com/media/DcxpJVAUQAAfLDR.jpg", "http://pbs.twimg.com/media/DcxpJVAUQAAfLDR.jpg")</f>
        <v/>
      </c>
      <c r="G1153" t="s"/>
      <c r="H1153" t="s"/>
      <c r="I1153" t="s"/>
      <c r="J1153" t="n">
        <v>0</v>
      </c>
      <c r="K1153" t="n">
        <v>0</v>
      </c>
      <c r="L1153" t="n">
        <v>1</v>
      </c>
      <c r="M1153" t="n">
        <v>0</v>
      </c>
    </row>
    <row r="1154" spans="1:13">
      <c r="A1154" s="1">
        <f>HYPERLINK("http://www.twitter.com/NathanBLawrence/status/994284275708162048", "994284275708162048")</f>
        <v/>
      </c>
      <c r="B1154" s="2" t="n">
        <v>43229.77335648148</v>
      </c>
      <c r="C1154" t="n">
        <v>0</v>
      </c>
      <c r="D1154" t="n">
        <v>3</v>
      </c>
      <c r="E1154" t="s">
        <v>1151</v>
      </c>
      <c r="F1154" t="s"/>
      <c r="G1154" t="s"/>
      <c r="H1154" t="s"/>
      <c r="I1154" t="s"/>
      <c r="J1154" t="n">
        <v>0.128</v>
      </c>
      <c r="K1154" t="n">
        <v>0</v>
      </c>
      <c r="L1154" t="n">
        <v>0.923</v>
      </c>
      <c r="M1154" t="n">
        <v>0.077</v>
      </c>
    </row>
    <row r="1155" spans="1:13">
      <c r="A1155" s="1">
        <f>HYPERLINK("http://www.twitter.com/NathanBLawrence/status/994284259874627584", "994284259874627584")</f>
        <v/>
      </c>
      <c r="B1155" s="2" t="n">
        <v>43229.77332175926</v>
      </c>
      <c r="C1155" t="n">
        <v>0</v>
      </c>
      <c r="D1155" t="n">
        <v>2</v>
      </c>
      <c r="E1155" t="s">
        <v>1152</v>
      </c>
      <c r="F1155" t="s"/>
      <c r="G1155" t="s"/>
      <c r="H1155" t="s"/>
      <c r="I1155" t="s"/>
      <c r="J1155" t="n">
        <v>0.2975</v>
      </c>
      <c r="K1155" t="n">
        <v>0</v>
      </c>
      <c r="L1155" t="n">
        <v>0.864</v>
      </c>
      <c r="M1155" t="n">
        <v>0.136</v>
      </c>
    </row>
    <row r="1156" spans="1:13">
      <c r="A1156" s="1">
        <f>HYPERLINK("http://www.twitter.com/NathanBLawrence/status/994271868726185985", "994271868726185985")</f>
        <v/>
      </c>
      <c r="B1156" s="2" t="n">
        <v>43229.73912037037</v>
      </c>
      <c r="C1156" t="n">
        <v>2</v>
      </c>
      <c r="D1156" t="n">
        <v>1</v>
      </c>
      <c r="E1156" t="s">
        <v>1153</v>
      </c>
      <c r="F1156">
        <f>HYPERLINK("http://pbs.twimg.com/media/Dcxc_dWV0AAzm9P.jpg", "http://pbs.twimg.com/media/Dcxc_dWV0AAzm9P.jpg")</f>
        <v/>
      </c>
      <c r="G1156" t="s"/>
      <c r="H1156" t="s"/>
      <c r="I1156" t="s"/>
      <c r="J1156" t="n">
        <v>0.4479</v>
      </c>
      <c r="K1156" t="n">
        <v>0.148</v>
      </c>
      <c r="L1156" t="n">
        <v>0.671</v>
      </c>
      <c r="M1156" t="n">
        <v>0.181</v>
      </c>
    </row>
    <row r="1157" spans="1:13">
      <c r="A1157" s="1">
        <f>HYPERLINK("http://www.twitter.com/NathanBLawrence/status/994264624487903237", "994264624487903237")</f>
        <v/>
      </c>
      <c r="B1157" s="2" t="n">
        <v>43229.71913194445</v>
      </c>
      <c r="C1157" t="n">
        <v>0</v>
      </c>
      <c r="D1157" t="n">
        <v>3</v>
      </c>
      <c r="E1157" t="s">
        <v>1154</v>
      </c>
      <c r="F1157" t="s"/>
      <c r="G1157" t="s"/>
      <c r="H1157" t="s"/>
      <c r="I1157" t="s"/>
      <c r="J1157" t="n">
        <v>-0.5266999999999999</v>
      </c>
      <c r="K1157" t="n">
        <v>0.167</v>
      </c>
      <c r="L1157" t="n">
        <v>0.833</v>
      </c>
      <c r="M1157" t="n">
        <v>0</v>
      </c>
    </row>
    <row r="1158" spans="1:13">
      <c r="A1158" s="1">
        <f>HYPERLINK("http://www.twitter.com/NathanBLawrence/status/994260434286006272", "994260434286006272")</f>
        <v/>
      </c>
      <c r="B1158" s="2" t="n">
        <v>43229.70756944444</v>
      </c>
      <c r="C1158" t="n">
        <v>0</v>
      </c>
      <c r="D1158" t="n">
        <v>5</v>
      </c>
      <c r="E1158" t="s">
        <v>1155</v>
      </c>
      <c r="F1158" t="s"/>
      <c r="G1158" t="s"/>
      <c r="H1158" t="s"/>
      <c r="I1158" t="s"/>
      <c r="J1158" t="n">
        <v>-0.1431</v>
      </c>
      <c r="K1158" t="n">
        <v>0.135</v>
      </c>
      <c r="L1158" t="n">
        <v>0.749</v>
      </c>
      <c r="M1158" t="n">
        <v>0.116</v>
      </c>
    </row>
    <row r="1159" spans="1:13">
      <c r="A1159" s="1">
        <f>HYPERLINK("http://www.twitter.com/NathanBLawrence/status/994257093443162112", "994257093443162112")</f>
        <v/>
      </c>
      <c r="B1159" s="2" t="n">
        <v>43229.69835648148</v>
      </c>
      <c r="C1159" t="n">
        <v>1</v>
      </c>
      <c r="D1159" t="n">
        <v>0</v>
      </c>
      <c r="E1159" t="s">
        <v>1156</v>
      </c>
      <c r="F1159" t="s"/>
      <c r="G1159" t="s"/>
      <c r="H1159" t="s"/>
      <c r="I1159" t="s"/>
      <c r="J1159" t="n">
        <v>-0.3544</v>
      </c>
      <c r="K1159" t="n">
        <v>0.134</v>
      </c>
      <c r="L1159" t="n">
        <v>0.866</v>
      </c>
      <c r="M1159" t="n">
        <v>0</v>
      </c>
    </row>
    <row r="1160" spans="1:13">
      <c r="A1160" s="1">
        <f>HYPERLINK("http://www.twitter.com/NathanBLawrence/status/994248647494823936", "994248647494823936")</f>
        <v/>
      </c>
      <c r="B1160" s="2" t="n">
        <v>43229.6750462963</v>
      </c>
      <c r="C1160" t="n">
        <v>1</v>
      </c>
      <c r="D1160" t="n">
        <v>0</v>
      </c>
      <c r="E1160" t="s">
        <v>1157</v>
      </c>
      <c r="F1160" t="s"/>
      <c r="G1160" t="s"/>
      <c r="H1160" t="s"/>
      <c r="I1160" t="s"/>
      <c r="J1160" t="n">
        <v>0</v>
      </c>
      <c r="K1160" t="n">
        <v>0</v>
      </c>
      <c r="L1160" t="n">
        <v>1</v>
      </c>
      <c r="M1160" t="n">
        <v>0</v>
      </c>
    </row>
    <row r="1161" spans="1:13">
      <c r="A1161" s="1">
        <f>HYPERLINK("http://www.twitter.com/NathanBLawrence/status/994248242966728708", "994248242966728708")</f>
        <v/>
      </c>
      <c r="B1161" s="2" t="n">
        <v>43229.67393518519</v>
      </c>
      <c r="C1161" t="n">
        <v>2</v>
      </c>
      <c r="D1161" t="n">
        <v>1</v>
      </c>
      <c r="E1161" t="s">
        <v>1158</v>
      </c>
      <c r="F1161" t="s"/>
      <c r="G1161" t="s"/>
      <c r="H1161" t="s"/>
      <c r="I1161" t="s"/>
      <c r="J1161" t="n">
        <v>0.3818</v>
      </c>
      <c r="K1161" t="n">
        <v>0.062</v>
      </c>
      <c r="L1161" t="n">
        <v>0.837</v>
      </c>
      <c r="M1161" t="n">
        <v>0.1</v>
      </c>
    </row>
    <row r="1162" spans="1:13">
      <c r="A1162" s="1">
        <f>HYPERLINK("http://www.twitter.com/NathanBLawrence/status/994247651712479232", "994247651712479232")</f>
        <v/>
      </c>
      <c r="B1162" s="2" t="n">
        <v>43229.67230324074</v>
      </c>
      <c r="C1162" t="n">
        <v>1</v>
      </c>
      <c r="D1162" t="n">
        <v>1</v>
      </c>
      <c r="E1162" t="s">
        <v>1159</v>
      </c>
      <c r="F1162" t="s"/>
      <c r="G1162" t="s"/>
      <c r="H1162" t="s"/>
      <c r="I1162" t="s"/>
      <c r="J1162" t="n">
        <v>-0.9378</v>
      </c>
      <c r="K1162" t="n">
        <v>0.296</v>
      </c>
      <c r="L1162" t="n">
        <v>0.704</v>
      </c>
      <c r="M1162" t="n">
        <v>0</v>
      </c>
    </row>
    <row r="1163" spans="1:13">
      <c r="A1163" s="1">
        <f>HYPERLINK("http://www.twitter.com/NathanBLawrence/status/994243736069726208", "994243736069726208")</f>
        <v/>
      </c>
      <c r="B1163" s="2" t="n">
        <v>43229.66149305556</v>
      </c>
      <c r="C1163" t="n">
        <v>0</v>
      </c>
      <c r="D1163" t="n">
        <v>0</v>
      </c>
      <c r="E1163" t="s">
        <v>1160</v>
      </c>
      <c r="F1163" t="s"/>
      <c r="G1163" t="s"/>
      <c r="H1163" t="s"/>
      <c r="I1163" t="s"/>
      <c r="J1163" t="n">
        <v>0</v>
      </c>
      <c r="K1163" t="n">
        <v>0</v>
      </c>
      <c r="L1163" t="n">
        <v>1</v>
      </c>
      <c r="M1163" t="n">
        <v>0</v>
      </c>
    </row>
    <row r="1164" spans="1:13">
      <c r="A1164" s="1">
        <f>HYPERLINK("http://www.twitter.com/NathanBLawrence/status/994233129807286273", "994233129807286273")</f>
        <v/>
      </c>
      <c r="B1164" s="2" t="n">
        <v>43229.63222222222</v>
      </c>
      <c r="C1164" t="n">
        <v>0</v>
      </c>
      <c r="D1164" t="n">
        <v>4</v>
      </c>
      <c r="E1164" t="s">
        <v>1161</v>
      </c>
      <c r="F1164" t="s"/>
      <c r="G1164" t="s"/>
      <c r="H1164" t="s"/>
      <c r="I1164" t="s"/>
      <c r="J1164" t="n">
        <v>0.6371</v>
      </c>
      <c r="K1164" t="n">
        <v>0.092</v>
      </c>
      <c r="L1164" t="n">
        <v>0.669</v>
      </c>
      <c r="M1164" t="n">
        <v>0.239</v>
      </c>
    </row>
    <row r="1165" spans="1:13">
      <c r="A1165" s="1">
        <f>HYPERLINK("http://www.twitter.com/NathanBLawrence/status/994233021183258625", "994233021183258625")</f>
        <v/>
      </c>
      <c r="B1165" s="2" t="n">
        <v>43229.6319212963</v>
      </c>
      <c r="C1165" t="n">
        <v>0</v>
      </c>
      <c r="D1165" t="n">
        <v>6</v>
      </c>
      <c r="E1165" t="s">
        <v>1162</v>
      </c>
      <c r="F1165" t="s"/>
      <c r="G1165" t="s"/>
      <c r="H1165" t="s"/>
      <c r="I1165" t="s"/>
      <c r="J1165" t="n">
        <v>-0.7906</v>
      </c>
      <c r="K1165" t="n">
        <v>0.28</v>
      </c>
      <c r="L1165" t="n">
        <v>0.72</v>
      </c>
      <c r="M1165" t="n">
        <v>0</v>
      </c>
    </row>
    <row r="1166" spans="1:13">
      <c r="A1166" s="1">
        <f>HYPERLINK("http://www.twitter.com/NathanBLawrence/status/994232932838641665", "994232932838641665")</f>
        <v/>
      </c>
      <c r="B1166" s="2" t="n">
        <v>43229.63167824074</v>
      </c>
      <c r="C1166" t="n">
        <v>0</v>
      </c>
      <c r="D1166" t="n">
        <v>1</v>
      </c>
      <c r="E1166" t="s">
        <v>1163</v>
      </c>
      <c r="F1166" t="s"/>
      <c r="G1166" t="s"/>
      <c r="H1166" t="s"/>
      <c r="I1166" t="s"/>
      <c r="J1166" t="n">
        <v>0.4144</v>
      </c>
      <c r="K1166" t="n">
        <v>0</v>
      </c>
      <c r="L1166" t="n">
        <v>0.884</v>
      </c>
      <c r="M1166" t="n">
        <v>0.116</v>
      </c>
    </row>
    <row r="1167" spans="1:13">
      <c r="A1167" s="1">
        <f>HYPERLINK("http://www.twitter.com/NathanBLawrence/status/994232921966989312", "994232921966989312")</f>
        <v/>
      </c>
      <c r="B1167" s="2" t="n">
        <v>43229.63165509259</v>
      </c>
      <c r="C1167" t="n">
        <v>0</v>
      </c>
      <c r="D1167" t="n">
        <v>1</v>
      </c>
      <c r="E1167" t="s">
        <v>1164</v>
      </c>
      <c r="F1167" t="s"/>
      <c r="G1167" t="s"/>
      <c r="H1167" t="s"/>
      <c r="I1167" t="s"/>
      <c r="J1167" t="n">
        <v>0</v>
      </c>
      <c r="K1167" t="n">
        <v>0</v>
      </c>
      <c r="L1167" t="n">
        <v>1</v>
      </c>
      <c r="M1167" t="n">
        <v>0</v>
      </c>
    </row>
    <row r="1168" spans="1:13">
      <c r="A1168" s="1">
        <f>HYPERLINK("http://www.twitter.com/NathanBLawrence/status/994232171266232320", "994232171266232320")</f>
        <v/>
      </c>
      <c r="B1168" s="2" t="n">
        <v>43229.62958333334</v>
      </c>
      <c r="C1168" t="n">
        <v>1</v>
      </c>
      <c r="D1168" t="n">
        <v>1</v>
      </c>
      <c r="E1168" t="s">
        <v>1165</v>
      </c>
      <c r="F1168" t="s"/>
      <c r="G1168" t="s"/>
      <c r="H1168" t="s"/>
      <c r="I1168" t="s"/>
      <c r="J1168" t="n">
        <v>0</v>
      </c>
      <c r="K1168" t="n">
        <v>0</v>
      </c>
      <c r="L1168" t="n">
        <v>1</v>
      </c>
      <c r="M1168" t="n">
        <v>0</v>
      </c>
    </row>
    <row r="1169" spans="1:13">
      <c r="A1169" s="1">
        <f>HYPERLINK("http://www.twitter.com/NathanBLawrence/status/994231102800842752", "994231102800842752")</f>
        <v/>
      </c>
      <c r="B1169" s="2" t="n">
        <v>43229.62663194445</v>
      </c>
      <c r="C1169" t="n">
        <v>1</v>
      </c>
      <c r="D1169" t="n">
        <v>1</v>
      </c>
      <c r="E1169" t="s">
        <v>1166</v>
      </c>
      <c r="F1169" t="s"/>
      <c r="G1169" t="s"/>
      <c r="H1169" t="s"/>
      <c r="I1169" t="s"/>
      <c r="J1169" t="n">
        <v>-0.4012</v>
      </c>
      <c r="K1169" t="n">
        <v>0.123</v>
      </c>
      <c r="L1169" t="n">
        <v>0.8139999999999999</v>
      </c>
      <c r="M1169" t="n">
        <v>0.062</v>
      </c>
    </row>
    <row r="1170" spans="1:13">
      <c r="A1170" s="1">
        <f>HYPERLINK("http://www.twitter.com/NathanBLawrence/status/994230059337646080", "994230059337646080")</f>
        <v/>
      </c>
      <c r="B1170" s="2" t="n">
        <v>43229.62375</v>
      </c>
      <c r="C1170" t="n">
        <v>4</v>
      </c>
      <c r="D1170" t="n">
        <v>2</v>
      </c>
      <c r="E1170" t="s">
        <v>1167</v>
      </c>
      <c r="F1170" t="s"/>
      <c r="G1170" t="s"/>
      <c r="H1170" t="s"/>
      <c r="I1170" t="s"/>
      <c r="J1170" t="n">
        <v>-0.4391</v>
      </c>
      <c r="K1170" t="n">
        <v>0.187</v>
      </c>
      <c r="L1170" t="n">
        <v>0.701</v>
      </c>
      <c r="M1170" t="n">
        <v>0.112</v>
      </c>
    </row>
    <row r="1171" spans="1:13">
      <c r="A1171" s="1">
        <f>HYPERLINK("http://www.twitter.com/NathanBLawrence/status/994228343045328902", "994228343045328902")</f>
        <v/>
      </c>
      <c r="B1171" s="2" t="n">
        <v>43229.6190162037</v>
      </c>
      <c r="C1171" t="n">
        <v>5</v>
      </c>
      <c r="D1171" t="n">
        <v>3</v>
      </c>
      <c r="E1171" t="s">
        <v>1168</v>
      </c>
      <c r="F1171" t="s"/>
      <c r="G1171" t="s"/>
      <c r="H1171" t="s"/>
      <c r="I1171" t="s"/>
      <c r="J1171" t="n">
        <v>0.5266999999999999</v>
      </c>
      <c r="K1171" t="n">
        <v>0</v>
      </c>
      <c r="L1171" t="n">
        <v>0.903</v>
      </c>
      <c r="M1171" t="n">
        <v>0.097</v>
      </c>
    </row>
    <row r="1172" spans="1:13">
      <c r="A1172" s="1">
        <f>HYPERLINK("http://www.twitter.com/NathanBLawrence/status/994205653098008576", "994205653098008576")</f>
        <v/>
      </c>
      <c r="B1172" s="2" t="n">
        <v>43229.55640046296</v>
      </c>
      <c r="C1172" t="n">
        <v>0</v>
      </c>
      <c r="D1172" t="n">
        <v>1</v>
      </c>
      <c r="E1172" t="s">
        <v>1169</v>
      </c>
      <c r="F1172">
        <f>HYPERLINK("http://pbs.twimg.com/media/DcuGlqIUQAEQODl.jpg", "http://pbs.twimg.com/media/DcuGlqIUQAEQODl.jpg")</f>
        <v/>
      </c>
      <c r="G1172" t="s"/>
      <c r="H1172" t="s"/>
      <c r="I1172" t="s"/>
      <c r="J1172" t="n">
        <v>0.4767</v>
      </c>
      <c r="K1172" t="n">
        <v>0</v>
      </c>
      <c r="L1172" t="n">
        <v>0.838</v>
      </c>
      <c r="M1172" t="n">
        <v>0.162</v>
      </c>
    </row>
    <row r="1173" spans="1:13">
      <c r="A1173" s="1">
        <f>HYPERLINK("http://www.twitter.com/NathanBLawrence/status/994204869706833920", "994204869706833920")</f>
        <v/>
      </c>
      <c r="B1173" s="2" t="n">
        <v>43229.55424768518</v>
      </c>
      <c r="C1173" t="n">
        <v>2</v>
      </c>
      <c r="D1173" t="n">
        <v>0</v>
      </c>
      <c r="E1173" t="s">
        <v>1170</v>
      </c>
      <c r="F1173">
        <f>HYPERLINK("http://pbs.twimg.com/media/DcwgDsMU0AA2UKi.jpg", "http://pbs.twimg.com/media/DcwgDsMU0AA2UKi.jpg")</f>
        <v/>
      </c>
      <c r="G1173" t="s"/>
      <c r="H1173" t="s"/>
      <c r="I1173" t="s"/>
      <c r="J1173" t="n">
        <v>-0.3109</v>
      </c>
      <c r="K1173" t="n">
        <v>0.093</v>
      </c>
      <c r="L1173" t="n">
        <v>0.806</v>
      </c>
      <c r="M1173" t="n">
        <v>0.101</v>
      </c>
    </row>
    <row r="1174" spans="1:13">
      <c r="A1174" s="1">
        <f>HYPERLINK("http://www.twitter.com/NathanBLawrence/status/994203450127933440", "994203450127933440")</f>
        <v/>
      </c>
      <c r="B1174" s="2" t="n">
        <v>43229.55032407407</v>
      </c>
      <c r="C1174" t="n">
        <v>2</v>
      </c>
      <c r="D1174" t="n">
        <v>1</v>
      </c>
      <c r="E1174" t="s">
        <v>1171</v>
      </c>
      <c r="F1174" t="s"/>
      <c r="G1174" t="s"/>
      <c r="H1174" t="s"/>
      <c r="I1174" t="s"/>
      <c r="J1174" t="n">
        <v>-0.4588</v>
      </c>
      <c r="K1174" t="n">
        <v>0.076</v>
      </c>
      <c r="L1174" t="n">
        <v>0.894</v>
      </c>
      <c r="M1174" t="n">
        <v>0.03</v>
      </c>
    </row>
    <row r="1175" spans="1:13">
      <c r="A1175" s="1">
        <f>HYPERLINK("http://www.twitter.com/NathanBLawrence/status/994202640992034816", "994202640992034816")</f>
        <v/>
      </c>
      <c r="B1175" s="2" t="n">
        <v>43229.54809027778</v>
      </c>
      <c r="C1175" t="n">
        <v>1</v>
      </c>
      <c r="D1175" t="n">
        <v>0</v>
      </c>
      <c r="E1175" t="s">
        <v>1172</v>
      </c>
      <c r="F1175" t="s"/>
      <c r="G1175" t="s"/>
      <c r="H1175" t="s"/>
      <c r="I1175" t="s"/>
      <c r="J1175" t="n">
        <v>0</v>
      </c>
      <c r="K1175" t="n">
        <v>0</v>
      </c>
      <c r="L1175" t="n">
        <v>1</v>
      </c>
      <c r="M1175" t="n">
        <v>0</v>
      </c>
    </row>
    <row r="1176" spans="1:13">
      <c r="A1176" s="1">
        <f>HYPERLINK("http://www.twitter.com/NathanBLawrence/status/994202224229220352", "994202224229220352")</f>
        <v/>
      </c>
      <c r="B1176" s="2" t="n">
        <v>43229.54694444445</v>
      </c>
      <c r="C1176" t="n">
        <v>0</v>
      </c>
      <c r="D1176" t="n">
        <v>2</v>
      </c>
      <c r="E1176" t="s">
        <v>1173</v>
      </c>
      <c r="F1176" t="s"/>
      <c r="G1176" t="s"/>
      <c r="H1176" t="s"/>
      <c r="I1176" t="s"/>
      <c r="J1176" t="n">
        <v>0</v>
      </c>
      <c r="K1176" t="n">
        <v>0</v>
      </c>
      <c r="L1176" t="n">
        <v>1</v>
      </c>
      <c r="M1176" t="n">
        <v>0</v>
      </c>
    </row>
    <row r="1177" spans="1:13">
      <c r="A1177" s="1">
        <f>HYPERLINK("http://www.twitter.com/NathanBLawrence/status/994201836067409920", "994201836067409920")</f>
        <v/>
      </c>
      <c r="B1177" s="2" t="n">
        <v>43229.54586805555</v>
      </c>
      <c r="C1177" t="n">
        <v>1</v>
      </c>
      <c r="D1177" t="n">
        <v>0</v>
      </c>
      <c r="E1177" t="s">
        <v>1174</v>
      </c>
      <c r="F1177" t="s"/>
      <c r="G1177" t="s"/>
      <c r="H1177" t="s"/>
      <c r="I1177" t="s"/>
      <c r="J1177" t="n">
        <v>0.6114000000000001</v>
      </c>
      <c r="K1177" t="n">
        <v>0</v>
      </c>
      <c r="L1177" t="n">
        <v>0.375</v>
      </c>
      <c r="M1177" t="n">
        <v>0.625</v>
      </c>
    </row>
    <row r="1178" spans="1:13">
      <c r="A1178" s="1">
        <f>HYPERLINK("http://www.twitter.com/NathanBLawrence/status/994192596682633216", "994192596682633216")</f>
        <v/>
      </c>
      <c r="B1178" s="2" t="n">
        <v>43229.52037037037</v>
      </c>
      <c r="C1178" t="n">
        <v>0</v>
      </c>
      <c r="D1178" t="n">
        <v>1</v>
      </c>
      <c r="E1178" t="s">
        <v>1175</v>
      </c>
      <c r="F1178" t="s"/>
      <c r="G1178" t="s"/>
      <c r="H1178" t="s"/>
      <c r="I1178" t="s"/>
      <c r="J1178" t="n">
        <v>-0.8316</v>
      </c>
      <c r="K1178" t="n">
        <v>0.341</v>
      </c>
      <c r="L1178" t="n">
        <v>0.659</v>
      </c>
      <c r="M1178" t="n">
        <v>0</v>
      </c>
    </row>
    <row r="1179" spans="1:13">
      <c r="A1179" s="1">
        <f>HYPERLINK("http://www.twitter.com/NathanBLawrence/status/994192516533686277", "994192516533686277")</f>
        <v/>
      </c>
      <c r="B1179" s="2" t="n">
        <v>43229.52015046297</v>
      </c>
      <c r="C1179" t="n">
        <v>0</v>
      </c>
      <c r="D1179" t="n">
        <v>4</v>
      </c>
      <c r="E1179" t="s">
        <v>1176</v>
      </c>
      <c r="F1179" t="s"/>
      <c r="G1179" t="s"/>
      <c r="H1179" t="s"/>
      <c r="I1179" t="s"/>
      <c r="J1179" t="n">
        <v>-0.7269</v>
      </c>
      <c r="K1179" t="n">
        <v>0.301</v>
      </c>
      <c r="L1179" t="n">
        <v>0.602</v>
      </c>
      <c r="M1179" t="n">
        <v>0.097</v>
      </c>
    </row>
    <row r="1180" spans="1:13">
      <c r="A1180" s="1">
        <f>HYPERLINK("http://www.twitter.com/NathanBLawrence/status/994192347285147648", "994192347285147648")</f>
        <v/>
      </c>
      <c r="B1180" s="2" t="n">
        <v>43229.5196875</v>
      </c>
      <c r="C1180" t="n">
        <v>2</v>
      </c>
      <c r="D1180" t="n">
        <v>1</v>
      </c>
      <c r="E1180" t="s">
        <v>1177</v>
      </c>
      <c r="F1180" t="s"/>
      <c r="G1180" t="s"/>
      <c r="H1180" t="s"/>
      <c r="I1180" t="s"/>
      <c r="J1180" t="n">
        <v>-0.9360000000000001</v>
      </c>
      <c r="K1180" t="n">
        <v>0.282</v>
      </c>
      <c r="L1180" t="n">
        <v>0.718</v>
      </c>
      <c r="M1180" t="n">
        <v>0</v>
      </c>
    </row>
    <row r="1181" spans="1:13">
      <c r="A1181" s="1">
        <f>HYPERLINK("http://www.twitter.com/NathanBLawrence/status/994190768972722176", "994190768972722176")</f>
        <v/>
      </c>
      <c r="B1181" s="2" t="n">
        <v>43229.51533564815</v>
      </c>
      <c r="C1181" t="n">
        <v>0</v>
      </c>
      <c r="D1181" t="n">
        <v>30</v>
      </c>
      <c r="E1181" t="s">
        <v>1178</v>
      </c>
      <c r="F1181" t="s"/>
      <c r="G1181" t="s"/>
      <c r="H1181" t="s"/>
      <c r="I1181" t="s"/>
      <c r="J1181" t="n">
        <v>-0.5806</v>
      </c>
      <c r="K1181" t="n">
        <v>0.172</v>
      </c>
      <c r="L1181" t="n">
        <v>0.828</v>
      </c>
      <c r="M1181" t="n">
        <v>0</v>
      </c>
    </row>
    <row r="1182" spans="1:13">
      <c r="A1182" s="1">
        <f>HYPERLINK("http://www.twitter.com/NathanBLawrence/status/994190751390142466", "994190751390142466")</f>
        <v/>
      </c>
      <c r="B1182" s="2" t="n">
        <v>43229.51527777778</v>
      </c>
      <c r="C1182" t="n">
        <v>1</v>
      </c>
      <c r="D1182" t="n">
        <v>0</v>
      </c>
      <c r="E1182" t="s">
        <v>1179</v>
      </c>
      <c r="F1182">
        <f>HYPERLINK("http://pbs.twimg.com/media/DcwTN0bUQAEG5pj.jpg", "http://pbs.twimg.com/media/DcwTN0bUQAEG5pj.jpg")</f>
        <v/>
      </c>
      <c r="G1182" t="s"/>
      <c r="H1182" t="s"/>
      <c r="I1182" t="s"/>
      <c r="J1182" t="n">
        <v>-0.8299</v>
      </c>
      <c r="K1182" t="n">
        <v>0.374</v>
      </c>
      <c r="L1182" t="n">
        <v>0.626</v>
      </c>
      <c r="M1182" t="n">
        <v>0</v>
      </c>
    </row>
    <row r="1183" spans="1:13">
      <c r="A1183" s="1">
        <f>HYPERLINK("http://www.twitter.com/NathanBLawrence/status/994189113732542464", "994189113732542464")</f>
        <v/>
      </c>
      <c r="B1183" s="2" t="n">
        <v>43229.51076388889</v>
      </c>
      <c r="C1183" t="n">
        <v>1</v>
      </c>
      <c r="D1183" t="n">
        <v>0</v>
      </c>
      <c r="E1183" t="s">
        <v>1180</v>
      </c>
      <c r="F1183" t="s"/>
      <c r="G1183" t="s"/>
      <c r="H1183" t="s"/>
      <c r="I1183" t="s"/>
      <c r="J1183" t="n">
        <v>0.4019</v>
      </c>
      <c r="K1183" t="n">
        <v>0</v>
      </c>
      <c r="L1183" t="n">
        <v>0.27</v>
      </c>
      <c r="M1183" t="n">
        <v>0.73</v>
      </c>
    </row>
    <row r="1184" spans="1:13">
      <c r="A1184" s="1">
        <f>HYPERLINK("http://www.twitter.com/NathanBLawrence/status/994188931758477312", "994188931758477312")</f>
        <v/>
      </c>
      <c r="B1184" s="2" t="n">
        <v>43229.5102662037</v>
      </c>
      <c r="C1184" t="n">
        <v>5</v>
      </c>
      <c r="D1184" t="n">
        <v>3</v>
      </c>
      <c r="E1184" t="s">
        <v>1181</v>
      </c>
      <c r="F1184" t="s"/>
      <c r="G1184" t="s"/>
      <c r="H1184" t="s"/>
      <c r="I1184" t="s"/>
      <c r="J1184" t="n">
        <v>-0.6641</v>
      </c>
      <c r="K1184" t="n">
        <v>0.155</v>
      </c>
      <c r="L1184" t="n">
        <v>0.783</v>
      </c>
      <c r="M1184" t="n">
        <v>0.061</v>
      </c>
    </row>
    <row r="1185" spans="1:13">
      <c r="A1185" s="1">
        <f>HYPERLINK("http://www.twitter.com/NathanBLawrence/status/994188534654341121", "994188534654341121")</f>
        <v/>
      </c>
      <c r="B1185" s="2" t="n">
        <v>43229.50916666666</v>
      </c>
      <c r="C1185" t="n">
        <v>0</v>
      </c>
      <c r="D1185" t="n">
        <v>0</v>
      </c>
      <c r="E1185" t="s">
        <v>1182</v>
      </c>
      <c r="F1185" t="s"/>
      <c r="G1185" t="s"/>
      <c r="H1185" t="s"/>
      <c r="I1185" t="s"/>
      <c r="J1185" t="n">
        <v>-0.6758999999999999</v>
      </c>
      <c r="K1185" t="n">
        <v>0.145</v>
      </c>
      <c r="L1185" t="n">
        <v>0.798</v>
      </c>
      <c r="M1185" t="n">
        <v>0.056</v>
      </c>
    </row>
    <row r="1186" spans="1:13">
      <c r="A1186" s="1">
        <f>HYPERLINK("http://www.twitter.com/NathanBLawrence/status/994187012537241601", "994187012537241601")</f>
        <v/>
      </c>
      <c r="B1186" s="2" t="n">
        <v>43229.50496527777</v>
      </c>
      <c r="C1186" t="n">
        <v>2</v>
      </c>
      <c r="D1186" t="n">
        <v>0</v>
      </c>
      <c r="E1186" t="s">
        <v>1183</v>
      </c>
      <c r="F1186" t="s"/>
      <c r="G1186" t="s"/>
      <c r="H1186" t="s"/>
      <c r="I1186" t="s"/>
      <c r="J1186" t="n">
        <v>-0.6046</v>
      </c>
      <c r="K1186" t="n">
        <v>0.077</v>
      </c>
      <c r="L1186" t="n">
        <v>0.923</v>
      </c>
      <c r="M1186" t="n">
        <v>0</v>
      </c>
    </row>
    <row r="1187" spans="1:13">
      <c r="A1187" s="1">
        <f>HYPERLINK("http://www.twitter.com/NathanBLawrence/status/994183476730650624", "994183476730650624")</f>
        <v/>
      </c>
      <c r="B1187" s="2" t="n">
        <v>43229.49520833333</v>
      </c>
      <c r="C1187" t="n">
        <v>1</v>
      </c>
      <c r="D1187" t="n">
        <v>0</v>
      </c>
      <c r="E1187" t="s">
        <v>1184</v>
      </c>
      <c r="F1187" t="s"/>
      <c r="G1187" t="s"/>
      <c r="H1187" t="s"/>
      <c r="I1187" t="s"/>
      <c r="J1187" t="n">
        <v>-0.3939</v>
      </c>
      <c r="K1187" t="n">
        <v>0.13</v>
      </c>
      <c r="L1187" t="n">
        <v>0.8100000000000001</v>
      </c>
      <c r="M1187" t="n">
        <v>0.06</v>
      </c>
    </row>
    <row r="1188" spans="1:13">
      <c r="A1188" s="1">
        <f>HYPERLINK("http://www.twitter.com/NathanBLawrence/status/994182397980758016", "994182397980758016")</f>
        <v/>
      </c>
      <c r="B1188" s="2" t="n">
        <v>43229.4922337963</v>
      </c>
      <c r="C1188" t="n">
        <v>1</v>
      </c>
      <c r="D1188" t="n">
        <v>0</v>
      </c>
      <c r="E1188" t="s">
        <v>1185</v>
      </c>
      <c r="F1188" t="s"/>
      <c r="G1188" t="s"/>
      <c r="H1188" t="s"/>
      <c r="I1188" t="s"/>
      <c r="J1188" t="n">
        <v>0.3925</v>
      </c>
      <c r="K1188" t="n">
        <v>0.042</v>
      </c>
      <c r="L1188" t="n">
        <v>0.885</v>
      </c>
      <c r="M1188" t="n">
        <v>0.073</v>
      </c>
    </row>
    <row r="1189" spans="1:13">
      <c r="A1189" s="1">
        <f>HYPERLINK("http://www.twitter.com/NathanBLawrence/status/994181287752675328", "994181287752675328")</f>
        <v/>
      </c>
      <c r="B1189" s="2" t="n">
        <v>43229.48916666667</v>
      </c>
      <c r="C1189" t="n">
        <v>0</v>
      </c>
      <c r="D1189" t="n">
        <v>15</v>
      </c>
      <c r="E1189" t="s">
        <v>1186</v>
      </c>
      <c r="F1189" t="s"/>
      <c r="G1189" t="s"/>
      <c r="H1189" t="s"/>
      <c r="I1189" t="s"/>
      <c r="J1189" t="n">
        <v>0</v>
      </c>
      <c r="K1189" t="n">
        <v>0</v>
      </c>
      <c r="L1189" t="n">
        <v>1</v>
      </c>
      <c r="M1189" t="n">
        <v>0</v>
      </c>
    </row>
    <row r="1190" spans="1:13">
      <c r="A1190" s="1">
        <f>HYPERLINK("http://www.twitter.com/NathanBLawrence/status/994070927796264961", "994070927796264961")</f>
        <v/>
      </c>
      <c r="B1190" s="2" t="n">
        <v>43229.18462962963</v>
      </c>
      <c r="C1190" t="n">
        <v>0</v>
      </c>
      <c r="D1190" t="n">
        <v>2</v>
      </c>
      <c r="E1190" t="s">
        <v>1187</v>
      </c>
      <c r="F1190" t="s"/>
      <c r="G1190" t="s"/>
      <c r="H1190" t="s"/>
      <c r="I1190" t="s"/>
      <c r="J1190" t="n">
        <v>-0.1531</v>
      </c>
      <c r="K1190" t="n">
        <v>0.158</v>
      </c>
      <c r="L1190" t="n">
        <v>0.714</v>
      </c>
      <c r="M1190" t="n">
        <v>0.128</v>
      </c>
    </row>
    <row r="1191" spans="1:13">
      <c r="A1191" s="1">
        <f>HYPERLINK("http://www.twitter.com/NathanBLawrence/status/994070860028882946", "994070860028882946")</f>
        <v/>
      </c>
      <c r="B1191" s="2" t="n">
        <v>43229.18444444444</v>
      </c>
      <c r="C1191" t="n">
        <v>0</v>
      </c>
      <c r="D1191" t="n">
        <v>1</v>
      </c>
      <c r="E1191" t="s">
        <v>1188</v>
      </c>
      <c r="F1191" t="s"/>
      <c r="G1191" t="s"/>
      <c r="H1191" t="s"/>
      <c r="I1191" t="s"/>
      <c r="J1191" t="n">
        <v>-0.3736</v>
      </c>
      <c r="K1191" t="n">
        <v>0.155</v>
      </c>
      <c r="L1191" t="n">
        <v>0.845</v>
      </c>
      <c r="M1191" t="n">
        <v>0</v>
      </c>
    </row>
    <row r="1192" spans="1:13">
      <c r="A1192" s="1">
        <f>HYPERLINK("http://www.twitter.com/NathanBLawrence/status/994066993966968832", "994066993966968832")</f>
        <v/>
      </c>
      <c r="B1192" s="2" t="n">
        <v>43229.17377314815</v>
      </c>
      <c r="C1192" t="n">
        <v>0</v>
      </c>
      <c r="D1192" t="n">
        <v>8</v>
      </c>
      <c r="E1192" t="s">
        <v>1189</v>
      </c>
      <c r="F1192" t="s"/>
      <c r="G1192" t="s"/>
      <c r="H1192" t="s"/>
      <c r="I1192" t="s"/>
      <c r="J1192" t="n">
        <v>-0.296</v>
      </c>
      <c r="K1192" t="n">
        <v>0.095</v>
      </c>
      <c r="L1192" t="n">
        <v>0.905</v>
      </c>
      <c r="M1192" t="n">
        <v>0</v>
      </c>
    </row>
    <row r="1193" spans="1:13">
      <c r="A1193" s="1">
        <f>HYPERLINK("http://www.twitter.com/NathanBLawrence/status/994065903607312385", "994065903607312385")</f>
        <v/>
      </c>
      <c r="B1193" s="2" t="n">
        <v>43229.17076388889</v>
      </c>
      <c r="C1193" t="n">
        <v>3</v>
      </c>
      <c r="D1193" t="n">
        <v>1</v>
      </c>
      <c r="E1193" t="s">
        <v>1190</v>
      </c>
      <c r="F1193" t="s"/>
      <c r="G1193" t="s"/>
      <c r="H1193" t="s"/>
      <c r="I1193" t="s"/>
      <c r="J1193" t="n">
        <v>-0.3736</v>
      </c>
      <c r="K1193" t="n">
        <v>0.176</v>
      </c>
      <c r="L1193" t="n">
        <v>0.824</v>
      </c>
      <c r="M1193" t="n">
        <v>0</v>
      </c>
    </row>
    <row r="1194" spans="1:13">
      <c r="A1194" s="1">
        <f>HYPERLINK("http://www.twitter.com/NathanBLawrence/status/994047219547496449", "994047219547496449")</f>
        <v/>
      </c>
      <c r="B1194" s="2" t="n">
        <v>43229.11921296296</v>
      </c>
      <c r="C1194" t="n">
        <v>2</v>
      </c>
      <c r="D1194" t="n">
        <v>0</v>
      </c>
      <c r="E1194" t="s">
        <v>1191</v>
      </c>
      <c r="F1194">
        <f>HYPERLINK("http://pbs.twimg.com/media/DcuQrJeV4AEYqJx.jpg", "http://pbs.twimg.com/media/DcuQrJeV4AEYqJx.jpg")</f>
        <v/>
      </c>
      <c r="G1194" t="s"/>
      <c r="H1194" t="s"/>
      <c r="I1194" t="s"/>
      <c r="J1194" t="n">
        <v>0</v>
      </c>
      <c r="K1194" t="n">
        <v>0</v>
      </c>
      <c r="L1194" t="n">
        <v>1</v>
      </c>
      <c r="M1194" t="n">
        <v>0</v>
      </c>
    </row>
    <row r="1195" spans="1:13">
      <c r="A1195" s="1">
        <f>HYPERLINK("http://www.twitter.com/NathanBLawrence/status/994046927523151873", "994046927523151873")</f>
        <v/>
      </c>
      <c r="B1195" s="2" t="n">
        <v>43229.11840277778</v>
      </c>
      <c r="C1195" t="n">
        <v>0</v>
      </c>
      <c r="D1195" t="n">
        <v>4</v>
      </c>
      <c r="E1195" t="s">
        <v>1192</v>
      </c>
      <c r="F1195" t="s"/>
      <c r="G1195" t="s"/>
      <c r="H1195" t="s"/>
      <c r="I1195" t="s"/>
      <c r="J1195" t="n">
        <v>0</v>
      </c>
      <c r="K1195" t="n">
        <v>0</v>
      </c>
      <c r="L1195" t="n">
        <v>1</v>
      </c>
      <c r="M1195" t="n">
        <v>0</v>
      </c>
    </row>
    <row r="1196" spans="1:13">
      <c r="A1196" s="1">
        <f>HYPERLINK("http://www.twitter.com/NathanBLawrence/status/994046901057130496", "994046901057130496")</f>
        <v/>
      </c>
      <c r="B1196" s="2" t="n">
        <v>43229.11833333333</v>
      </c>
      <c r="C1196" t="n">
        <v>0</v>
      </c>
      <c r="D1196" t="n">
        <v>2</v>
      </c>
      <c r="E1196" t="s">
        <v>1193</v>
      </c>
      <c r="F1196" t="s"/>
      <c r="G1196" t="s"/>
      <c r="H1196" t="s"/>
      <c r="I1196" t="s"/>
      <c r="J1196" t="n">
        <v>0.2732</v>
      </c>
      <c r="K1196" t="n">
        <v>0</v>
      </c>
      <c r="L1196" t="n">
        <v>0.792</v>
      </c>
      <c r="M1196" t="n">
        <v>0.208</v>
      </c>
    </row>
    <row r="1197" spans="1:13">
      <c r="A1197" s="1">
        <f>HYPERLINK("http://www.twitter.com/NathanBLawrence/status/994046721809420290", "994046721809420290")</f>
        <v/>
      </c>
      <c r="B1197" s="2" t="n">
        <v>43229.11783564815</v>
      </c>
      <c r="C1197" t="n">
        <v>0</v>
      </c>
      <c r="D1197" t="n">
        <v>6</v>
      </c>
      <c r="E1197" t="s">
        <v>1194</v>
      </c>
      <c r="F1197">
        <f>HYPERLINK("https://video.twimg.com/ext_tw_video/994040219203788805/pu/vid/1280x720/UFCMUMxsNqofFnYb.mp4?tag=3", "https://video.twimg.com/ext_tw_video/994040219203788805/pu/vid/1280x720/UFCMUMxsNqofFnYb.mp4?tag=3")</f>
        <v/>
      </c>
      <c r="G1197" t="s"/>
      <c r="H1197" t="s"/>
      <c r="I1197" t="s"/>
      <c r="J1197" t="n">
        <v>0</v>
      </c>
      <c r="K1197" t="n">
        <v>0</v>
      </c>
      <c r="L1197" t="n">
        <v>1</v>
      </c>
      <c r="M1197" t="n">
        <v>0</v>
      </c>
    </row>
    <row r="1198" spans="1:13">
      <c r="A1198" s="1">
        <f>HYPERLINK("http://www.twitter.com/NathanBLawrence/status/994046678792589312", "994046678792589312")</f>
        <v/>
      </c>
      <c r="B1198" s="2" t="n">
        <v>43229.11771990741</v>
      </c>
      <c r="C1198" t="n">
        <v>1</v>
      </c>
      <c r="D1198" t="n">
        <v>0</v>
      </c>
      <c r="E1198" t="s">
        <v>1195</v>
      </c>
      <c r="F1198" t="s"/>
      <c r="G1198" t="s"/>
      <c r="H1198" t="s"/>
      <c r="I1198" t="s"/>
      <c r="J1198" t="n">
        <v>-0.6486</v>
      </c>
      <c r="K1198" t="n">
        <v>0.35</v>
      </c>
      <c r="L1198" t="n">
        <v>0.65</v>
      </c>
      <c r="M1198" t="n">
        <v>0</v>
      </c>
    </row>
    <row r="1199" spans="1:13">
      <c r="A1199" s="1">
        <f>HYPERLINK("http://www.twitter.com/NathanBLawrence/status/994036135524433921", "994036135524433921")</f>
        <v/>
      </c>
      <c r="B1199" s="2" t="n">
        <v>43229.08862268519</v>
      </c>
      <c r="C1199" t="n">
        <v>4</v>
      </c>
      <c r="D1199" t="n">
        <v>1</v>
      </c>
      <c r="E1199" t="s">
        <v>1196</v>
      </c>
      <c r="F1199">
        <f>HYPERLINK("http://pbs.twimg.com/media/DcuGlqIUQAEQODl.jpg", "http://pbs.twimg.com/media/DcuGlqIUQAEQODl.jpg")</f>
        <v/>
      </c>
      <c r="G1199" t="s"/>
      <c r="H1199" t="s"/>
      <c r="I1199" t="s"/>
      <c r="J1199" t="n">
        <v>0.9419</v>
      </c>
      <c r="K1199" t="n">
        <v>0</v>
      </c>
      <c r="L1199" t="n">
        <v>0.694</v>
      </c>
      <c r="M1199" t="n">
        <v>0.306</v>
      </c>
    </row>
    <row r="1200" spans="1:13">
      <c r="A1200" s="1">
        <f>HYPERLINK("http://www.twitter.com/NathanBLawrence/status/994032809063927808", "994032809063927808")</f>
        <v/>
      </c>
      <c r="B1200" s="2" t="n">
        <v>43229.07944444445</v>
      </c>
      <c r="C1200" t="n">
        <v>1</v>
      </c>
      <c r="D1200" t="n">
        <v>0</v>
      </c>
      <c r="E1200" t="s">
        <v>1197</v>
      </c>
      <c r="F1200">
        <f>HYPERLINK("http://pbs.twimg.com/media/DcuDkXmVMAAs9mr.jpg", "http://pbs.twimg.com/media/DcuDkXmVMAAs9mr.jpg")</f>
        <v/>
      </c>
      <c r="G1200" t="s"/>
      <c r="H1200" t="s"/>
      <c r="I1200" t="s"/>
      <c r="J1200" t="n">
        <v>-0.1531</v>
      </c>
      <c r="K1200" t="n">
        <v>0.116</v>
      </c>
      <c r="L1200" t="n">
        <v>0.806</v>
      </c>
      <c r="M1200" t="n">
        <v>0.078</v>
      </c>
    </row>
    <row r="1201" spans="1:13">
      <c r="A1201" s="1">
        <f>HYPERLINK("http://www.twitter.com/NathanBLawrence/status/994032009893875712", "994032009893875712")</f>
        <v/>
      </c>
      <c r="B1201" s="2" t="n">
        <v>43229.07724537037</v>
      </c>
      <c r="C1201" t="n">
        <v>0</v>
      </c>
      <c r="D1201" t="n">
        <v>7</v>
      </c>
      <c r="E1201" t="s">
        <v>1198</v>
      </c>
      <c r="F1201" t="s"/>
      <c r="G1201" t="s"/>
      <c r="H1201" t="s"/>
      <c r="I1201" t="s"/>
      <c r="J1201" t="n">
        <v>0</v>
      </c>
      <c r="K1201" t="n">
        <v>0.093</v>
      </c>
      <c r="L1201" t="n">
        <v>0.8139999999999999</v>
      </c>
      <c r="M1201" t="n">
        <v>0.093</v>
      </c>
    </row>
    <row r="1202" spans="1:13">
      <c r="A1202" s="1">
        <f>HYPERLINK("http://www.twitter.com/NathanBLawrence/status/994031863902670850", "994031863902670850")</f>
        <v/>
      </c>
      <c r="B1202" s="2" t="n">
        <v>43229.07684027778</v>
      </c>
      <c r="C1202" t="n">
        <v>3</v>
      </c>
      <c r="D1202" t="n">
        <v>0</v>
      </c>
      <c r="E1202" t="s">
        <v>1199</v>
      </c>
      <c r="F1202" t="s"/>
      <c r="G1202" t="s"/>
      <c r="H1202" t="s"/>
      <c r="I1202" t="s"/>
      <c r="J1202" t="n">
        <v>0</v>
      </c>
      <c r="K1202" t="n">
        <v>0</v>
      </c>
      <c r="L1202" t="n">
        <v>1</v>
      </c>
      <c r="M1202" t="n">
        <v>0</v>
      </c>
    </row>
    <row r="1203" spans="1:13">
      <c r="A1203" s="1">
        <f>HYPERLINK("http://www.twitter.com/NathanBLawrence/status/994031421906980864", "994031421906980864")</f>
        <v/>
      </c>
      <c r="B1203" s="2" t="n">
        <v>43229.07561342593</v>
      </c>
      <c r="C1203" t="n">
        <v>3</v>
      </c>
      <c r="D1203" t="n">
        <v>0</v>
      </c>
      <c r="E1203" t="s">
        <v>1200</v>
      </c>
      <c r="F1203" t="s"/>
      <c r="G1203" t="s"/>
      <c r="H1203" t="s"/>
      <c r="I1203" t="s"/>
      <c r="J1203" t="n">
        <v>-0.8796</v>
      </c>
      <c r="K1203" t="n">
        <v>0.186</v>
      </c>
      <c r="L1203" t="n">
        <v>0.8139999999999999</v>
      </c>
      <c r="M1203" t="n">
        <v>0</v>
      </c>
    </row>
    <row r="1204" spans="1:13">
      <c r="A1204" s="1">
        <f>HYPERLINK("http://www.twitter.com/NathanBLawrence/status/994030661295116288", "994030661295116288")</f>
        <v/>
      </c>
      <c r="B1204" s="2" t="n">
        <v>43229.07351851852</v>
      </c>
      <c r="C1204" t="n">
        <v>2</v>
      </c>
      <c r="D1204" t="n">
        <v>0</v>
      </c>
      <c r="E1204" t="s">
        <v>1201</v>
      </c>
      <c r="F1204" t="s"/>
      <c r="G1204" t="s"/>
      <c r="H1204" t="s"/>
      <c r="I1204" t="s"/>
      <c r="J1204" t="n">
        <v>0</v>
      </c>
      <c r="K1204" t="n">
        <v>0</v>
      </c>
      <c r="L1204" t="n">
        <v>1</v>
      </c>
      <c r="M1204" t="n">
        <v>0</v>
      </c>
    </row>
    <row r="1205" spans="1:13">
      <c r="A1205" s="1">
        <f>HYPERLINK("http://www.twitter.com/NathanBLawrence/status/994030177582829568", "994030177582829568")</f>
        <v/>
      </c>
      <c r="B1205" s="2" t="n">
        <v>43229.0721875</v>
      </c>
      <c r="C1205" t="n">
        <v>0</v>
      </c>
      <c r="D1205" t="n">
        <v>0</v>
      </c>
      <c r="E1205" t="s">
        <v>1202</v>
      </c>
      <c r="F1205" t="s"/>
      <c r="G1205" t="s"/>
      <c r="H1205" t="s"/>
      <c r="I1205" t="s"/>
      <c r="J1205" t="n">
        <v>0</v>
      </c>
      <c r="K1205" t="n">
        <v>0</v>
      </c>
      <c r="L1205" t="n">
        <v>1</v>
      </c>
      <c r="M1205" t="n">
        <v>0</v>
      </c>
    </row>
    <row r="1206" spans="1:13">
      <c r="A1206" s="1">
        <f>HYPERLINK("http://www.twitter.com/NathanBLawrence/status/994029709024485379", "994029709024485379")</f>
        <v/>
      </c>
      <c r="B1206" s="2" t="n">
        <v>43229.0708912037</v>
      </c>
      <c r="C1206" t="n">
        <v>2</v>
      </c>
      <c r="D1206" t="n">
        <v>0</v>
      </c>
      <c r="E1206" t="s">
        <v>1203</v>
      </c>
      <c r="F1206">
        <f>HYPERLINK("http://pbs.twimg.com/media/DcuAvocVMAE7upj.jpg", "http://pbs.twimg.com/media/DcuAvocVMAE7upj.jpg")</f>
        <v/>
      </c>
      <c r="G1206" t="s"/>
      <c r="H1206" t="s"/>
      <c r="I1206" t="s"/>
      <c r="J1206" t="n">
        <v>-0.5994</v>
      </c>
      <c r="K1206" t="n">
        <v>0.12</v>
      </c>
      <c r="L1206" t="n">
        <v>0.88</v>
      </c>
      <c r="M1206" t="n">
        <v>0</v>
      </c>
    </row>
    <row r="1207" spans="1:13">
      <c r="A1207" s="1">
        <f>HYPERLINK("http://www.twitter.com/NathanBLawrence/status/994027572391481350", "994027572391481350")</f>
        <v/>
      </c>
      <c r="B1207" s="2" t="n">
        <v>43229.065</v>
      </c>
      <c r="C1207" t="n">
        <v>0</v>
      </c>
      <c r="D1207" t="n">
        <v>1</v>
      </c>
      <c r="E1207" t="s">
        <v>1204</v>
      </c>
      <c r="F1207" t="s"/>
      <c r="G1207" t="s"/>
      <c r="H1207" t="s"/>
      <c r="I1207" t="s"/>
      <c r="J1207" t="n">
        <v>0.2023</v>
      </c>
      <c r="K1207" t="n">
        <v>0.105</v>
      </c>
      <c r="L1207" t="n">
        <v>0.756</v>
      </c>
      <c r="M1207" t="n">
        <v>0.139</v>
      </c>
    </row>
    <row r="1208" spans="1:13">
      <c r="A1208" s="1">
        <f>HYPERLINK("http://www.twitter.com/NathanBLawrence/status/994027501549694976", "994027501549694976")</f>
        <v/>
      </c>
      <c r="B1208" s="2" t="n">
        <v>43229.06480324074</v>
      </c>
      <c r="C1208" t="n">
        <v>0</v>
      </c>
      <c r="D1208" t="n">
        <v>1</v>
      </c>
      <c r="E1208" t="s">
        <v>1205</v>
      </c>
      <c r="F1208" t="s"/>
      <c r="G1208" t="s"/>
      <c r="H1208" t="s"/>
      <c r="I1208" t="s"/>
      <c r="J1208" t="n">
        <v>0.296</v>
      </c>
      <c r="K1208" t="n">
        <v>0</v>
      </c>
      <c r="L1208" t="n">
        <v>0.896</v>
      </c>
      <c r="M1208" t="n">
        <v>0.104</v>
      </c>
    </row>
    <row r="1209" spans="1:13">
      <c r="A1209" s="1">
        <f>HYPERLINK("http://www.twitter.com/NathanBLawrence/status/994024590786678785", "994024590786678785")</f>
        <v/>
      </c>
      <c r="B1209" s="2" t="n">
        <v>43229.05677083333</v>
      </c>
      <c r="C1209" t="n">
        <v>0</v>
      </c>
      <c r="D1209" t="n">
        <v>0</v>
      </c>
      <c r="E1209" t="s">
        <v>1206</v>
      </c>
      <c r="F1209" t="s"/>
      <c r="G1209" t="s"/>
      <c r="H1209" t="s"/>
      <c r="I1209" t="s"/>
      <c r="J1209" t="n">
        <v>-0.6597</v>
      </c>
      <c r="K1209" t="n">
        <v>0.116</v>
      </c>
      <c r="L1209" t="n">
        <v>0.884</v>
      </c>
      <c r="M1209" t="n">
        <v>0</v>
      </c>
    </row>
    <row r="1210" spans="1:13">
      <c r="A1210" s="1">
        <f>HYPERLINK("http://www.twitter.com/NathanBLawrence/status/994023843550416899", "994023843550416899")</f>
        <v/>
      </c>
      <c r="B1210" s="2" t="n">
        <v>43229.05471064815</v>
      </c>
      <c r="C1210" t="n">
        <v>0</v>
      </c>
      <c r="D1210" t="n">
        <v>2</v>
      </c>
      <c r="E1210" t="s">
        <v>1207</v>
      </c>
      <c r="F1210" t="s"/>
      <c r="G1210" t="s"/>
      <c r="H1210" t="s"/>
      <c r="I1210" t="s"/>
      <c r="J1210" t="n">
        <v>-0.4588</v>
      </c>
      <c r="K1210" t="n">
        <v>0.125</v>
      </c>
      <c r="L1210" t="n">
        <v>0.875</v>
      </c>
      <c r="M1210" t="n">
        <v>0</v>
      </c>
    </row>
    <row r="1211" spans="1:13">
      <c r="A1211" s="1">
        <f>HYPERLINK("http://www.twitter.com/NathanBLawrence/status/994023412027871232", "994023412027871232")</f>
        <v/>
      </c>
      <c r="B1211" s="2" t="n">
        <v>43229.05351851852</v>
      </c>
      <c r="C1211" t="n">
        <v>0</v>
      </c>
      <c r="D1211" t="n">
        <v>2</v>
      </c>
      <c r="E1211" t="s">
        <v>1208</v>
      </c>
      <c r="F1211" t="s"/>
      <c r="G1211" t="s"/>
      <c r="H1211" t="s"/>
      <c r="I1211" t="s"/>
      <c r="J1211" t="n">
        <v>-0.7035</v>
      </c>
      <c r="K1211" t="n">
        <v>0.292</v>
      </c>
      <c r="L1211" t="n">
        <v>0.632</v>
      </c>
      <c r="M1211" t="n">
        <v>0.076</v>
      </c>
    </row>
    <row r="1212" spans="1:13">
      <c r="A1212" s="1">
        <f>HYPERLINK("http://www.twitter.com/NathanBLawrence/status/994019324431126528", "994019324431126528")</f>
        <v/>
      </c>
      <c r="B1212" s="2" t="n">
        <v>43229.0422337963</v>
      </c>
      <c r="C1212" t="n">
        <v>1</v>
      </c>
      <c r="D1212" t="n">
        <v>1</v>
      </c>
      <c r="E1212" t="s">
        <v>1209</v>
      </c>
      <c r="F1212" t="s"/>
      <c r="G1212" t="s"/>
      <c r="H1212" t="s"/>
      <c r="I1212" t="s"/>
      <c r="J1212" t="n">
        <v>0.2023</v>
      </c>
      <c r="K1212" t="n">
        <v>0.053</v>
      </c>
      <c r="L1212" t="n">
        <v>0.876</v>
      </c>
      <c r="M1212" t="n">
        <v>0.07099999999999999</v>
      </c>
    </row>
    <row r="1213" spans="1:13">
      <c r="A1213" s="1">
        <f>HYPERLINK("http://www.twitter.com/NathanBLawrence/status/994017454643994628", "994017454643994628")</f>
        <v/>
      </c>
      <c r="B1213" s="2" t="n">
        <v>43229.03707175926</v>
      </c>
      <c r="C1213" t="n">
        <v>2</v>
      </c>
      <c r="D1213" t="n">
        <v>1</v>
      </c>
      <c r="E1213" t="s">
        <v>1210</v>
      </c>
      <c r="F1213" t="s"/>
      <c r="G1213" t="s"/>
      <c r="H1213" t="s"/>
      <c r="I1213" t="s"/>
      <c r="J1213" t="n">
        <v>0.0258</v>
      </c>
      <c r="K1213" t="n">
        <v>0.065</v>
      </c>
      <c r="L1213" t="n">
        <v>0.867</v>
      </c>
      <c r="M1213" t="n">
        <v>0.068</v>
      </c>
    </row>
    <row r="1214" spans="1:13">
      <c r="A1214" s="1">
        <f>HYPERLINK("http://www.twitter.com/NathanBLawrence/status/994016417375752192", "994016417375752192")</f>
        <v/>
      </c>
      <c r="B1214" s="2" t="n">
        <v>43229.03421296296</v>
      </c>
      <c r="C1214" t="n">
        <v>0</v>
      </c>
      <c r="D1214" t="n">
        <v>0</v>
      </c>
      <c r="E1214" t="s">
        <v>1211</v>
      </c>
      <c r="F1214" t="s"/>
      <c r="G1214" t="s"/>
      <c r="H1214" t="s"/>
      <c r="I1214" t="s"/>
      <c r="J1214" t="n">
        <v>-0.5367</v>
      </c>
      <c r="K1214" t="n">
        <v>0.126</v>
      </c>
      <c r="L1214" t="n">
        <v>0.825</v>
      </c>
      <c r="M1214" t="n">
        <v>0.049</v>
      </c>
    </row>
    <row r="1215" spans="1:13">
      <c r="A1215" s="1">
        <f>HYPERLINK("http://www.twitter.com/NathanBLawrence/status/994012412931166209", "994012412931166209")</f>
        <v/>
      </c>
      <c r="B1215" s="2" t="n">
        <v>43229.02315972222</v>
      </c>
      <c r="C1215" t="n">
        <v>2</v>
      </c>
      <c r="D1215" t="n">
        <v>2</v>
      </c>
      <c r="E1215" t="s">
        <v>1212</v>
      </c>
      <c r="F1215" t="s"/>
      <c r="G1215" t="s"/>
      <c r="H1215" t="s"/>
      <c r="I1215" t="s"/>
      <c r="J1215" t="n">
        <v>-0.7284</v>
      </c>
      <c r="K1215" t="n">
        <v>0.239</v>
      </c>
      <c r="L1215" t="n">
        <v>0.66</v>
      </c>
      <c r="M1215" t="n">
        <v>0.101</v>
      </c>
    </row>
    <row r="1216" spans="1:13">
      <c r="A1216" s="1">
        <f>HYPERLINK("http://www.twitter.com/NathanBLawrence/status/994007904763117568", "994007904763117568")</f>
        <v/>
      </c>
      <c r="B1216" s="2" t="n">
        <v>43229.0107175926</v>
      </c>
      <c r="C1216" t="n">
        <v>0</v>
      </c>
      <c r="D1216" t="n">
        <v>1</v>
      </c>
      <c r="E1216" t="s">
        <v>1213</v>
      </c>
      <c r="F1216" t="s"/>
      <c r="G1216" t="s"/>
      <c r="H1216" t="s"/>
      <c r="I1216" t="s"/>
      <c r="J1216" t="n">
        <v>0</v>
      </c>
      <c r="K1216" t="n">
        <v>0</v>
      </c>
      <c r="L1216" t="n">
        <v>1</v>
      </c>
      <c r="M1216" t="n">
        <v>0</v>
      </c>
    </row>
    <row r="1217" spans="1:13">
      <c r="A1217" s="1">
        <f>HYPERLINK("http://www.twitter.com/NathanBLawrence/status/994005952419500033", "994005952419500033")</f>
        <v/>
      </c>
      <c r="B1217" s="2" t="n">
        <v>43229.00533564815</v>
      </c>
      <c r="C1217" t="n">
        <v>1</v>
      </c>
      <c r="D1217" t="n">
        <v>1</v>
      </c>
      <c r="E1217" t="s">
        <v>1214</v>
      </c>
      <c r="F1217">
        <f>HYPERLINK("http://pbs.twimg.com/media/DctrJHyV0AA4EQF.jpg", "http://pbs.twimg.com/media/DctrJHyV0AA4EQF.jpg")</f>
        <v/>
      </c>
      <c r="G1217" t="s"/>
      <c r="H1217" t="s"/>
      <c r="I1217" t="s"/>
      <c r="J1217" t="n">
        <v>0.3818</v>
      </c>
      <c r="K1217" t="n">
        <v>0</v>
      </c>
      <c r="L1217" t="n">
        <v>0.833</v>
      </c>
      <c r="M1217" t="n">
        <v>0.167</v>
      </c>
    </row>
    <row r="1218" spans="1:13">
      <c r="A1218" s="1">
        <f>HYPERLINK("http://www.twitter.com/NathanBLawrence/status/994005033921499136", "994005033921499136")</f>
        <v/>
      </c>
      <c r="B1218" s="2" t="n">
        <v>43229.00280092593</v>
      </c>
      <c r="C1218" t="n">
        <v>0</v>
      </c>
      <c r="D1218" t="n">
        <v>3</v>
      </c>
      <c r="E1218" t="s">
        <v>1215</v>
      </c>
      <c r="F1218" t="s"/>
      <c r="G1218" t="s"/>
      <c r="H1218" t="s"/>
      <c r="I1218" t="s"/>
      <c r="J1218" t="n">
        <v>0.4019</v>
      </c>
      <c r="K1218" t="n">
        <v>0</v>
      </c>
      <c r="L1218" t="n">
        <v>0.769</v>
      </c>
      <c r="M1218" t="n">
        <v>0.231</v>
      </c>
    </row>
    <row r="1219" spans="1:13">
      <c r="A1219" s="1">
        <f>HYPERLINK("http://www.twitter.com/NathanBLawrence/status/994004204837629959", "994004204837629959")</f>
        <v/>
      </c>
      <c r="B1219" s="2" t="n">
        <v>43229.00050925926</v>
      </c>
      <c r="C1219" t="n">
        <v>0</v>
      </c>
      <c r="D1219" t="n">
        <v>3</v>
      </c>
      <c r="E1219" t="s">
        <v>1216</v>
      </c>
      <c r="F1219" t="s"/>
      <c r="G1219" t="s"/>
      <c r="H1219" t="s"/>
      <c r="I1219" t="s"/>
      <c r="J1219" t="n">
        <v>-0.7269</v>
      </c>
      <c r="K1219" t="n">
        <v>0.319</v>
      </c>
      <c r="L1219" t="n">
        <v>0.681</v>
      </c>
      <c r="M1219" t="n">
        <v>0</v>
      </c>
    </row>
    <row r="1220" spans="1:13">
      <c r="A1220" s="1">
        <f>HYPERLINK("http://www.twitter.com/NathanBLawrence/status/994002531591344128", "994002531591344128")</f>
        <v/>
      </c>
      <c r="B1220" s="2" t="n">
        <v>43228.9958912037</v>
      </c>
      <c r="C1220" t="n">
        <v>1</v>
      </c>
      <c r="D1220" t="n">
        <v>1</v>
      </c>
      <c r="E1220" t="s">
        <v>1217</v>
      </c>
      <c r="F1220">
        <f>HYPERLINK("http://pbs.twimg.com/media/DctoB6fVQAASkI0.jpg", "http://pbs.twimg.com/media/DctoB6fVQAASkI0.jpg")</f>
        <v/>
      </c>
      <c r="G1220" t="s"/>
      <c r="H1220" t="s"/>
      <c r="I1220" t="s"/>
      <c r="J1220" t="n">
        <v>0</v>
      </c>
      <c r="K1220" t="n">
        <v>0</v>
      </c>
      <c r="L1220" t="n">
        <v>1</v>
      </c>
      <c r="M1220" t="n">
        <v>0</v>
      </c>
    </row>
    <row r="1221" spans="1:13">
      <c r="A1221" s="1">
        <f>HYPERLINK("http://www.twitter.com/NathanBLawrence/status/993999257664475137", "993999257664475137")</f>
        <v/>
      </c>
      <c r="B1221" s="2" t="n">
        <v>43228.98686342593</v>
      </c>
      <c r="C1221" t="n">
        <v>2</v>
      </c>
      <c r="D1221" t="n">
        <v>3</v>
      </c>
      <c r="E1221" t="s">
        <v>1218</v>
      </c>
      <c r="F1221" t="s"/>
      <c r="G1221" t="s"/>
      <c r="H1221" t="s"/>
      <c r="I1221" t="s"/>
      <c r="J1221" t="n">
        <v>0.212</v>
      </c>
      <c r="K1221" t="n">
        <v>0.047</v>
      </c>
      <c r="L1221" t="n">
        <v>0.888</v>
      </c>
      <c r="M1221" t="n">
        <v>0.065</v>
      </c>
    </row>
    <row r="1222" spans="1:13">
      <c r="A1222" s="1">
        <f>HYPERLINK("http://www.twitter.com/NathanBLawrence/status/993996125286944771", "993996125286944771")</f>
        <v/>
      </c>
      <c r="B1222" s="2" t="n">
        <v>43228.97821759259</v>
      </c>
      <c r="C1222" t="n">
        <v>0</v>
      </c>
      <c r="D1222" t="n">
        <v>9</v>
      </c>
      <c r="E1222" t="s">
        <v>1219</v>
      </c>
      <c r="F1222" t="s"/>
      <c r="G1222" t="s"/>
      <c r="H1222" t="s"/>
      <c r="I1222" t="s"/>
      <c r="J1222" t="n">
        <v>-0.5574</v>
      </c>
      <c r="K1222" t="n">
        <v>0.146</v>
      </c>
      <c r="L1222" t="n">
        <v>0.854</v>
      </c>
      <c r="M1222" t="n">
        <v>0</v>
      </c>
    </row>
    <row r="1223" spans="1:13">
      <c r="A1223" s="1">
        <f>HYPERLINK("http://www.twitter.com/NathanBLawrence/status/993989330841587712", "993989330841587712")</f>
        <v/>
      </c>
      <c r="B1223" s="2" t="n">
        <v>43228.95946759259</v>
      </c>
      <c r="C1223" t="n">
        <v>0</v>
      </c>
      <c r="D1223" t="n">
        <v>0</v>
      </c>
      <c r="E1223" t="s">
        <v>1220</v>
      </c>
      <c r="F1223">
        <f>HYPERLINK("http://pbs.twimg.com/media/DctcBBBX4AA4nrF.jpg", "http://pbs.twimg.com/media/DctcBBBX4AA4nrF.jpg")</f>
        <v/>
      </c>
      <c r="G1223" t="s"/>
      <c r="H1223" t="s"/>
      <c r="I1223" t="s"/>
      <c r="J1223" t="n">
        <v>-0.6124000000000001</v>
      </c>
      <c r="K1223" t="n">
        <v>0.275</v>
      </c>
      <c r="L1223" t="n">
        <v>0.65</v>
      </c>
      <c r="M1223" t="n">
        <v>0.075</v>
      </c>
    </row>
    <row r="1224" spans="1:13">
      <c r="A1224" s="1">
        <f>HYPERLINK("http://www.twitter.com/NathanBLawrence/status/993988949239586818", "993988949239586818")</f>
        <v/>
      </c>
      <c r="B1224" s="2" t="n">
        <v>43228.95841435185</v>
      </c>
      <c r="C1224" t="n">
        <v>0</v>
      </c>
      <c r="D1224" t="n">
        <v>7</v>
      </c>
      <c r="E1224" t="s">
        <v>1221</v>
      </c>
      <c r="F1224" t="s"/>
      <c r="G1224" t="s"/>
      <c r="H1224" t="s"/>
      <c r="I1224" t="s"/>
      <c r="J1224" t="n">
        <v>-0.4019</v>
      </c>
      <c r="K1224" t="n">
        <v>0.208</v>
      </c>
      <c r="L1224" t="n">
        <v>0.681</v>
      </c>
      <c r="M1224" t="n">
        <v>0.111</v>
      </c>
    </row>
    <row r="1225" spans="1:13">
      <c r="A1225" s="1">
        <f>HYPERLINK("http://www.twitter.com/NathanBLawrence/status/993988828867235841", "993988828867235841")</f>
        <v/>
      </c>
      <c r="B1225" s="2" t="n">
        <v>43228.9580787037</v>
      </c>
      <c r="C1225" t="n">
        <v>0</v>
      </c>
      <c r="D1225" t="n">
        <v>4</v>
      </c>
      <c r="E1225" t="s">
        <v>1222</v>
      </c>
      <c r="F1225" t="s"/>
      <c r="G1225" t="s"/>
      <c r="H1225" t="s"/>
      <c r="I1225" t="s"/>
      <c r="J1225" t="n">
        <v>0</v>
      </c>
      <c r="K1225" t="n">
        <v>0</v>
      </c>
      <c r="L1225" t="n">
        <v>1</v>
      </c>
      <c r="M1225" t="n">
        <v>0</v>
      </c>
    </row>
    <row r="1226" spans="1:13">
      <c r="A1226" s="1">
        <f>HYPERLINK("http://www.twitter.com/NathanBLawrence/status/993988552613613569", "993988552613613569")</f>
        <v/>
      </c>
      <c r="B1226" s="2" t="n">
        <v>43228.95732638889</v>
      </c>
      <c r="C1226" t="n">
        <v>5</v>
      </c>
      <c r="D1226" t="n">
        <v>1</v>
      </c>
      <c r="E1226" t="s">
        <v>1223</v>
      </c>
      <c r="F1226" t="s"/>
      <c r="G1226" t="s"/>
      <c r="H1226" t="s"/>
      <c r="I1226" t="s"/>
      <c r="J1226" t="n">
        <v>0</v>
      </c>
      <c r="K1226" t="n">
        <v>0</v>
      </c>
      <c r="L1226" t="n">
        <v>1</v>
      </c>
      <c r="M1226" t="n">
        <v>0</v>
      </c>
    </row>
    <row r="1227" spans="1:13">
      <c r="A1227" s="1">
        <f>HYPERLINK("http://www.twitter.com/NathanBLawrence/status/993988315169816577", "993988315169816577")</f>
        <v/>
      </c>
      <c r="B1227" s="2" t="n">
        <v>43228.95666666667</v>
      </c>
      <c r="C1227" t="n">
        <v>0</v>
      </c>
      <c r="D1227" t="n">
        <v>1</v>
      </c>
      <c r="E1227" t="s">
        <v>1224</v>
      </c>
      <c r="F1227" t="s"/>
      <c r="G1227" t="s"/>
      <c r="H1227" t="s"/>
      <c r="I1227" t="s"/>
      <c r="J1227" t="n">
        <v>0</v>
      </c>
      <c r="K1227" t="n">
        <v>0</v>
      </c>
      <c r="L1227" t="n">
        <v>1</v>
      </c>
      <c r="M1227" t="n">
        <v>0</v>
      </c>
    </row>
    <row r="1228" spans="1:13">
      <c r="A1228" s="1">
        <f>HYPERLINK("http://www.twitter.com/NathanBLawrence/status/993985214941671426", "993985214941671426")</f>
        <v/>
      </c>
      <c r="B1228" s="2" t="n">
        <v>43228.94811342593</v>
      </c>
      <c r="C1228" t="n">
        <v>0</v>
      </c>
      <c r="D1228" t="n">
        <v>1</v>
      </c>
      <c r="E1228" t="s">
        <v>1225</v>
      </c>
      <c r="F1228" t="s"/>
      <c r="G1228" t="s"/>
      <c r="H1228" t="s"/>
      <c r="I1228" t="s"/>
      <c r="J1228" t="n">
        <v>0.4019</v>
      </c>
      <c r="K1228" t="n">
        <v>0</v>
      </c>
      <c r="L1228" t="n">
        <v>0.863</v>
      </c>
      <c r="M1228" t="n">
        <v>0.137</v>
      </c>
    </row>
    <row r="1229" spans="1:13">
      <c r="A1229" s="1">
        <f>HYPERLINK("http://www.twitter.com/NathanBLawrence/status/993984924251295746", "993984924251295746")</f>
        <v/>
      </c>
      <c r="B1229" s="2" t="n">
        <v>43228.94730324074</v>
      </c>
      <c r="C1229" t="n">
        <v>0</v>
      </c>
      <c r="D1229" t="n">
        <v>19</v>
      </c>
      <c r="E1229" t="s">
        <v>1226</v>
      </c>
      <c r="F1229">
        <f>HYPERLINK("http://pbs.twimg.com/media/DcsMBBGX4AEcOgk.jpg", "http://pbs.twimg.com/media/DcsMBBGX4AEcOgk.jpg")</f>
        <v/>
      </c>
      <c r="G1229" t="s"/>
      <c r="H1229" t="s"/>
      <c r="I1229" t="s"/>
      <c r="J1229" t="n">
        <v>0.6597</v>
      </c>
      <c r="K1229" t="n">
        <v>0</v>
      </c>
      <c r="L1229" t="n">
        <v>0.759</v>
      </c>
      <c r="M1229" t="n">
        <v>0.241</v>
      </c>
    </row>
    <row r="1230" spans="1:13">
      <c r="A1230" s="1">
        <f>HYPERLINK("http://www.twitter.com/NathanBLawrence/status/993984560252768256", "993984560252768256")</f>
        <v/>
      </c>
      <c r="B1230" s="2" t="n">
        <v>43228.94630787037</v>
      </c>
      <c r="C1230" t="n">
        <v>3</v>
      </c>
      <c r="D1230" t="n">
        <v>1</v>
      </c>
      <c r="E1230" t="s">
        <v>1227</v>
      </c>
      <c r="F1230" t="s"/>
      <c r="G1230" t="s"/>
      <c r="H1230" t="s"/>
      <c r="I1230" t="s"/>
      <c r="J1230" t="n">
        <v>0.8225</v>
      </c>
      <c r="K1230" t="n">
        <v>0</v>
      </c>
      <c r="L1230" t="n">
        <v>0.78</v>
      </c>
      <c r="M1230" t="n">
        <v>0.22</v>
      </c>
    </row>
    <row r="1231" spans="1:13">
      <c r="A1231" s="1">
        <f>HYPERLINK("http://www.twitter.com/NathanBLawrence/status/993982581430419456", "993982581430419456")</f>
        <v/>
      </c>
      <c r="B1231" s="2" t="n">
        <v>43228.94084490741</v>
      </c>
      <c r="C1231" t="n">
        <v>2</v>
      </c>
      <c r="D1231" t="n">
        <v>1</v>
      </c>
      <c r="E1231" t="s">
        <v>1228</v>
      </c>
      <c r="F1231">
        <f>HYPERLINK("http://pbs.twimg.com/media/DctV4U7WsAADhAy.jpg", "http://pbs.twimg.com/media/DctV4U7WsAADhAy.jpg")</f>
        <v/>
      </c>
      <c r="G1231" t="s"/>
      <c r="H1231" t="s"/>
      <c r="I1231" t="s"/>
      <c r="J1231" t="n">
        <v>0</v>
      </c>
      <c r="K1231" t="n">
        <v>0</v>
      </c>
      <c r="L1231" t="n">
        <v>1</v>
      </c>
      <c r="M1231" t="n">
        <v>0</v>
      </c>
    </row>
    <row r="1232" spans="1:13">
      <c r="A1232" s="1">
        <f>HYPERLINK("http://www.twitter.com/NathanBLawrence/status/993981845644640256", "993981845644640256")</f>
        <v/>
      </c>
      <c r="B1232" s="2" t="n">
        <v>43228.93880787037</v>
      </c>
      <c r="C1232" t="n">
        <v>0</v>
      </c>
      <c r="D1232" t="n">
        <v>9</v>
      </c>
      <c r="E1232" t="s">
        <v>1229</v>
      </c>
      <c r="F1232">
        <f>HYPERLINK("http://pbs.twimg.com/media/Dcsw6OxW0AAHrK4.jpg", "http://pbs.twimg.com/media/Dcsw6OxW0AAHrK4.jpg")</f>
        <v/>
      </c>
      <c r="G1232" t="s"/>
      <c r="H1232" t="s"/>
      <c r="I1232" t="s"/>
      <c r="J1232" t="n">
        <v>0</v>
      </c>
      <c r="K1232" t="n">
        <v>0</v>
      </c>
      <c r="L1232" t="n">
        <v>1</v>
      </c>
      <c r="M1232" t="n">
        <v>0</v>
      </c>
    </row>
    <row r="1233" spans="1:13">
      <c r="A1233" s="1">
        <f>HYPERLINK("http://www.twitter.com/NathanBLawrence/status/993981572314488832", "993981572314488832")</f>
        <v/>
      </c>
      <c r="B1233" s="2" t="n">
        <v>43228.93805555555</v>
      </c>
      <c r="C1233" t="n">
        <v>3</v>
      </c>
      <c r="D1233" t="n">
        <v>1</v>
      </c>
      <c r="E1233" t="s">
        <v>1230</v>
      </c>
      <c r="F1233" t="s"/>
      <c r="G1233" t="s"/>
      <c r="H1233" t="s"/>
      <c r="I1233" t="s"/>
      <c r="J1233" t="n">
        <v>-0.2023</v>
      </c>
      <c r="K1233" t="n">
        <v>0.09</v>
      </c>
      <c r="L1233" t="n">
        <v>0.837</v>
      </c>
      <c r="M1233" t="n">
        <v>0.073</v>
      </c>
    </row>
    <row r="1234" spans="1:13">
      <c r="A1234" s="1">
        <f>HYPERLINK("http://www.twitter.com/NathanBLawrence/status/993980731507576836", "993980731507576836")</f>
        <v/>
      </c>
      <c r="B1234" s="2" t="n">
        <v>43228.93574074074</v>
      </c>
      <c r="C1234" t="n">
        <v>1</v>
      </c>
      <c r="D1234" t="n">
        <v>0</v>
      </c>
      <c r="E1234" t="s">
        <v>1231</v>
      </c>
      <c r="F1234" t="s"/>
      <c r="G1234" t="s"/>
      <c r="H1234" t="s"/>
      <c r="I1234" t="s"/>
      <c r="J1234" t="n">
        <v>-0.5411</v>
      </c>
      <c r="K1234" t="n">
        <v>0.099</v>
      </c>
      <c r="L1234" t="n">
        <v>0.901</v>
      </c>
      <c r="M1234" t="n">
        <v>0</v>
      </c>
    </row>
    <row r="1235" spans="1:13">
      <c r="A1235" s="1">
        <f>HYPERLINK("http://www.twitter.com/NathanBLawrence/status/993980124210049024", "993980124210049024")</f>
        <v/>
      </c>
      <c r="B1235" s="2" t="n">
        <v>43228.9340625</v>
      </c>
      <c r="C1235" t="n">
        <v>0</v>
      </c>
      <c r="D1235" t="n">
        <v>0</v>
      </c>
      <c r="E1235" t="s">
        <v>1232</v>
      </c>
      <c r="F1235" t="s"/>
      <c r="G1235" t="s"/>
      <c r="H1235" t="s"/>
      <c r="I1235" t="s"/>
      <c r="J1235" t="n">
        <v>0.4228</v>
      </c>
      <c r="K1235" t="n">
        <v>0</v>
      </c>
      <c r="L1235" t="n">
        <v>0.612</v>
      </c>
      <c r="M1235" t="n">
        <v>0.388</v>
      </c>
    </row>
    <row r="1236" spans="1:13">
      <c r="A1236" s="1">
        <f>HYPERLINK("http://www.twitter.com/NathanBLawrence/status/993979407843975168", "993979407843975168")</f>
        <v/>
      </c>
      <c r="B1236" s="2" t="n">
        <v>43228.93208333333</v>
      </c>
      <c r="C1236" t="n">
        <v>2</v>
      </c>
      <c r="D1236" t="n">
        <v>1</v>
      </c>
      <c r="E1236" t="s">
        <v>1233</v>
      </c>
      <c r="F1236" t="s"/>
      <c r="G1236" t="s"/>
      <c r="H1236" t="s"/>
      <c r="I1236" t="s"/>
      <c r="J1236" t="n">
        <v>0.5775</v>
      </c>
      <c r="K1236" t="n">
        <v>0</v>
      </c>
      <c r="L1236" t="n">
        <v>0.836</v>
      </c>
      <c r="M1236" t="n">
        <v>0.164</v>
      </c>
    </row>
    <row r="1237" spans="1:13">
      <c r="A1237" s="1">
        <f>HYPERLINK("http://www.twitter.com/NathanBLawrence/status/993978439475585024", "993978439475585024")</f>
        <v/>
      </c>
      <c r="B1237" s="2" t="n">
        <v>43228.92940972222</v>
      </c>
      <c r="C1237" t="n">
        <v>0</v>
      </c>
      <c r="D1237" t="n">
        <v>0</v>
      </c>
      <c r="E1237" t="s">
        <v>1234</v>
      </c>
      <c r="F1237" t="s"/>
      <c r="G1237" t="s"/>
      <c r="H1237" t="s"/>
      <c r="I1237" t="s"/>
      <c r="J1237" t="n">
        <v>0.34</v>
      </c>
      <c r="K1237" t="n">
        <v>0.147</v>
      </c>
      <c r="L1237" t="n">
        <v>0.588</v>
      </c>
      <c r="M1237" t="n">
        <v>0.265</v>
      </c>
    </row>
    <row r="1238" spans="1:13">
      <c r="A1238" s="1">
        <f>HYPERLINK("http://www.twitter.com/NathanBLawrence/status/993967266315239424", "993967266315239424")</f>
        <v/>
      </c>
      <c r="B1238" s="2" t="n">
        <v>43228.89857638889</v>
      </c>
      <c r="C1238" t="n">
        <v>0</v>
      </c>
      <c r="D1238" t="n">
        <v>0</v>
      </c>
      <c r="E1238" t="s">
        <v>1235</v>
      </c>
      <c r="F1238">
        <f>HYPERLINK("http://pbs.twimg.com/media/DctH39nXUAAnjZz.jpg", "http://pbs.twimg.com/media/DctH39nXUAAnjZz.jpg")</f>
        <v/>
      </c>
      <c r="G1238" t="s"/>
      <c r="H1238" t="s"/>
      <c r="I1238" t="s"/>
      <c r="J1238" t="n">
        <v>0</v>
      </c>
      <c r="K1238" t="n">
        <v>0</v>
      </c>
      <c r="L1238" t="n">
        <v>1</v>
      </c>
      <c r="M1238" t="n">
        <v>0</v>
      </c>
    </row>
    <row r="1239" spans="1:13">
      <c r="A1239" s="1">
        <f>HYPERLINK("http://www.twitter.com/NathanBLawrence/status/993967079291281409", "993967079291281409")</f>
        <v/>
      </c>
      <c r="B1239" s="2" t="n">
        <v>43228.89806712963</v>
      </c>
      <c r="C1239" t="n">
        <v>0</v>
      </c>
      <c r="D1239" t="n">
        <v>0</v>
      </c>
      <c r="E1239" t="s">
        <v>1236</v>
      </c>
      <c r="F1239">
        <f>HYPERLINK("http://pbs.twimg.com/media/DctHyGXX4AA4JyG.jpg", "http://pbs.twimg.com/media/DctHyGXX4AA4JyG.jpg")</f>
        <v/>
      </c>
      <c r="G1239" t="s"/>
      <c r="H1239" t="s"/>
      <c r="I1239" t="s"/>
      <c r="J1239" t="n">
        <v>0</v>
      </c>
      <c r="K1239" t="n">
        <v>0</v>
      </c>
      <c r="L1239" t="n">
        <v>1</v>
      </c>
      <c r="M1239" t="n">
        <v>0</v>
      </c>
    </row>
    <row r="1240" spans="1:13">
      <c r="A1240" s="1">
        <f>HYPERLINK("http://www.twitter.com/NathanBLawrence/status/993966938018799616", "993966938018799616")</f>
        <v/>
      </c>
      <c r="B1240" s="2" t="n">
        <v>43228.89767361111</v>
      </c>
      <c r="C1240" t="n">
        <v>0</v>
      </c>
      <c r="D1240" t="n">
        <v>5</v>
      </c>
      <c r="E1240" t="s">
        <v>1237</v>
      </c>
      <c r="F1240" t="s"/>
      <c r="G1240" t="s"/>
      <c r="H1240" t="s"/>
      <c r="I1240" t="s"/>
      <c r="J1240" t="n">
        <v>-0.0516</v>
      </c>
      <c r="K1240" t="n">
        <v>0.116</v>
      </c>
      <c r="L1240" t="n">
        <v>0.776</v>
      </c>
      <c r="M1240" t="n">
        <v>0.108</v>
      </c>
    </row>
    <row r="1241" spans="1:13">
      <c r="A1241" s="1">
        <f>HYPERLINK("http://www.twitter.com/NathanBLawrence/status/993966694325522437", "993966694325522437")</f>
        <v/>
      </c>
      <c r="B1241" s="2" t="n">
        <v>43228.89700231481</v>
      </c>
      <c r="C1241" t="n">
        <v>0</v>
      </c>
      <c r="D1241" t="n">
        <v>4</v>
      </c>
      <c r="E1241" t="s">
        <v>1238</v>
      </c>
      <c r="F1241" t="s"/>
      <c r="G1241" t="s"/>
      <c r="H1241" t="s"/>
      <c r="I1241" t="s"/>
      <c r="J1241" t="n">
        <v>0</v>
      </c>
      <c r="K1241" t="n">
        <v>0</v>
      </c>
      <c r="L1241" t="n">
        <v>1</v>
      </c>
      <c r="M1241" t="n">
        <v>0</v>
      </c>
    </row>
    <row r="1242" spans="1:13">
      <c r="A1242" s="1">
        <f>HYPERLINK("http://www.twitter.com/NathanBLawrence/status/993966686582820865", "993966686582820865")</f>
        <v/>
      </c>
      <c r="B1242" s="2" t="n">
        <v>43228.89697916667</v>
      </c>
      <c r="C1242" t="n">
        <v>0</v>
      </c>
      <c r="D1242" t="n">
        <v>1</v>
      </c>
      <c r="E1242" t="s">
        <v>1239</v>
      </c>
      <c r="F1242" t="s"/>
      <c r="G1242" t="s"/>
      <c r="H1242" t="s"/>
      <c r="I1242" t="s"/>
      <c r="J1242" t="n">
        <v>0</v>
      </c>
      <c r="K1242" t="n">
        <v>0</v>
      </c>
      <c r="L1242" t="n">
        <v>1</v>
      </c>
      <c r="M1242" t="n">
        <v>0</v>
      </c>
    </row>
    <row r="1243" spans="1:13">
      <c r="A1243" s="1">
        <f>HYPERLINK("http://www.twitter.com/NathanBLawrence/status/993966658166427653", "993966658166427653")</f>
        <v/>
      </c>
      <c r="B1243" s="2" t="n">
        <v>43228.89689814814</v>
      </c>
      <c r="C1243" t="n">
        <v>0</v>
      </c>
      <c r="D1243" t="n">
        <v>6</v>
      </c>
      <c r="E1243" t="s">
        <v>1240</v>
      </c>
      <c r="F1243">
        <f>HYPERLINK("http://pbs.twimg.com/media/DXXcZwpUQAMX64_.jpg", "http://pbs.twimg.com/media/DXXcZwpUQAMX64_.jpg")</f>
        <v/>
      </c>
      <c r="G1243" t="s"/>
      <c r="H1243" t="s"/>
      <c r="I1243" t="s"/>
      <c r="J1243" t="n">
        <v>0.7964</v>
      </c>
      <c r="K1243" t="n">
        <v>0</v>
      </c>
      <c r="L1243" t="n">
        <v>0.717</v>
      </c>
      <c r="M1243" t="n">
        <v>0.283</v>
      </c>
    </row>
    <row r="1244" spans="1:13">
      <c r="A1244" s="1">
        <f>HYPERLINK("http://www.twitter.com/NathanBLawrence/status/993966634409873408", "993966634409873408")</f>
        <v/>
      </c>
      <c r="B1244" s="2" t="n">
        <v>43228.89684027778</v>
      </c>
      <c r="C1244" t="n">
        <v>0</v>
      </c>
      <c r="D1244" t="n">
        <v>3</v>
      </c>
      <c r="E1244" t="s">
        <v>1241</v>
      </c>
      <c r="F1244" t="s"/>
      <c r="G1244" t="s"/>
      <c r="H1244" t="s"/>
      <c r="I1244" t="s"/>
      <c r="J1244" t="n">
        <v>0</v>
      </c>
      <c r="K1244" t="n">
        <v>0</v>
      </c>
      <c r="L1244" t="n">
        <v>1</v>
      </c>
      <c r="M1244" t="n">
        <v>0</v>
      </c>
    </row>
    <row r="1245" spans="1:13">
      <c r="A1245" s="1">
        <f>HYPERLINK("http://www.twitter.com/NathanBLawrence/status/993966621764014080", "993966621764014080")</f>
        <v/>
      </c>
      <c r="B1245" s="2" t="n">
        <v>43228.89680555555</v>
      </c>
      <c r="C1245" t="n">
        <v>0</v>
      </c>
      <c r="D1245" t="n">
        <v>4</v>
      </c>
      <c r="E1245" t="s">
        <v>1242</v>
      </c>
      <c r="F1245" t="s"/>
      <c r="G1245" t="s"/>
      <c r="H1245" t="s"/>
      <c r="I1245" t="s"/>
      <c r="J1245" t="n">
        <v>-0.008500000000000001</v>
      </c>
      <c r="K1245" t="n">
        <v>0.146</v>
      </c>
      <c r="L1245" t="n">
        <v>0.673</v>
      </c>
      <c r="M1245" t="n">
        <v>0.181</v>
      </c>
    </row>
    <row r="1246" spans="1:13">
      <c r="A1246" s="1">
        <f>HYPERLINK("http://www.twitter.com/NathanBLawrence/status/993966609021767682", "993966609021767682")</f>
        <v/>
      </c>
      <c r="B1246" s="2" t="n">
        <v>43228.89677083334</v>
      </c>
      <c r="C1246" t="n">
        <v>0</v>
      </c>
      <c r="D1246" t="n">
        <v>5</v>
      </c>
      <c r="E1246" t="s">
        <v>1243</v>
      </c>
      <c r="F1246" t="s"/>
      <c r="G1246" t="s"/>
      <c r="H1246" t="s"/>
      <c r="I1246" t="s"/>
      <c r="J1246" t="n">
        <v>-0.2808</v>
      </c>
      <c r="K1246" t="n">
        <v>0.08500000000000001</v>
      </c>
      <c r="L1246" t="n">
        <v>0.915</v>
      </c>
      <c r="M1246" t="n">
        <v>0</v>
      </c>
    </row>
    <row r="1247" spans="1:13">
      <c r="A1247" s="1">
        <f>HYPERLINK("http://www.twitter.com/NathanBLawrence/status/993966595243479040", "993966595243479040")</f>
        <v/>
      </c>
      <c r="B1247" s="2" t="n">
        <v>43228.89672453704</v>
      </c>
      <c r="C1247" t="n">
        <v>0</v>
      </c>
      <c r="D1247" t="n">
        <v>4</v>
      </c>
      <c r="E1247" t="s">
        <v>1244</v>
      </c>
      <c r="F1247" t="s"/>
      <c r="G1247" t="s"/>
      <c r="H1247" t="s"/>
      <c r="I1247" t="s"/>
      <c r="J1247" t="n">
        <v>0.873</v>
      </c>
      <c r="K1247" t="n">
        <v>0.07199999999999999</v>
      </c>
      <c r="L1247" t="n">
        <v>0.604</v>
      </c>
      <c r="M1247" t="n">
        <v>0.324</v>
      </c>
    </row>
    <row r="1248" spans="1:13">
      <c r="A1248" s="1">
        <f>HYPERLINK("http://www.twitter.com/NathanBLawrence/status/993966590399008768", "993966590399008768")</f>
        <v/>
      </c>
      <c r="B1248" s="2" t="n">
        <v>43228.89671296296</v>
      </c>
      <c r="C1248" t="n">
        <v>0</v>
      </c>
      <c r="D1248" t="n">
        <v>3</v>
      </c>
      <c r="E1248" t="s">
        <v>1245</v>
      </c>
      <c r="F1248" t="s"/>
      <c r="G1248" t="s"/>
      <c r="H1248" t="s"/>
      <c r="I1248" t="s"/>
      <c r="J1248" t="n">
        <v>-0.8804</v>
      </c>
      <c r="K1248" t="n">
        <v>0.327</v>
      </c>
      <c r="L1248" t="n">
        <v>0.673</v>
      </c>
      <c r="M1248" t="n">
        <v>0</v>
      </c>
    </row>
    <row r="1249" spans="1:13">
      <c r="A1249" s="1">
        <f>HYPERLINK("http://www.twitter.com/NathanBLawrence/status/993966573600804865", "993966573600804865")</f>
        <v/>
      </c>
      <c r="B1249" s="2" t="n">
        <v>43228.89666666667</v>
      </c>
      <c r="C1249" t="n">
        <v>0</v>
      </c>
      <c r="D1249" t="n">
        <v>3</v>
      </c>
      <c r="E1249" t="s">
        <v>1246</v>
      </c>
      <c r="F1249" t="s"/>
      <c r="G1249" t="s"/>
      <c r="H1249" t="s"/>
      <c r="I1249" t="s"/>
      <c r="J1249" t="n">
        <v>0</v>
      </c>
      <c r="K1249" t="n">
        <v>0</v>
      </c>
      <c r="L1249" t="n">
        <v>1</v>
      </c>
      <c r="M1249" t="n">
        <v>0</v>
      </c>
    </row>
    <row r="1250" spans="1:13">
      <c r="A1250" s="1">
        <f>HYPERLINK("http://www.twitter.com/NathanBLawrence/status/993966503367200768", "993966503367200768")</f>
        <v/>
      </c>
      <c r="B1250" s="2" t="n">
        <v>43228.89648148148</v>
      </c>
      <c r="C1250" t="n">
        <v>0</v>
      </c>
      <c r="D1250" t="n">
        <v>4</v>
      </c>
      <c r="E1250" t="s">
        <v>1247</v>
      </c>
      <c r="F1250">
        <f>HYPERLINK("http://pbs.twimg.com/media/DXXT62hVwAAq5Xi.jpg", "http://pbs.twimg.com/media/DXXT62hVwAAq5Xi.jpg")</f>
        <v/>
      </c>
      <c r="G1250" t="s"/>
      <c r="H1250" t="s"/>
      <c r="I1250" t="s"/>
      <c r="J1250" t="n">
        <v>0.7096</v>
      </c>
      <c r="K1250" t="n">
        <v>0</v>
      </c>
      <c r="L1250" t="n">
        <v>0.742</v>
      </c>
      <c r="M1250" t="n">
        <v>0.258</v>
      </c>
    </row>
    <row r="1251" spans="1:13">
      <c r="A1251" s="1">
        <f>HYPERLINK("http://www.twitter.com/NathanBLawrence/status/993966482320130049", "993966482320130049")</f>
        <v/>
      </c>
      <c r="B1251" s="2" t="n">
        <v>43228.89642361111</v>
      </c>
      <c r="C1251" t="n">
        <v>0</v>
      </c>
      <c r="D1251" t="n">
        <v>3</v>
      </c>
      <c r="E1251" t="s">
        <v>1248</v>
      </c>
      <c r="F1251">
        <f>HYPERLINK("http://pbs.twimg.com/media/DXXTFPWUQAEZEBQ.jpg", "http://pbs.twimg.com/media/DXXTFPWUQAEZEBQ.jpg")</f>
        <v/>
      </c>
      <c r="G1251" t="s"/>
      <c r="H1251" t="s"/>
      <c r="I1251" t="s"/>
      <c r="J1251" t="n">
        <v>0</v>
      </c>
      <c r="K1251" t="n">
        <v>0</v>
      </c>
      <c r="L1251" t="n">
        <v>1</v>
      </c>
      <c r="M1251" t="n">
        <v>0</v>
      </c>
    </row>
    <row r="1252" spans="1:13">
      <c r="A1252" s="1">
        <f>HYPERLINK("http://www.twitter.com/NathanBLawrence/status/993966466994188288", "993966466994188288")</f>
        <v/>
      </c>
      <c r="B1252" s="2" t="n">
        <v>43228.89637731481</v>
      </c>
      <c r="C1252" t="n">
        <v>0</v>
      </c>
      <c r="D1252" t="n">
        <v>3</v>
      </c>
      <c r="E1252" t="s">
        <v>1249</v>
      </c>
      <c r="F1252" t="s"/>
      <c r="G1252" t="s"/>
      <c r="H1252" t="s"/>
      <c r="I1252" t="s"/>
      <c r="J1252" t="n">
        <v>-0.7003</v>
      </c>
      <c r="K1252" t="n">
        <v>0.23</v>
      </c>
      <c r="L1252" t="n">
        <v>0.7</v>
      </c>
      <c r="M1252" t="n">
        <v>0.07000000000000001</v>
      </c>
    </row>
    <row r="1253" spans="1:13">
      <c r="A1253" s="1">
        <f>HYPERLINK("http://www.twitter.com/NathanBLawrence/status/993966461126430720", "993966461126430720")</f>
        <v/>
      </c>
      <c r="B1253" s="2" t="n">
        <v>43228.89635416667</v>
      </c>
      <c r="C1253" t="n">
        <v>0</v>
      </c>
      <c r="D1253" t="n">
        <v>3</v>
      </c>
      <c r="E1253" t="s">
        <v>1250</v>
      </c>
      <c r="F1253" t="s"/>
      <c r="G1253" t="s"/>
      <c r="H1253" t="s"/>
      <c r="I1253" t="s"/>
      <c r="J1253" t="n">
        <v>-0.5994</v>
      </c>
      <c r="K1253" t="n">
        <v>0.151</v>
      </c>
      <c r="L1253" t="n">
        <v>0.849</v>
      </c>
      <c r="M1253" t="n">
        <v>0</v>
      </c>
    </row>
    <row r="1254" spans="1:13">
      <c r="A1254" s="1">
        <f>HYPERLINK("http://www.twitter.com/NathanBLawrence/status/993966428054282242", "993966428054282242")</f>
        <v/>
      </c>
      <c r="B1254" s="2" t="n">
        <v>43228.89627314815</v>
      </c>
      <c r="C1254" t="n">
        <v>0</v>
      </c>
      <c r="D1254" t="n">
        <v>4</v>
      </c>
      <c r="E1254" t="s">
        <v>1251</v>
      </c>
      <c r="F1254" t="s"/>
      <c r="G1254" t="s"/>
      <c r="H1254" t="s"/>
      <c r="I1254" t="s"/>
      <c r="J1254" t="n">
        <v>-0.3612</v>
      </c>
      <c r="K1254" t="n">
        <v>0.111</v>
      </c>
      <c r="L1254" t="n">
        <v>0.889</v>
      </c>
      <c r="M1254" t="n">
        <v>0</v>
      </c>
    </row>
    <row r="1255" spans="1:13">
      <c r="A1255" s="1">
        <f>HYPERLINK("http://www.twitter.com/NathanBLawrence/status/993966376980131842", "993966376980131842")</f>
        <v/>
      </c>
      <c r="B1255" s="2" t="n">
        <v>43228.89612268518</v>
      </c>
      <c r="C1255" t="n">
        <v>0</v>
      </c>
      <c r="D1255" t="n">
        <v>3</v>
      </c>
      <c r="E1255" t="s">
        <v>1252</v>
      </c>
      <c r="F1255" t="s"/>
      <c r="G1255" t="s"/>
      <c r="H1255" t="s"/>
      <c r="I1255" t="s"/>
      <c r="J1255" t="n">
        <v>0.128</v>
      </c>
      <c r="K1255" t="n">
        <v>0.08799999999999999</v>
      </c>
      <c r="L1255" t="n">
        <v>0.766</v>
      </c>
      <c r="M1255" t="n">
        <v>0.146</v>
      </c>
    </row>
    <row r="1256" spans="1:13">
      <c r="A1256" s="1">
        <f>HYPERLINK("http://www.twitter.com/NathanBLawrence/status/993966369820508161", "993966369820508161")</f>
        <v/>
      </c>
      <c r="B1256" s="2" t="n">
        <v>43228.89611111111</v>
      </c>
      <c r="C1256" t="n">
        <v>0</v>
      </c>
      <c r="D1256" t="n">
        <v>4</v>
      </c>
      <c r="E1256" t="s">
        <v>1253</v>
      </c>
      <c r="F1256" t="s"/>
      <c r="G1256" t="s"/>
      <c r="H1256" t="s"/>
      <c r="I1256" t="s"/>
      <c r="J1256" t="n">
        <v>0.5574</v>
      </c>
      <c r="K1256" t="n">
        <v>0.08699999999999999</v>
      </c>
      <c r="L1256" t="n">
        <v>0.71</v>
      </c>
      <c r="M1256" t="n">
        <v>0.203</v>
      </c>
    </row>
    <row r="1257" spans="1:13">
      <c r="A1257" s="1">
        <f>HYPERLINK("http://www.twitter.com/NathanBLawrence/status/993966354020687874", "993966354020687874")</f>
        <v/>
      </c>
      <c r="B1257" s="2" t="n">
        <v>43228.89606481481</v>
      </c>
      <c r="C1257" t="n">
        <v>0</v>
      </c>
      <c r="D1257" t="n">
        <v>4</v>
      </c>
      <c r="E1257" t="s">
        <v>1254</v>
      </c>
      <c r="F1257" t="s"/>
      <c r="G1257" t="s"/>
      <c r="H1257" t="s"/>
      <c r="I1257" t="s"/>
      <c r="J1257" t="n">
        <v>0.3804</v>
      </c>
      <c r="K1257" t="n">
        <v>0</v>
      </c>
      <c r="L1257" t="n">
        <v>0.895</v>
      </c>
      <c r="M1257" t="n">
        <v>0.105</v>
      </c>
    </row>
    <row r="1258" spans="1:13">
      <c r="A1258" s="1">
        <f>HYPERLINK("http://www.twitter.com/NathanBLawrence/status/993966317681201154", "993966317681201154")</f>
        <v/>
      </c>
      <c r="B1258" s="2" t="n">
        <v>43228.89596064815</v>
      </c>
      <c r="C1258" t="n">
        <v>0</v>
      </c>
      <c r="D1258" t="n">
        <v>3</v>
      </c>
      <c r="E1258" t="s">
        <v>1255</v>
      </c>
      <c r="F1258" t="s"/>
      <c r="G1258" t="s"/>
      <c r="H1258" t="s"/>
      <c r="I1258" t="s"/>
      <c r="J1258" t="n">
        <v>0</v>
      </c>
      <c r="K1258" t="n">
        <v>0</v>
      </c>
      <c r="L1258" t="n">
        <v>1</v>
      </c>
      <c r="M1258" t="n">
        <v>0</v>
      </c>
    </row>
    <row r="1259" spans="1:13">
      <c r="A1259" s="1">
        <f>HYPERLINK("http://www.twitter.com/NathanBLawrence/status/993966296353136641", "993966296353136641")</f>
        <v/>
      </c>
      <c r="B1259" s="2" t="n">
        <v>43228.89590277777</v>
      </c>
      <c r="C1259" t="n">
        <v>0</v>
      </c>
      <c r="D1259" t="n">
        <v>6</v>
      </c>
      <c r="E1259" t="s">
        <v>1256</v>
      </c>
      <c r="F1259" t="s"/>
      <c r="G1259" t="s"/>
      <c r="H1259" t="s"/>
      <c r="I1259" t="s"/>
      <c r="J1259" t="n">
        <v>-0.6369</v>
      </c>
      <c r="K1259" t="n">
        <v>0.206</v>
      </c>
      <c r="L1259" t="n">
        <v>0.794</v>
      </c>
      <c r="M1259" t="n">
        <v>0</v>
      </c>
    </row>
    <row r="1260" spans="1:13">
      <c r="A1260" s="1">
        <f>HYPERLINK("http://www.twitter.com/NathanBLawrence/status/993966281081655296", "993966281081655296")</f>
        <v/>
      </c>
      <c r="B1260" s="2" t="n">
        <v>43228.89586805556</v>
      </c>
      <c r="C1260" t="n">
        <v>0</v>
      </c>
      <c r="D1260" t="n">
        <v>4</v>
      </c>
      <c r="E1260" t="s">
        <v>1257</v>
      </c>
      <c r="F1260" t="s"/>
      <c r="G1260" t="s"/>
      <c r="H1260" t="s"/>
      <c r="I1260" t="s"/>
      <c r="J1260" t="n">
        <v>0</v>
      </c>
      <c r="K1260" t="n">
        <v>0</v>
      </c>
      <c r="L1260" t="n">
        <v>1</v>
      </c>
      <c r="M1260" t="n">
        <v>0</v>
      </c>
    </row>
    <row r="1261" spans="1:13">
      <c r="A1261" s="1">
        <f>HYPERLINK("http://www.twitter.com/NathanBLawrence/status/993966264249921537", "993966264249921537")</f>
        <v/>
      </c>
      <c r="B1261" s="2" t="n">
        <v>43228.89582175926</v>
      </c>
      <c r="C1261" t="n">
        <v>0</v>
      </c>
      <c r="D1261" t="n">
        <v>4</v>
      </c>
      <c r="E1261" t="s">
        <v>1258</v>
      </c>
      <c r="F1261" t="s"/>
      <c r="G1261" t="s"/>
      <c r="H1261" t="s"/>
      <c r="I1261" t="s"/>
      <c r="J1261" t="n">
        <v>0</v>
      </c>
      <c r="K1261" t="n">
        <v>0</v>
      </c>
      <c r="L1261" t="n">
        <v>1</v>
      </c>
      <c r="M1261" t="n">
        <v>0</v>
      </c>
    </row>
    <row r="1262" spans="1:13">
      <c r="A1262" s="1">
        <f>HYPERLINK("http://www.twitter.com/NathanBLawrence/status/993966252170399745", "993966252170399745")</f>
        <v/>
      </c>
      <c r="B1262" s="2" t="n">
        <v>43228.89578703704</v>
      </c>
      <c r="C1262" t="n">
        <v>0</v>
      </c>
      <c r="D1262" t="n">
        <v>3</v>
      </c>
      <c r="E1262" t="s">
        <v>1259</v>
      </c>
      <c r="F1262" t="s"/>
      <c r="G1262" t="s"/>
      <c r="H1262" t="s"/>
      <c r="I1262" t="s"/>
      <c r="J1262" t="n">
        <v>-0.5622</v>
      </c>
      <c r="K1262" t="n">
        <v>0.142</v>
      </c>
      <c r="L1262" t="n">
        <v>0.858</v>
      </c>
      <c r="M1262" t="n">
        <v>0</v>
      </c>
    </row>
    <row r="1263" spans="1:13">
      <c r="A1263" s="1">
        <f>HYPERLINK("http://www.twitter.com/NathanBLawrence/status/993966239440691200", "993966239440691200")</f>
        <v/>
      </c>
      <c r="B1263" s="2" t="n">
        <v>43228.89575231481</v>
      </c>
      <c r="C1263" t="n">
        <v>0</v>
      </c>
      <c r="D1263" t="n">
        <v>4</v>
      </c>
      <c r="E1263" t="s">
        <v>1260</v>
      </c>
      <c r="F1263" t="s"/>
      <c r="G1263" t="s"/>
      <c r="H1263" t="s"/>
      <c r="I1263" t="s"/>
      <c r="J1263" t="n">
        <v>0.2732</v>
      </c>
      <c r="K1263" t="n">
        <v>0.08</v>
      </c>
      <c r="L1263" t="n">
        <v>0.757</v>
      </c>
      <c r="M1263" t="n">
        <v>0.163</v>
      </c>
    </row>
    <row r="1264" spans="1:13">
      <c r="A1264" s="1">
        <f>HYPERLINK("http://www.twitter.com/NathanBLawrence/status/993966222197878785", "993966222197878785")</f>
        <v/>
      </c>
      <c r="B1264" s="2" t="n">
        <v>43228.89570601852</v>
      </c>
      <c r="C1264" t="n">
        <v>0</v>
      </c>
      <c r="D1264" t="n">
        <v>4</v>
      </c>
      <c r="E1264" t="s">
        <v>1261</v>
      </c>
      <c r="F1264" t="s"/>
      <c r="G1264" t="s"/>
      <c r="H1264" t="s"/>
      <c r="I1264" t="s"/>
      <c r="J1264" t="n">
        <v>-0.34</v>
      </c>
      <c r="K1264" t="n">
        <v>0.165</v>
      </c>
      <c r="L1264" t="n">
        <v>0.6830000000000001</v>
      </c>
      <c r="M1264" t="n">
        <v>0.151</v>
      </c>
    </row>
    <row r="1265" spans="1:13">
      <c r="A1265" s="1">
        <f>HYPERLINK("http://www.twitter.com/NathanBLawrence/status/993966219156914176", "993966219156914176")</f>
        <v/>
      </c>
      <c r="B1265" s="2" t="n">
        <v>43228.89569444444</v>
      </c>
      <c r="C1265" t="n">
        <v>0</v>
      </c>
      <c r="D1265" t="n">
        <v>4</v>
      </c>
      <c r="E1265" t="s">
        <v>1262</v>
      </c>
      <c r="F1265" t="s"/>
      <c r="G1265" t="s"/>
      <c r="H1265" t="s"/>
      <c r="I1265" t="s"/>
      <c r="J1265" t="n">
        <v>-0.2263</v>
      </c>
      <c r="K1265" t="n">
        <v>0.079</v>
      </c>
      <c r="L1265" t="n">
        <v>0.921</v>
      </c>
      <c r="M1265" t="n">
        <v>0</v>
      </c>
    </row>
    <row r="1266" spans="1:13">
      <c r="A1266" s="1">
        <f>HYPERLINK("http://www.twitter.com/NathanBLawrence/status/993966188484063233", "993966188484063233")</f>
        <v/>
      </c>
      <c r="B1266" s="2" t="n">
        <v>43228.89560185185</v>
      </c>
      <c r="C1266" t="n">
        <v>0</v>
      </c>
      <c r="D1266" t="n">
        <v>5</v>
      </c>
      <c r="E1266" t="s">
        <v>1263</v>
      </c>
      <c r="F1266" t="s"/>
      <c r="G1266" t="s"/>
      <c r="H1266" t="s"/>
      <c r="I1266" t="s"/>
      <c r="J1266" t="n">
        <v>0.6425</v>
      </c>
      <c r="K1266" t="n">
        <v>0</v>
      </c>
      <c r="L1266" t="n">
        <v>0.753</v>
      </c>
      <c r="M1266" t="n">
        <v>0.247</v>
      </c>
    </row>
    <row r="1267" spans="1:13">
      <c r="A1267" s="1">
        <f>HYPERLINK("http://www.twitter.com/NathanBLawrence/status/993966177071267840", "993966177071267840")</f>
        <v/>
      </c>
      <c r="B1267" s="2" t="n">
        <v>43228.8955787037</v>
      </c>
      <c r="C1267" t="n">
        <v>0</v>
      </c>
      <c r="D1267" t="n">
        <v>4</v>
      </c>
      <c r="E1267" t="s">
        <v>1264</v>
      </c>
      <c r="F1267" t="s"/>
      <c r="G1267" t="s"/>
      <c r="H1267" t="s"/>
      <c r="I1267" t="s"/>
      <c r="J1267" t="n">
        <v>0.5423</v>
      </c>
      <c r="K1267" t="n">
        <v>0</v>
      </c>
      <c r="L1267" t="n">
        <v>0.8090000000000001</v>
      </c>
      <c r="M1267" t="n">
        <v>0.191</v>
      </c>
    </row>
    <row r="1268" spans="1:13">
      <c r="A1268" s="1">
        <f>HYPERLINK("http://www.twitter.com/NathanBLawrence/status/993966160944205825", "993966160944205825")</f>
        <v/>
      </c>
      <c r="B1268" s="2" t="n">
        <v>43228.8955324074</v>
      </c>
      <c r="C1268" t="n">
        <v>0</v>
      </c>
      <c r="D1268" t="n">
        <v>3</v>
      </c>
      <c r="E1268" t="s">
        <v>1265</v>
      </c>
      <c r="F1268" t="s"/>
      <c r="G1268" t="s"/>
      <c r="H1268" t="s"/>
      <c r="I1268" t="s"/>
      <c r="J1268" t="n">
        <v>0.2023</v>
      </c>
      <c r="K1268" t="n">
        <v>0</v>
      </c>
      <c r="L1268" t="n">
        <v>0.921</v>
      </c>
      <c r="M1268" t="n">
        <v>0.079</v>
      </c>
    </row>
    <row r="1269" spans="1:13">
      <c r="A1269" s="1">
        <f>HYPERLINK("http://www.twitter.com/NathanBLawrence/status/993966150349414400", "993966150349414400")</f>
        <v/>
      </c>
      <c r="B1269" s="2" t="n">
        <v>43228.89549768518</v>
      </c>
      <c r="C1269" t="n">
        <v>0</v>
      </c>
      <c r="D1269" t="n">
        <v>3</v>
      </c>
      <c r="E1269" t="s">
        <v>1266</v>
      </c>
      <c r="F1269" t="s"/>
      <c r="G1269" t="s"/>
      <c r="H1269" t="s"/>
      <c r="I1269" t="s"/>
      <c r="J1269" t="n">
        <v>0.3254</v>
      </c>
      <c r="K1269" t="n">
        <v>0</v>
      </c>
      <c r="L1269" t="n">
        <v>0.911</v>
      </c>
      <c r="M1269" t="n">
        <v>0.089</v>
      </c>
    </row>
    <row r="1270" spans="1:13">
      <c r="A1270" s="1">
        <f>HYPERLINK("http://www.twitter.com/NathanBLawrence/status/993966136281784320", "993966136281784320")</f>
        <v/>
      </c>
      <c r="B1270" s="2" t="n">
        <v>43228.89546296297</v>
      </c>
      <c r="C1270" t="n">
        <v>0</v>
      </c>
      <c r="D1270" t="n">
        <v>3</v>
      </c>
      <c r="E1270" t="s">
        <v>1267</v>
      </c>
      <c r="F1270" t="s"/>
      <c r="G1270" t="s"/>
      <c r="H1270" t="s"/>
      <c r="I1270" t="s"/>
      <c r="J1270" t="n">
        <v>0</v>
      </c>
      <c r="K1270" t="n">
        <v>0</v>
      </c>
      <c r="L1270" t="n">
        <v>1</v>
      </c>
      <c r="M1270" t="n">
        <v>0</v>
      </c>
    </row>
    <row r="1271" spans="1:13">
      <c r="A1271" s="1">
        <f>HYPERLINK("http://www.twitter.com/NathanBLawrence/status/993966122335637507", "993966122335637507")</f>
        <v/>
      </c>
      <c r="B1271" s="2" t="n">
        <v>43228.89542824074</v>
      </c>
      <c r="C1271" t="n">
        <v>0</v>
      </c>
      <c r="D1271" t="n">
        <v>3</v>
      </c>
      <c r="E1271" t="s">
        <v>1268</v>
      </c>
      <c r="F1271" t="s"/>
      <c r="G1271" t="s"/>
      <c r="H1271" t="s"/>
      <c r="I1271" t="s"/>
      <c r="J1271" t="n">
        <v>0</v>
      </c>
      <c r="K1271" t="n">
        <v>0</v>
      </c>
      <c r="L1271" t="n">
        <v>1</v>
      </c>
      <c r="M1271" t="n">
        <v>0</v>
      </c>
    </row>
    <row r="1272" spans="1:13">
      <c r="A1272" s="1">
        <f>HYPERLINK("http://www.twitter.com/NathanBLawrence/status/993966106791563265", "993966106791563265")</f>
        <v/>
      </c>
      <c r="B1272" s="2" t="n">
        <v>43228.89538194444</v>
      </c>
      <c r="C1272" t="n">
        <v>0</v>
      </c>
      <c r="D1272" t="n">
        <v>4</v>
      </c>
      <c r="E1272" t="s">
        <v>1269</v>
      </c>
      <c r="F1272" t="s"/>
      <c r="G1272" t="s"/>
      <c r="H1272" t="s"/>
      <c r="I1272" t="s"/>
      <c r="J1272" t="n">
        <v>0.516</v>
      </c>
      <c r="K1272" t="n">
        <v>0</v>
      </c>
      <c r="L1272" t="n">
        <v>0.677</v>
      </c>
      <c r="M1272" t="n">
        <v>0.323</v>
      </c>
    </row>
    <row r="1273" spans="1:13">
      <c r="A1273" s="1">
        <f>HYPERLINK("http://www.twitter.com/NathanBLawrence/status/993966085471920128", "993966085471920128")</f>
        <v/>
      </c>
      <c r="B1273" s="2" t="n">
        <v>43228.89532407407</v>
      </c>
      <c r="C1273" t="n">
        <v>0</v>
      </c>
      <c r="D1273" t="n">
        <v>3</v>
      </c>
      <c r="E1273" t="s">
        <v>1270</v>
      </c>
      <c r="F1273" t="s"/>
      <c r="G1273" t="s"/>
      <c r="H1273" t="s"/>
      <c r="I1273" t="s"/>
      <c r="J1273" t="n">
        <v>-0.3818</v>
      </c>
      <c r="K1273" t="n">
        <v>0.124</v>
      </c>
      <c r="L1273" t="n">
        <v>0.805</v>
      </c>
      <c r="M1273" t="n">
        <v>0.07000000000000001</v>
      </c>
    </row>
    <row r="1274" spans="1:13">
      <c r="A1274" s="1">
        <f>HYPERLINK("http://www.twitter.com/NathanBLawrence/status/993966070598979587", "993966070598979587")</f>
        <v/>
      </c>
      <c r="B1274" s="2" t="n">
        <v>43228.89527777778</v>
      </c>
      <c r="C1274" t="n">
        <v>0</v>
      </c>
      <c r="D1274" t="n">
        <v>6</v>
      </c>
      <c r="E1274" t="s">
        <v>1271</v>
      </c>
      <c r="F1274">
        <f>HYPERLINK("http://pbs.twimg.com/media/DXWuyICVQAAeRAt.jpg", "http://pbs.twimg.com/media/DXWuyICVQAAeRAt.jpg")</f>
        <v/>
      </c>
      <c r="G1274" t="s"/>
      <c r="H1274" t="s"/>
      <c r="I1274" t="s"/>
      <c r="J1274" t="n">
        <v>0.1779</v>
      </c>
      <c r="K1274" t="n">
        <v>0.08699999999999999</v>
      </c>
      <c r="L1274" t="n">
        <v>0.769</v>
      </c>
      <c r="M1274" t="n">
        <v>0.144</v>
      </c>
    </row>
    <row r="1275" spans="1:13">
      <c r="A1275" s="1">
        <f>HYPERLINK("http://www.twitter.com/NathanBLawrence/status/993966048780091392", "993966048780091392")</f>
        <v/>
      </c>
      <c r="B1275" s="2" t="n">
        <v>43228.8952199074</v>
      </c>
      <c r="C1275" t="n">
        <v>0</v>
      </c>
      <c r="D1275" t="n">
        <v>3</v>
      </c>
      <c r="E1275" t="s">
        <v>1272</v>
      </c>
      <c r="F1275" t="s"/>
      <c r="G1275" t="s"/>
      <c r="H1275" t="s"/>
      <c r="I1275" t="s"/>
      <c r="J1275" t="n">
        <v>0.4939</v>
      </c>
      <c r="K1275" t="n">
        <v>0</v>
      </c>
      <c r="L1275" t="n">
        <v>0.862</v>
      </c>
      <c r="M1275" t="n">
        <v>0.138</v>
      </c>
    </row>
    <row r="1276" spans="1:13">
      <c r="A1276" s="1">
        <f>HYPERLINK("http://www.twitter.com/NathanBLawrence/status/993966038646710273", "993966038646710273")</f>
        <v/>
      </c>
      <c r="B1276" s="2" t="n">
        <v>43228.89519675926</v>
      </c>
      <c r="C1276" t="n">
        <v>0</v>
      </c>
      <c r="D1276" t="n">
        <v>3</v>
      </c>
      <c r="E1276" t="s">
        <v>1273</v>
      </c>
      <c r="F1276" t="s"/>
      <c r="G1276" t="s"/>
      <c r="H1276" t="s"/>
      <c r="I1276" t="s"/>
      <c r="J1276" t="n">
        <v>0.6597</v>
      </c>
      <c r="K1276" t="n">
        <v>0</v>
      </c>
      <c r="L1276" t="n">
        <v>0.769</v>
      </c>
      <c r="M1276" t="n">
        <v>0.231</v>
      </c>
    </row>
    <row r="1277" spans="1:13">
      <c r="A1277" s="1">
        <f>HYPERLINK("http://www.twitter.com/NathanBLawrence/status/993958822971691008", "993958822971691008")</f>
        <v/>
      </c>
      <c r="B1277" s="2" t="n">
        <v>43228.87527777778</v>
      </c>
      <c r="C1277" t="n">
        <v>0</v>
      </c>
      <c r="D1277" t="n">
        <v>0</v>
      </c>
      <c r="E1277" t="s">
        <v>1274</v>
      </c>
      <c r="F1277">
        <f>HYPERLINK("http://pbs.twimg.com/media/DctARAnVwAEPHw8.jpg", "http://pbs.twimg.com/media/DctARAnVwAEPHw8.jpg")</f>
        <v/>
      </c>
      <c r="G1277" t="s"/>
      <c r="H1277" t="s"/>
      <c r="I1277" t="s"/>
      <c r="J1277" t="n">
        <v>0</v>
      </c>
      <c r="K1277" t="n">
        <v>0</v>
      </c>
      <c r="L1277" t="n">
        <v>1</v>
      </c>
      <c r="M1277" t="n">
        <v>0</v>
      </c>
    </row>
    <row r="1278" spans="1:13">
      <c r="A1278" s="1">
        <f>HYPERLINK("http://www.twitter.com/NathanBLawrence/status/993952079659053056", "993952079659053056")</f>
        <v/>
      </c>
      <c r="B1278" s="2" t="n">
        <v>43228.85667824074</v>
      </c>
      <c r="C1278" t="n">
        <v>0</v>
      </c>
      <c r="D1278" t="n">
        <v>0</v>
      </c>
      <c r="E1278" t="s">
        <v>1275</v>
      </c>
      <c r="F1278">
        <f>HYPERLINK("http://pbs.twimg.com/media/Dcs6EpJVQAE3yDY.jpg", "http://pbs.twimg.com/media/Dcs6EpJVQAE3yDY.jpg")</f>
        <v/>
      </c>
      <c r="G1278" t="s"/>
      <c r="H1278" t="s"/>
      <c r="I1278" t="s"/>
      <c r="J1278" t="n">
        <v>0.7003</v>
      </c>
      <c r="K1278" t="n">
        <v>0.118</v>
      </c>
      <c r="L1278" t="n">
        <v>0.679</v>
      </c>
      <c r="M1278" t="n">
        <v>0.204</v>
      </c>
    </row>
    <row r="1279" spans="1:13">
      <c r="A1279" s="1">
        <f>HYPERLINK("http://www.twitter.com/NathanBLawrence/status/993932737588416512", "993932737588416512")</f>
        <v/>
      </c>
      <c r="B1279" s="2" t="n">
        <v>43228.80329861111</v>
      </c>
      <c r="C1279" t="n">
        <v>1</v>
      </c>
      <c r="D1279" t="n">
        <v>0</v>
      </c>
      <c r="E1279" t="s">
        <v>1276</v>
      </c>
      <c r="F1279">
        <f>HYPERLINK("http://pbs.twimg.com/media/Dcsof77V4AAZo5E.jpg", "http://pbs.twimg.com/media/Dcsof77V4AAZo5E.jpg")</f>
        <v/>
      </c>
      <c r="G1279" t="s"/>
      <c r="H1279" t="s"/>
      <c r="I1279" t="s"/>
      <c r="J1279" t="n">
        <v>0</v>
      </c>
      <c r="K1279" t="n">
        <v>0</v>
      </c>
      <c r="L1279" t="n">
        <v>1</v>
      </c>
      <c r="M1279" t="n">
        <v>0</v>
      </c>
    </row>
    <row r="1280" spans="1:13">
      <c r="A1280" s="1">
        <f>HYPERLINK("http://www.twitter.com/NathanBLawrence/status/993932599499378688", "993932599499378688")</f>
        <v/>
      </c>
      <c r="B1280" s="2" t="n">
        <v>43228.80291666667</v>
      </c>
      <c r="C1280" t="n">
        <v>0</v>
      </c>
      <c r="D1280" t="n">
        <v>3</v>
      </c>
      <c r="E1280" t="s">
        <v>1277</v>
      </c>
      <c r="F1280" t="s"/>
      <c r="G1280" t="s"/>
      <c r="H1280" t="s"/>
      <c r="I1280" t="s"/>
      <c r="J1280" t="n">
        <v>-0.3182</v>
      </c>
      <c r="K1280" t="n">
        <v>0.091</v>
      </c>
      <c r="L1280" t="n">
        <v>0.909</v>
      </c>
      <c r="M1280" t="n">
        <v>0</v>
      </c>
    </row>
    <row r="1281" spans="1:13">
      <c r="A1281" s="1">
        <f>HYPERLINK("http://www.twitter.com/NathanBLawrence/status/993920777920679936", "993920777920679936")</f>
        <v/>
      </c>
      <c r="B1281" s="2" t="n">
        <v>43228.77030092593</v>
      </c>
      <c r="C1281" t="n">
        <v>0</v>
      </c>
      <c r="D1281" t="n">
        <v>0</v>
      </c>
      <c r="E1281" t="s">
        <v>1278</v>
      </c>
      <c r="F1281" t="s"/>
      <c r="G1281" t="s"/>
      <c r="H1281" t="s"/>
      <c r="I1281" t="s"/>
      <c r="J1281" t="n">
        <v>0.128</v>
      </c>
      <c r="K1281" t="n">
        <v>0.05</v>
      </c>
      <c r="L1281" t="n">
        <v>0.89</v>
      </c>
      <c r="M1281" t="n">
        <v>0.06</v>
      </c>
    </row>
    <row r="1282" spans="1:13">
      <c r="A1282" s="1">
        <f>HYPERLINK("http://www.twitter.com/NathanBLawrence/status/993917250838126595", "993917250838126595")</f>
        <v/>
      </c>
      <c r="B1282" s="2" t="n">
        <v>43228.76056712963</v>
      </c>
      <c r="C1282" t="n">
        <v>0</v>
      </c>
      <c r="D1282" t="n">
        <v>0</v>
      </c>
      <c r="E1282" t="s">
        <v>1279</v>
      </c>
      <c r="F1282">
        <f>HYPERLINK("http://pbs.twimg.com/media/Dcsad_JWsAEZwPh.jpg", "http://pbs.twimg.com/media/Dcsad_JWsAEZwPh.jpg")</f>
        <v/>
      </c>
      <c r="G1282" t="s"/>
      <c r="H1282" t="s"/>
      <c r="I1282" t="s"/>
      <c r="J1282" t="n">
        <v>0</v>
      </c>
      <c r="K1282" t="n">
        <v>0</v>
      </c>
      <c r="L1282" t="n">
        <v>1</v>
      </c>
      <c r="M1282" t="n">
        <v>0</v>
      </c>
    </row>
    <row r="1283" spans="1:13">
      <c r="A1283" s="1">
        <f>HYPERLINK("http://www.twitter.com/NathanBLawrence/status/993917066922086401", "993917066922086401")</f>
        <v/>
      </c>
      <c r="B1283" s="2" t="n">
        <v>43228.76005787037</v>
      </c>
      <c r="C1283" t="n">
        <v>0</v>
      </c>
      <c r="D1283" t="n">
        <v>6</v>
      </c>
      <c r="E1283" t="s">
        <v>1280</v>
      </c>
      <c r="F1283">
        <f>HYPERLINK("http://pbs.twimg.com/media/Dcnom7LV0AMeSHp.jpg", "http://pbs.twimg.com/media/Dcnom7LV0AMeSHp.jpg")</f>
        <v/>
      </c>
      <c r="G1283" t="s"/>
      <c r="H1283" t="s"/>
      <c r="I1283" t="s"/>
      <c r="J1283" t="n">
        <v>-0.3818</v>
      </c>
      <c r="K1283" t="n">
        <v>0.115</v>
      </c>
      <c r="L1283" t="n">
        <v>0.885</v>
      </c>
      <c r="M1283" t="n">
        <v>0</v>
      </c>
    </row>
    <row r="1284" spans="1:13">
      <c r="A1284" s="1">
        <f>HYPERLINK("http://www.twitter.com/NathanBLawrence/status/993916617523367940", "993916617523367940")</f>
        <v/>
      </c>
      <c r="B1284" s="2" t="n">
        <v>43228.75881944445</v>
      </c>
      <c r="C1284" t="n">
        <v>0</v>
      </c>
      <c r="D1284" t="n">
        <v>4</v>
      </c>
      <c r="E1284" t="s">
        <v>1281</v>
      </c>
      <c r="F1284">
        <f>HYPERLINK("http://pbs.twimg.com/media/DcmEAPzUwAESPfE.jpg", "http://pbs.twimg.com/media/DcmEAPzUwAESPfE.jpg")</f>
        <v/>
      </c>
      <c r="G1284" t="s"/>
      <c r="H1284" t="s"/>
      <c r="I1284" t="s"/>
      <c r="J1284" t="n">
        <v>0</v>
      </c>
      <c r="K1284" t="n">
        <v>0</v>
      </c>
      <c r="L1284" t="n">
        <v>1</v>
      </c>
      <c r="M1284" t="n">
        <v>0</v>
      </c>
    </row>
    <row r="1285" spans="1:13">
      <c r="A1285" s="1">
        <f>HYPERLINK("http://www.twitter.com/NathanBLawrence/status/993911381513687040", "993911381513687040")</f>
        <v/>
      </c>
      <c r="B1285" s="2" t="n">
        <v>43228.74436342593</v>
      </c>
      <c r="C1285" t="n">
        <v>0</v>
      </c>
      <c r="D1285" t="n">
        <v>1</v>
      </c>
      <c r="E1285" t="s">
        <v>1282</v>
      </c>
      <c r="F1285" t="s"/>
      <c r="G1285" t="s"/>
      <c r="H1285" t="s"/>
      <c r="I1285" t="s"/>
      <c r="J1285" t="n">
        <v>0</v>
      </c>
      <c r="K1285" t="n">
        <v>0</v>
      </c>
      <c r="L1285" t="n">
        <v>1</v>
      </c>
      <c r="M1285" t="n">
        <v>0</v>
      </c>
    </row>
    <row r="1286" spans="1:13">
      <c r="A1286" s="1">
        <f>HYPERLINK("http://www.twitter.com/NathanBLawrence/status/993911340149497856", "993911340149497856")</f>
        <v/>
      </c>
      <c r="B1286" s="2" t="n">
        <v>43228.74425925926</v>
      </c>
      <c r="C1286" t="n">
        <v>0</v>
      </c>
      <c r="D1286" t="n">
        <v>0</v>
      </c>
      <c r="E1286" t="s">
        <v>1283</v>
      </c>
      <c r="F1286">
        <f>HYPERLINK("http://pbs.twimg.com/media/DcsVF8iWAAAMg0G.jpg", "http://pbs.twimg.com/media/DcsVF8iWAAAMg0G.jpg")</f>
        <v/>
      </c>
      <c r="G1286" t="s"/>
      <c r="H1286" t="s"/>
      <c r="I1286" t="s"/>
      <c r="J1286" t="n">
        <v>-0.5574</v>
      </c>
      <c r="K1286" t="n">
        <v>0.194</v>
      </c>
      <c r="L1286" t="n">
        <v>0.806</v>
      </c>
      <c r="M1286" t="n">
        <v>0</v>
      </c>
    </row>
    <row r="1287" spans="1:13">
      <c r="A1287" s="1">
        <f>HYPERLINK("http://www.twitter.com/NathanBLawrence/status/993908535623929857", "993908535623929857")</f>
        <v/>
      </c>
      <c r="B1287" s="2" t="n">
        <v>43228.7365162037</v>
      </c>
      <c r="C1287" t="n">
        <v>3</v>
      </c>
      <c r="D1287" t="n">
        <v>1</v>
      </c>
      <c r="E1287" t="s">
        <v>1284</v>
      </c>
      <c r="F1287" t="s"/>
      <c r="G1287" t="s"/>
      <c r="H1287" t="s"/>
      <c r="I1287" t="s"/>
      <c r="J1287" t="n">
        <v>0</v>
      </c>
      <c r="K1287" t="n">
        <v>0</v>
      </c>
      <c r="L1287" t="n">
        <v>1</v>
      </c>
      <c r="M1287" t="n">
        <v>0</v>
      </c>
    </row>
    <row r="1288" spans="1:13">
      <c r="A1288" s="1">
        <f>HYPERLINK("http://www.twitter.com/NathanBLawrence/status/993908301640425473", "993908301640425473")</f>
        <v/>
      </c>
      <c r="B1288" s="2" t="n">
        <v>43228.73586805556</v>
      </c>
      <c r="C1288" t="n">
        <v>0</v>
      </c>
      <c r="D1288" t="n">
        <v>2</v>
      </c>
      <c r="E1288" t="s">
        <v>1285</v>
      </c>
      <c r="F1288">
        <f>HYPERLINK("http://pbs.twimg.com/media/DcsRtG8W4AEPOV7.jpg", "http://pbs.twimg.com/media/DcsRtG8W4AEPOV7.jpg")</f>
        <v/>
      </c>
      <c r="G1288" t="s"/>
      <c r="H1288" t="s"/>
      <c r="I1288" t="s"/>
      <c r="J1288" t="n">
        <v>0</v>
      </c>
      <c r="K1288" t="n">
        <v>0</v>
      </c>
      <c r="L1288" t="n">
        <v>1</v>
      </c>
      <c r="M1288" t="n">
        <v>0</v>
      </c>
    </row>
    <row r="1289" spans="1:13">
      <c r="A1289" s="1">
        <f>HYPERLINK("http://www.twitter.com/NathanBLawrence/status/993907699887804422", "993907699887804422")</f>
        <v/>
      </c>
      <c r="B1289" s="2" t="n">
        <v>43228.73421296296</v>
      </c>
      <c r="C1289" t="n">
        <v>4</v>
      </c>
      <c r="D1289" t="n">
        <v>2</v>
      </c>
      <c r="E1289" t="s">
        <v>1286</v>
      </c>
      <c r="F1289">
        <f>HYPERLINK("http://pbs.twimg.com/media/DcsRtG8W4AEPOV7.jpg", "http://pbs.twimg.com/media/DcsRtG8W4AEPOV7.jpg")</f>
        <v/>
      </c>
      <c r="G1289" t="s"/>
      <c r="H1289" t="s"/>
      <c r="I1289" t="s"/>
      <c r="J1289" t="n">
        <v>0</v>
      </c>
      <c r="K1289" t="n">
        <v>0</v>
      </c>
      <c r="L1289" t="n">
        <v>1</v>
      </c>
      <c r="M1289" t="n">
        <v>0</v>
      </c>
    </row>
    <row r="1290" spans="1:13">
      <c r="A1290" s="1">
        <f>HYPERLINK("http://www.twitter.com/NathanBLawrence/status/993877364311552002", "993877364311552002")</f>
        <v/>
      </c>
      <c r="B1290" s="2" t="n">
        <v>43228.65049768519</v>
      </c>
      <c r="C1290" t="n">
        <v>0</v>
      </c>
      <c r="D1290" t="n">
        <v>0</v>
      </c>
      <c r="E1290" t="s">
        <v>1287</v>
      </c>
      <c r="F1290">
        <f>HYPERLINK("http://pbs.twimg.com/media/Dcr2MTsXUAAjztm.jpg", "http://pbs.twimg.com/media/Dcr2MTsXUAAjztm.jpg")</f>
        <v/>
      </c>
      <c r="G1290" t="s"/>
      <c r="H1290" t="s"/>
      <c r="I1290" t="s"/>
      <c r="J1290" t="n">
        <v>0</v>
      </c>
      <c r="K1290" t="n">
        <v>0</v>
      </c>
      <c r="L1290" t="n">
        <v>1</v>
      </c>
      <c r="M1290" t="n">
        <v>0</v>
      </c>
    </row>
    <row r="1291" spans="1:13">
      <c r="A1291" s="1">
        <f>HYPERLINK("http://www.twitter.com/NathanBLawrence/status/993876721635155969", "993876721635155969")</f>
        <v/>
      </c>
      <c r="B1291" s="2" t="n">
        <v>43228.64872685185</v>
      </c>
      <c r="C1291" t="n">
        <v>0</v>
      </c>
      <c r="D1291" t="n">
        <v>2</v>
      </c>
      <c r="E1291" t="s">
        <v>1288</v>
      </c>
      <c r="F1291" t="s"/>
      <c r="G1291" t="s"/>
      <c r="H1291" t="s"/>
      <c r="I1291" t="s"/>
      <c r="J1291" t="n">
        <v>0</v>
      </c>
      <c r="K1291" t="n">
        <v>0</v>
      </c>
      <c r="L1291" t="n">
        <v>1</v>
      </c>
      <c r="M1291" t="n">
        <v>0</v>
      </c>
    </row>
    <row r="1292" spans="1:13">
      <c r="A1292" s="1">
        <f>HYPERLINK("http://www.twitter.com/NathanBLawrence/status/993876569365114880", "993876569365114880")</f>
        <v/>
      </c>
      <c r="B1292" s="2" t="n">
        <v>43228.64831018518</v>
      </c>
      <c r="C1292" t="n">
        <v>0</v>
      </c>
      <c r="D1292" t="n">
        <v>0</v>
      </c>
      <c r="E1292" t="s">
        <v>1289</v>
      </c>
      <c r="F1292">
        <f>HYPERLINK("http://pbs.twimg.com/media/Dcr1eCNW0AAdBoZ.jpg", "http://pbs.twimg.com/media/Dcr1eCNW0AAdBoZ.jpg")</f>
        <v/>
      </c>
      <c r="G1292" t="s"/>
      <c r="H1292" t="s"/>
      <c r="I1292" t="s"/>
      <c r="J1292" t="n">
        <v>0</v>
      </c>
      <c r="K1292" t="n">
        <v>0</v>
      </c>
      <c r="L1292" t="n">
        <v>1</v>
      </c>
      <c r="M1292" t="n">
        <v>0</v>
      </c>
    </row>
    <row r="1293" spans="1:13">
      <c r="A1293" s="1">
        <f>HYPERLINK("http://www.twitter.com/NathanBLawrence/status/993876041260257280", "993876041260257280")</f>
        <v/>
      </c>
      <c r="B1293" s="2" t="n">
        <v>43228.64685185185</v>
      </c>
      <c r="C1293" t="n">
        <v>7</v>
      </c>
      <c r="D1293" t="n">
        <v>2</v>
      </c>
      <c r="E1293" t="s">
        <v>1290</v>
      </c>
      <c r="F1293" t="s"/>
      <c r="G1293" t="s"/>
      <c r="H1293" t="s"/>
      <c r="I1293" t="s"/>
      <c r="J1293" t="n">
        <v>0.0772</v>
      </c>
      <c r="K1293" t="n">
        <v>0</v>
      </c>
      <c r="L1293" t="n">
        <v>0.963</v>
      </c>
      <c r="M1293" t="n">
        <v>0.037</v>
      </c>
    </row>
    <row r="1294" spans="1:13">
      <c r="A1294" s="1">
        <f>HYPERLINK("http://www.twitter.com/NathanBLawrence/status/993874634092285952", "993874634092285952")</f>
        <v/>
      </c>
      <c r="B1294" s="2" t="n">
        <v>43228.64296296296</v>
      </c>
      <c r="C1294" t="n">
        <v>0</v>
      </c>
      <c r="D1294" t="n">
        <v>2</v>
      </c>
      <c r="E1294" t="s">
        <v>1291</v>
      </c>
      <c r="F1294" t="s"/>
      <c r="G1294" t="s"/>
      <c r="H1294" t="s"/>
      <c r="I1294" t="s"/>
      <c r="J1294" t="n">
        <v>0</v>
      </c>
      <c r="K1294" t="n">
        <v>0</v>
      </c>
      <c r="L1294" t="n">
        <v>1</v>
      </c>
      <c r="M1294" t="n">
        <v>0</v>
      </c>
    </row>
    <row r="1295" spans="1:13">
      <c r="A1295" s="1">
        <f>HYPERLINK("http://www.twitter.com/NathanBLawrence/status/993874615679242240", "993874615679242240")</f>
        <v/>
      </c>
      <c r="B1295" s="2" t="n">
        <v>43228.64291666666</v>
      </c>
      <c r="C1295" t="n">
        <v>0</v>
      </c>
      <c r="D1295" t="n">
        <v>3</v>
      </c>
      <c r="E1295" t="s">
        <v>1292</v>
      </c>
      <c r="F1295" t="s"/>
      <c r="G1295" t="s"/>
      <c r="H1295" t="s"/>
      <c r="I1295" t="s"/>
      <c r="J1295" t="n">
        <v>-0.6124000000000001</v>
      </c>
      <c r="K1295" t="n">
        <v>0.217</v>
      </c>
      <c r="L1295" t="n">
        <v>0.783</v>
      </c>
      <c r="M1295" t="n">
        <v>0</v>
      </c>
    </row>
    <row r="1296" spans="1:13">
      <c r="A1296" s="1">
        <f>HYPERLINK("http://www.twitter.com/NathanBLawrence/status/993874402772246528", "993874402772246528")</f>
        <v/>
      </c>
      <c r="B1296" s="2" t="n">
        <v>43228.64232638889</v>
      </c>
      <c r="C1296" t="n">
        <v>0</v>
      </c>
      <c r="D1296" t="n">
        <v>11</v>
      </c>
      <c r="E1296" t="s">
        <v>1293</v>
      </c>
      <c r="F1296">
        <f>HYPERLINK("http://pbs.twimg.com/media/DcnlwuYV0AE_eoy.jpg", "http://pbs.twimg.com/media/DcnlwuYV0AE_eoy.jpg")</f>
        <v/>
      </c>
      <c r="G1296" t="s"/>
      <c r="H1296" t="s"/>
      <c r="I1296" t="s"/>
      <c r="J1296" t="n">
        <v>-0.5423</v>
      </c>
      <c r="K1296" t="n">
        <v>0.156</v>
      </c>
      <c r="L1296" t="n">
        <v>0.844</v>
      </c>
      <c r="M1296" t="n">
        <v>0</v>
      </c>
    </row>
    <row r="1297" spans="1:13">
      <c r="A1297" s="1">
        <f>HYPERLINK("http://www.twitter.com/NathanBLawrence/status/993874288016019458", "993874288016019458")</f>
        <v/>
      </c>
      <c r="B1297" s="2" t="n">
        <v>43228.64201388889</v>
      </c>
      <c r="C1297" t="n">
        <v>0</v>
      </c>
      <c r="D1297" t="n">
        <v>13</v>
      </c>
      <c r="E1297" t="s">
        <v>1294</v>
      </c>
      <c r="F1297">
        <f>HYPERLINK("http://pbs.twimg.com/media/DcntJaIWAAAnbAr.jpg", "http://pbs.twimg.com/media/DcntJaIWAAAnbAr.jpg")</f>
        <v/>
      </c>
      <c r="G1297" t="s"/>
      <c r="H1297" t="s"/>
      <c r="I1297" t="s"/>
      <c r="J1297" t="n">
        <v>0</v>
      </c>
      <c r="K1297" t="n">
        <v>0</v>
      </c>
      <c r="L1297" t="n">
        <v>1</v>
      </c>
      <c r="M1297" t="n">
        <v>0</v>
      </c>
    </row>
    <row r="1298" spans="1:13">
      <c r="A1298" s="1">
        <f>HYPERLINK("http://www.twitter.com/NathanBLawrence/status/993874199738449920", "993874199738449920")</f>
        <v/>
      </c>
      <c r="B1298" s="2" t="n">
        <v>43228.64177083333</v>
      </c>
      <c r="C1298" t="n">
        <v>0</v>
      </c>
      <c r="D1298" t="n">
        <v>0</v>
      </c>
      <c r="E1298" t="s">
        <v>1295</v>
      </c>
      <c r="F1298" t="s"/>
      <c r="G1298" t="s"/>
      <c r="H1298" t="s"/>
      <c r="I1298" t="s"/>
      <c r="J1298" t="n">
        <v>-0.2993</v>
      </c>
      <c r="K1298" t="n">
        <v>0.073</v>
      </c>
      <c r="L1298" t="n">
        <v>0.88</v>
      </c>
      <c r="M1298" t="n">
        <v>0.047</v>
      </c>
    </row>
    <row r="1299" spans="1:13">
      <c r="A1299" s="1">
        <f>HYPERLINK("http://www.twitter.com/NathanBLawrence/status/993872978638188545", "993872978638188545")</f>
        <v/>
      </c>
      <c r="B1299" s="2" t="n">
        <v>43228.63840277777</v>
      </c>
      <c r="C1299" t="n">
        <v>1</v>
      </c>
      <c r="D1299" t="n">
        <v>0</v>
      </c>
      <c r="E1299" t="s">
        <v>1296</v>
      </c>
      <c r="F1299" t="s"/>
      <c r="G1299" t="s"/>
      <c r="H1299" t="s"/>
      <c r="I1299" t="s"/>
      <c r="J1299" t="n">
        <v>-0.765</v>
      </c>
      <c r="K1299" t="n">
        <v>0.174</v>
      </c>
      <c r="L1299" t="n">
        <v>0.826</v>
      </c>
      <c r="M1299" t="n">
        <v>0</v>
      </c>
    </row>
    <row r="1300" spans="1:13">
      <c r="A1300" s="1">
        <f>HYPERLINK("http://www.twitter.com/NathanBLawrence/status/993871668744478721", "993871668744478721")</f>
        <v/>
      </c>
      <c r="B1300" s="2" t="n">
        <v>43228.63478009259</v>
      </c>
      <c r="C1300" t="n">
        <v>6</v>
      </c>
      <c r="D1300" t="n">
        <v>3</v>
      </c>
      <c r="E1300" t="s">
        <v>1297</v>
      </c>
      <c r="F1300" t="s"/>
      <c r="G1300" t="s"/>
      <c r="H1300" t="s"/>
      <c r="I1300" t="s"/>
      <c r="J1300" t="n">
        <v>-0.6369</v>
      </c>
      <c r="K1300" t="n">
        <v>0.179</v>
      </c>
      <c r="L1300" t="n">
        <v>0.75</v>
      </c>
      <c r="M1300" t="n">
        <v>0.07099999999999999</v>
      </c>
    </row>
    <row r="1301" spans="1:13">
      <c r="A1301" s="1">
        <f>HYPERLINK("http://www.twitter.com/NathanBLawrence/status/993870504938430464", "993870504938430464")</f>
        <v/>
      </c>
      <c r="B1301" s="2" t="n">
        <v>43228.63157407408</v>
      </c>
      <c r="C1301" t="n">
        <v>0</v>
      </c>
      <c r="D1301" t="n">
        <v>16</v>
      </c>
      <c r="E1301" t="s">
        <v>1298</v>
      </c>
      <c r="F1301" t="s"/>
      <c r="G1301" t="s"/>
      <c r="H1301" t="s"/>
      <c r="I1301" t="s"/>
      <c r="J1301" t="n">
        <v>0.6553</v>
      </c>
      <c r="K1301" t="n">
        <v>0</v>
      </c>
      <c r="L1301" t="n">
        <v>0.789</v>
      </c>
      <c r="M1301" t="n">
        <v>0.211</v>
      </c>
    </row>
    <row r="1302" spans="1:13">
      <c r="A1302" s="1">
        <f>HYPERLINK("http://www.twitter.com/NathanBLawrence/status/993870321362096128", "993870321362096128")</f>
        <v/>
      </c>
      <c r="B1302" s="2" t="n">
        <v>43228.63106481481</v>
      </c>
      <c r="C1302" t="n">
        <v>7</v>
      </c>
      <c r="D1302" t="n">
        <v>2</v>
      </c>
      <c r="E1302" t="s">
        <v>1299</v>
      </c>
      <c r="F1302" t="s"/>
      <c r="G1302" t="s"/>
      <c r="H1302" t="s"/>
      <c r="I1302" t="s"/>
      <c r="J1302" t="n">
        <v>0</v>
      </c>
      <c r="K1302" t="n">
        <v>0</v>
      </c>
      <c r="L1302" t="n">
        <v>1</v>
      </c>
      <c r="M1302" t="n">
        <v>0</v>
      </c>
    </row>
    <row r="1303" spans="1:13">
      <c r="A1303" s="1">
        <f>HYPERLINK("http://www.twitter.com/NathanBLawrence/status/993869689389494273", "993869689389494273")</f>
        <v/>
      </c>
      <c r="B1303" s="2" t="n">
        <v>43228.62931712963</v>
      </c>
      <c r="C1303" t="n">
        <v>0</v>
      </c>
      <c r="D1303" t="n">
        <v>24</v>
      </c>
      <c r="E1303" t="s">
        <v>1149</v>
      </c>
      <c r="F1303">
        <f>HYPERLINK("http://pbs.twimg.com/media/DcruEZmWkAElq61.jpg", "http://pbs.twimg.com/media/DcruEZmWkAElq61.jpg")</f>
        <v/>
      </c>
      <c r="G1303" t="s"/>
      <c r="H1303" t="s"/>
      <c r="I1303" t="s"/>
      <c r="J1303" t="n">
        <v>0</v>
      </c>
      <c r="K1303" t="n">
        <v>0</v>
      </c>
      <c r="L1303" t="n">
        <v>1</v>
      </c>
      <c r="M1303" t="n">
        <v>0</v>
      </c>
    </row>
    <row r="1304" spans="1:13">
      <c r="A1304" s="1">
        <f>HYPERLINK("http://www.twitter.com/NathanBLawrence/status/993869586788421635", "993869586788421635")</f>
        <v/>
      </c>
      <c r="B1304" s="2" t="n">
        <v>43228.62903935185</v>
      </c>
      <c r="C1304" t="n">
        <v>0</v>
      </c>
      <c r="D1304" t="n">
        <v>2</v>
      </c>
      <c r="E1304" t="s">
        <v>1300</v>
      </c>
      <c r="F1304" t="s"/>
      <c r="G1304" t="s"/>
      <c r="H1304" t="s"/>
      <c r="I1304" t="s"/>
      <c r="J1304" t="n">
        <v>-0.5574</v>
      </c>
      <c r="K1304" t="n">
        <v>0.184</v>
      </c>
      <c r="L1304" t="n">
        <v>0.8159999999999999</v>
      </c>
      <c r="M1304" t="n">
        <v>0</v>
      </c>
    </row>
    <row r="1305" spans="1:13">
      <c r="A1305" s="1">
        <f>HYPERLINK("http://www.twitter.com/NathanBLawrence/status/993836382023049218", "993836382023049218")</f>
        <v/>
      </c>
      <c r="B1305" s="2" t="n">
        <v>43228.53740740741</v>
      </c>
      <c r="C1305" t="n">
        <v>2</v>
      </c>
      <c r="D1305" t="n">
        <v>0</v>
      </c>
      <c r="E1305" t="s">
        <v>1301</v>
      </c>
      <c r="F1305">
        <f>HYPERLINK("http://pbs.twimg.com/media/DcrQ60QV4AE3DQ_.jpg", "http://pbs.twimg.com/media/DcrQ60QV4AE3DQ_.jpg")</f>
        <v/>
      </c>
      <c r="G1305" t="s"/>
      <c r="H1305" t="s"/>
      <c r="I1305" t="s"/>
      <c r="J1305" t="n">
        <v>0</v>
      </c>
      <c r="K1305" t="n">
        <v>0</v>
      </c>
      <c r="L1305" t="n">
        <v>1</v>
      </c>
      <c r="M1305" t="n">
        <v>0</v>
      </c>
    </row>
    <row r="1306" spans="1:13">
      <c r="A1306" s="1">
        <f>HYPERLINK("http://www.twitter.com/NathanBLawrence/status/993836230495428608", "993836230495428608")</f>
        <v/>
      </c>
      <c r="B1306" s="2" t="n">
        <v>43228.53699074074</v>
      </c>
      <c r="C1306" t="n">
        <v>0</v>
      </c>
      <c r="D1306" t="n">
        <v>104</v>
      </c>
      <c r="E1306" t="s">
        <v>1302</v>
      </c>
      <c r="F1306" t="s"/>
      <c r="G1306" t="s"/>
      <c r="H1306" t="s"/>
      <c r="I1306" t="s"/>
      <c r="J1306" t="n">
        <v>-0.25</v>
      </c>
      <c r="K1306" t="n">
        <v>0.08699999999999999</v>
      </c>
      <c r="L1306" t="n">
        <v>0.913</v>
      </c>
      <c r="M1306" t="n">
        <v>0</v>
      </c>
    </row>
    <row r="1307" spans="1:13">
      <c r="A1307" s="1">
        <f>HYPERLINK("http://www.twitter.com/NathanBLawrence/status/993835904711254016", "993835904711254016")</f>
        <v/>
      </c>
      <c r="B1307" s="2" t="n">
        <v>43228.53608796297</v>
      </c>
      <c r="C1307" t="n">
        <v>0</v>
      </c>
      <c r="D1307" t="n">
        <v>78</v>
      </c>
      <c r="E1307" t="s">
        <v>1303</v>
      </c>
      <c r="F1307" t="s"/>
      <c r="G1307" t="s"/>
      <c r="H1307" t="s"/>
      <c r="I1307" t="s"/>
      <c r="J1307" t="n">
        <v>0.4939</v>
      </c>
      <c r="K1307" t="n">
        <v>0</v>
      </c>
      <c r="L1307" t="n">
        <v>0.826</v>
      </c>
      <c r="M1307" t="n">
        <v>0.174</v>
      </c>
    </row>
    <row r="1308" spans="1:13">
      <c r="A1308" s="1">
        <f>HYPERLINK("http://www.twitter.com/NathanBLawrence/status/993835838722248704", "993835838722248704")</f>
        <v/>
      </c>
      <c r="B1308" s="2" t="n">
        <v>43228.53591435185</v>
      </c>
      <c r="C1308" t="n">
        <v>0</v>
      </c>
      <c r="D1308" t="n">
        <v>4</v>
      </c>
      <c r="E1308" t="s">
        <v>1304</v>
      </c>
      <c r="F1308" t="s"/>
      <c r="G1308" t="s"/>
      <c r="H1308" t="s"/>
      <c r="I1308" t="s"/>
      <c r="J1308" t="n">
        <v>0.4404</v>
      </c>
      <c r="K1308" t="n">
        <v>0</v>
      </c>
      <c r="L1308" t="n">
        <v>0.868</v>
      </c>
      <c r="M1308" t="n">
        <v>0.132</v>
      </c>
    </row>
    <row r="1309" spans="1:13">
      <c r="A1309" s="1">
        <f>HYPERLINK("http://www.twitter.com/NathanBLawrence/status/993835788818317312", "993835788818317312")</f>
        <v/>
      </c>
      <c r="B1309" s="2" t="n">
        <v>43228.53577546297</v>
      </c>
      <c r="C1309" t="n">
        <v>0</v>
      </c>
      <c r="D1309" t="n">
        <v>345</v>
      </c>
      <c r="E1309" t="s">
        <v>1305</v>
      </c>
      <c r="F1309" t="s"/>
      <c r="G1309" t="s"/>
      <c r="H1309" t="s"/>
      <c r="I1309" t="s"/>
      <c r="J1309" t="n">
        <v>0.3612</v>
      </c>
      <c r="K1309" t="n">
        <v>0</v>
      </c>
      <c r="L1309" t="n">
        <v>0.902</v>
      </c>
      <c r="M1309" t="n">
        <v>0.098</v>
      </c>
    </row>
    <row r="1310" spans="1:13">
      <c r="A1310" s="1">
        <f>HYPERLINK("http://www.twitter.com/NathanBLawrence/status/993830671922679808", "993830671922679808")</f>
        <v/>
      </c>
      <c r="B1310" s="2" t="n">
        <v>43228.52165509259</v>
      </c>
      <c r="C1310" t="n">
        <v>2</v>
      </c>
      <c r="D1310" t="n">
        <v>2</v>
      </c>
      <c r="E1310" t="s">
        <v>1306</v>
      </c>
      <c r="F1310" t="s"/>
      <c r="G1310" t="s"/>
      <c r="H1310" t="s"/>
      <c r="I1310" t="s"/>
      <c r="J1310" t="n">
        <v>-0.0451</v>
      </c>
      <c r="K1310" t="n">
        <v>0.182</v>
      </c>
      <c r="L1310" t="n">
        <v>0.672</v>
      </c>
      <c r="M1310" t="n">
        <v>0.146</v>
      </c>
    </row>
    <row r="1311" spans="1:13">
      <c r="A1311" s="1">
        <f>HYPERLINK("http://www.twitter.com/NathanBLawrence/status/993830103560982530", "993830103560982530")</f>
        <v/>
      </c>
      <c r="B1311" s="2" t="n">
        <v>43228.52008101852</v>
      </c>
      <c r="C1311" t="n">
        <v>0</v>
      </c>
      <c r="D1311" t="n">
        <v>13</v>
      </c>
      <c r="E1311" t="s">
        <v>1307</v>
      </c>
      <c r="F1311" t="s"/>
      <c r="G1311" t="s"/>
      <c r="H1311" t="s"/>
      <c r="I1311" t="s"/>
      <c r="J1311" t="n">
        <v>-0.7059</v>
      </c>
      <c r="K1311" t="n">
        <v>0.246</v>
      </c>
      <c r="L1311" t="n">
        <v>0.754</v>
      </c>
      <c r="M1311" t="n">
        <v>0</v>
      </c>
    </row>
    <row r="1312" spans="1:13">
      <c r="A1312" s="1">
        <f>HYPERLINK("http://www.twitter.com/NathanBLawrence/status/993829994316132352", "993829994316132352")</f>
        <v/>
      </c>
      <c r="B1312" s="2" t="n">
        <v>43228.5197800926</v>
      </c>
      <c r="C1312" t="n">
        <v>0</v>
      </c>
      <c r="D1312" t="n">
        <v>11</v>
      </c>
      <c r="E1312" t="s">
        <v>1308</v>
      </c>
      <c r="F1312" t="s"/>
      <c r="G1312" t="s"/>
      <c r="H1312" t="s"/>
      <c r="I1312" t="s"/>
      <c r="J1312" t="n">
        <v>0</v>
      </c>
      <c r="K1312" t="n">
        <v>0</v>
      </c>
      <c r="L1312" t="n">
        <v>1</v>
      </c>
      <c r="M1312" t="n">
        <v>0</v>
      </c>
    </row>
    <row r="1313" spans="1:13">
      <c r="A1313" s="1">
        <f>HYPERLINK("http://www.twitter.com/NathanBLawrence/status/993829979044630529", "993829979044630529")</f>
        <v/>
      </c>
      <c r="B1313" s="2" t="n">
        <v>43228.51974537037</v>
      </c>
      <c r="C1313" t="n">
        <v>1</v>
      </c>
      <c r="D1313" t="n">
        <v>0</v>
      </c>
      <c r="E1313" t="s">
        <v>1309</v>
      </c>
      <c r="F1313">
        <f>HYPERLINK("http://pbs.twimg.com/media/DcrLGFgUwAEt20Y.jpg", "http://pbs.twimg.com/media/DcrLGFgUwAEt20Y.jpg")</f>
        <v/>
      </c>
      <c r="G1313" t="s"/>
      <c r="H1313" t="s"/>
      <c r="I1313" t="s"/>
      <c r="J1313" t="n">
        <v>0</v>
      </c>
      <c r="K1313" t="n">
        <v>0</v>
      </c>
      <c r="L1313" t="n">
        <v>1</v>
      </c>
      <c r="M1313" t="n">
        <v>0</v>
      </c>
    </row>
    <row r="1314" spans="1:13">
      <c r="A1314" s="1">
        <f>HYPERLINK("http://www.twitter.com/NathanBLawrence/status/993829753089155072", "993829753089155072")</f>
        <v/>
      </c>
      <c r="B1314" s="2" t="n">
        <v>43228.51912037037</v>
      </c>
      <c r="C1314" t="n">
        <v>0</v>
      </c>
      <c r="D1314" t="n">
        <v>573</v>
      </c>
      <c r="E1314" t="s">
        <v>1310</v>
      </c>
      <c r="F1314" t="s"/>
      <c r="G1314" t="s"/>
      <c r="H1314" t="s"/>
      <c r="I1314" t="s"/>
      <c r="J1314" t="n">
        <v>-0.7351</v>
      </c>
      <c r="K1314" t="n">
        <v>0.243</v>
      </c>
      <c r="L1314" t="n">
        <v>0.709</v>
      </c>
      <c r="M1314" t="n">
        <v>0.049</v>
      </c>
    </row>
    <row r="1315" spans="1:13">
      <c r="A1315" s="1">
        <f>HYPERLINK("http://www.twitter.com/NathanBLawrence/status/993829694641524736", "993829694641524736")</f>
        <v/>
      </c>
      <c r="B1315" s="2" t="n">
        <v>43228.51895833333</v>
      </c>
      <c r="C1315" t="n">
        <v>1</v>
      </c>
      <c r="D1315" t="n">
        <v>0</v>
      </c>
      <c r="E1315" t="s">
        <v>1311</v>
      </c>
      <c r="F1315" t="s"/>
      <c r="G1315" t="s"/>
      <c r="H1315" t="s"/>
      <c r="I1315" t="s"/>
      <c r="J1315" t="n">
        <v>0</v>
      </c>
      <c r="K1315" t="n">
        <v>0</v>
      </c>
      <c r="L1315" t="n">
        <v>1</v>
      </c>
      <c r="M1315" t="n">
        <v>0</v>
      </c>
    </row>
    <row r="1316" spans="1:13">
      <c r="A1316" s="1">
        <f>HYPERLINK("http://www.twitter.com/NathanBLawrence/status/993829292927864833", "993829292927864833")</f>
        <v/>
      </c>
      <c r="B1316" s="2" t="n">
        <v>43228.51784722223</v>
      </c>
      <c r="C1316" t="n">
        <v>1</v>
      </c>
      <c r="D1316" t="n">
        <v>0</v>
      </c>
      <c r="E1316" t="s">
        <v>1312</v>
      </c>
      <c r="F1316" t="s"/>
      <c r="G1316" t="s"/>
      <c r="H1316" t="s"/>
      <c r="I1316" t="s"/>
      <c r="J1316" t="n">
        <v>0.4404</v>
      </c>
      <c r="K1316" t="n">
        <v>0</v>
      </c>
      <c r="L1316" t="n">
        <v>0.879</v>
      </c>
      <c r="M1316" t="n">
        <v>0.121</v>
      </c>
    </row>
    <row r="1317" spans="1:13">
      <c r="A1317" s="1">
        <f>HYPERLINK("http://www.twitter.com/NathanBLawrence/status/993827843762204672", "993827843762204672")</f>
        <v/>
      </c>
      <c r="B1317" s="2" t="n">
        <v>43228.51385416667</v>
      </c>
      <c r="C1317" t="n">
        <v>0</v>
      </c>
      <c r="D1317" t="n">
        <v>4</v>
      </c>
      <c r="E1317" t="s">
        <v>1313</v>
      </c>
      <c r="F1317">
        <f>HYPERLINK("http://pbs.twimg.com/media/DcrJEgzUwAA3VsH.jpg", "http://pbs.twimg.com/media/DcrJEgzUwAA3VsH.jpg")</f>
        <v/>
      </c>
      <c r="G1317" t="s"/>
      <c r="H1317" t="s"/>
      <c r="I1317" t="s"/>
      <c r="J1317" t="n">
        <v>0</v>
      </c>
      <c r="K1317" t="n">
        <v>0</v>
      </c>
      <c r="L1317" t="n">
        <v>1</v>
      </c>
      <c r="M1317" t="n">
        <v>0</v>
      </c>
    </row>
    <row r="1318" spans="1:13">
      <c r="A1318" s="1">
        <f>HYPERLINK("http://www.twitter.com/NathanBLawrence/status/993827752624128000", "993827752624128000")</f>
        <v/>
      </c>
      <c r="B1318" s="2" t="n">
        <v>43228.51359953704</v>
      </c>
      <c r="C1318" t="n">
        <v>6</v>
      </c>
      <c r="D1318" t="n">
        <v>4</v>
      </c>
      <c r="E1318" t="s">
        <v>1314</v>
      </c>
      <c r="F1318">
        <f>HYPERLINK("http://pbs.twimg.com/media/DcrJEgzUwAA3VsH.jpg", "http://pbs.twimg.com/media/DcrJEgzUwAA3VsH.jpg")</f>
        <v/>
      </c>
      <c r="G1318" t="s"/>
      <c r="H1318" t="s"/>
      <c r="I1318" t="s"/>
      <c r="J1318" t="n">
        <v>-0.787</v>
      </c>
      <c r="K1318" t="n">
        <v>0.181</v>
      </c>
      <c r="L1318" t="n">
        <v>0.819</v>
      </c>
      <c r="M1318" t="n">
        <v>0</v>
      </c>
    </row>
    <row r="1319" spans="1:13">
      <c r="A1319" s="1">
        <f>HYPERLINK("http://www.twitter.com/NathanBLawrence/status/993826094041260032", "993826094041260032")</f>
        <v/>
      </c>
      <c r="B1319" s="2" t="n">
        <v>43228.5090162037</v>
      </c>
      <c r="C1319" t="n">
        <v>0</v>
      </c>
      <c r="D1319" t="n">
        <v>11</v>
      </c>
      <c r="E1319" t="s">
        <v>1315</v>
      </c>
      <c r="F1319" t="s"/>
      <c r="G1319" t="s"/>
      <c r="H1319" t="s"/>
      <c r="I1319" t="s"/>
      <c r="J1319" t="n">
        <v>-0.8455</v>
      </c>
      <c r="K1319" t="n">
        <v>0.337</v>
      </c>
      <c r="L1319" t="n">
        <v>0.663</v>
      </c>
      <c r="M1319" t="n">
        <v>0</v>
      </c>
    </row>
    <row r="1320" spans="1:13">
      <c r="A1320" s="1">
        <f>HYPERLINK("http://www.twitter.com/NathanBLawrence/status/993826057840144384", "993826057840144384")</f>
        <v/>
      </c>
      <c r="B1320" s="2" t="n">
        <v>43228.50892361111</v>
      </c>
      <c r="C1320" t="n">
        <v>0</v>
      </c>
      <c r="D1320" t="n">
        <v>17</v>
      </c>
      <c r="E1320" t="s">
        <v>1316</v>
      </c>
      <c r="F1320" t="s"/>
      <c r="G1320" t="s"/>
      <c r="H1320" t="s"/>
      <c r="I1320" t="s"/>
      <c r="J1320" t="n">
        <v>0</v>
      </c>
      <c r="K1320" t="n">
        <v>0</v>
      </c>
      <c r="L1320" t="n">
        <v>1</v>
      </c>
      <c r="M1320" t="n">
        <v>0</v>
      </c>
    </row>
    <row r="1321" spans="1:13">
      <c r="A1321" s="1">
        <f>HYPERLINK("http://www.twitter.com/NathanBLawrence/status/993825877212442625", "993825877212442625")</f>
        <v/>
      </c>
      <c r="B1321" s="2" t="n">
        <v>43228.50842592592</v>
      </c>
      <c r="C1321" t="n">
        <v>0</v>
      </c>
      <c r="D1321" t="n">
        <v>9</v>
      </c>
      <c r="E1321" t="s">
        <v>1317</v>
      </c>
      <c r="F1321" t="s"/>
      <c r="G1321" t="s"/>
      <c r="H1321" t="s"/>
      <c r="I1321" t="s"/>
      <c r="J1321" t="n">
        <v>-0.1027</v>
      </c>
      <c r="K1321" t="n">
        <v>0.208</v>
      </c>
      <c r="L1321" t="n">
        <v>0.6</v>
      </c>
      <c r="M1321" t="n">
        <v>0.192</v>
      </c>
    </row>
    <row r="1322" spans="1:13">
      <c r="A1322" s="1">
        <f>HYPERLINK("http://www.twitter.com/NathanBLawrence/status/993825630193115136", "993825630193115136")</f>
        <v/>
      </c>
      <c r="B1322" s="2" t="n">
        <v>43228.50774305555</v>
      </c>
      <c r="C1322" t="n">
        <v>0</v>
      </c>
      <c r="D1322" t="n">
        <v>9</v>
      </c>
      <c r="E1322" t="s">
        <v>1318</v>
      </c>
      <c r="F1322">
        <f>HYPERLINK("http://pbs.twimg.com/media/DcrDWiKV0AA8TAZ.jpg", "http://pbs.twimg.com/media/DcrDWiKV0AA8TAZ.jpg")</f>
        <v/>
      </c>
      <c r="G1322" t="s"/>
      <c r="H1322" t="s"/>
      <c r="I1322" t="s"/>
      <c r="J1322" t="n">
        <v>-0.34</v>
      </c>
      <c r="K1322" t="n">
        <v>0.091</v>
      </c>
      <c r="L1322" t="n">
        <v>0.909</v>
      </c>
      <c r="M1322" t="n">
        <v>0</v>
      </c>
    </row>
    <row r="1323" spans="1:13">
      <c r="A1323" s="1">
        <f>HYPERLINK("http://www.twitter.com/NathanBLawrence/status/993825575570673669", "993825575570673669")</f>
        <v/>
      </c>
      <c r="B1323" s="2" t="n">
        <v>43228.50759259259</v>
      </c>
      <c r="C1323" t="n">
        <v>0</v>
      </c>
      <c r="D1323" t="n">
        <v>0</v>
      </c>
      <c r="E1323" t="s">
        <v>1319</v>
      </c>
      <c r="F1323" t="s"/>
      <c r="G1323" t="s"/>
      <c r="H1323" t="s"/>
      <c r="I1323" t="s"/>
      <c r="J1323" t="n">
        <v>-0.643</v>
      </c>
      <c r="K1323" t="n">
        <v>0.512</v>
      </c>
      <c r="L1323" t="n">
        <v>0.488</v>
      </c>
      <c r="M1323" t="n">
        <v>0</v>
      </c>
    </row>
    <row r="1324" spans="1:13">
      <c r="A1324" s="1">
        <f>HYPERLINK("http://www.twitter.com/NathanBLawrence/status/993825390283165696", "993825390283165696")</f>
        <v/>
      </c>
      <c r="B1324" s="2" t="n">
        <v>43228.50708333333</v>
      </c>
      <c r="C1324" t="n">
        <v>0</v>
      </c>
      <c r="D1324" t="n">
        <v>0</v>
      </c>
      <c r="E1324" t="s">
        <v>1320</v>
      </c>
      <c r="F1324" t="s"/>
      <c r="G1324" t="s"/>
      <c r="H1324" t="s"/>
      <c r="I1324" t="s"/>
      <c r="J1324" t="n">
        <v>-0.4588</v>
      </c>
      <c r="K1324" t="n">
        <v>0.143</v>
      </c>
      <c r="L1324" t="n">
        <v>0.788</v>
      </c>
      <c r="M1324" t="n">
        <v>0.06900000000000001</v>
      </c>
    </row>
    <row r="1325" spans="1:13">
      <c r="A1325" s="1">
        <f>HYPERLINK("http://www.twitter.com/NathanBLawrence/status/993823581720195072", "993823581720195072")</f>
        <v/>
      </c>
      <c r="B1325" s="2" t="n">
        <v>43228.50208333333</v>
      </c>
      <c r="C1325" t="n">
        <v>0</v>
      </c>
      <c r="D1325" t="n">
        <v>0</v>
      </c>
      <c r="E1325" t="s">
        <v>1321</v>
      </c>
      <c r="F1325" t="s"/>
      <c r="G1325" t="s"/>
      <c r="H1325" t="s"/>
      <c r="I1325" t="s"/>
      <c r="J1325" t="n">
        <v>0</v>
      </c>
      <c r="K1325" t="n">
        <v>0</v>
      </c>
      <c r="L1325" t="n">
        <v>1</v>
      </c>
      <c r="M1325" t="n">
        <v>0</v>
      </c>
    </row>
    <row r="1326" spans="1:13">
      <c r="A1326" s="1">
        <f>HYPERLINK("http://www.twitter.com/NathanBLawrence/status/993823094774038528", "993823094774038528")</f>
        <v/>
      </c>
      <c r="B1326" s="2" t="n">
        <v>43228.50074074074</v>
      </c>
      <c r="C1326" t="n">
        <v>2</v>
      </c>
      <c r="D1326" t="n">
        <v>1</v>
      </c>
      <c r="E1326" t="s">
        <v>1322</v>
      </c>
      <c r="F1326" t="s"/>
      <c r="G1326" t="s"/>
      <c r="H1326" t="s"/>
      <c r="I1326" t="s"/>
      <c r="J1326" t="n">
        <v>0.4678</v>
      </c>
      <c r="K1326" t="n">
        <v>0.053</v>
      </c>
      <c r="L1326" t="n">
        <v>0.827</v>
      </c>
      <c r="M1326" t="n">
        <v>0.12</v>
      </c>
    </row>
    <row r="1327" spans="1:13">
      <c r="A1327" s="1">
        <f>HYPERLINK("http://www.twitter.com/NathanBLawrence/status/993822056528728066", "993822056528728066")</f>
        <v/>
      </c>
      <c r="B1327" s="2" t="n">
        <v>43228.49788194444</v>
      </c>
      <c r="C1327" t="n">
        <v>0</v>
      </c>
      <c r="D1327" t="n">
        <v>10</v>
      </c>
      <c r="E1327" t="s">
        <v>1323</v>
      </c>
      <c r="F1327" t="s"/>
      <c r="G1327" t="s"/>
      <c r="H1327" t="s"/>
      <c r="I1327" t="s"/>
      <c r="J1327" t="n">
        <v>-0.34</v>
      </c>
      <c r="K1327" t="n">
        <v>0.15</v>
      </c>
      <c r="L1327" t="n">
        <v>0.752</v>
      </c>
      <c r="M1327" t="n">
        <v>0.098</v>
      </c>
    </row>
    <row r="1328" spans="1:13">
      <c r="A1328" s="1">
        <f>HYPERLINK("http://www.twitter.com/NathanBLawrence/status/993822006524116992", "993822006524116992")</f>
        <v/>
      </c>
      <c r="B1328" s="2" t="n">
        <v>43228.49774305556</v>
      </c>
      <c r="C1328" t="n">
        <v>0</v>
      </c>
      <c r="D1328" t="n">
        <v>18</v>
      </c>
      <c r="E1328" t="s">
        <v>1324</v>
      </c>
      <c r="F1328">
        <f>HYPERLINK("http://pbs.twimg.com/media/Dcnq525U0AAroQj.jpg", "http://pbs.twimg.com/media/Dcnq525U0AAroQj.jpg")</f>
        <v/>
      </c>
      <c r="G1328">
        <f>HYPERLINK("http://pbs.twimg.com/media/Dcnq6z9VAAAL5br.jpg", "http://pbs.twimg.com/media/Dcnq6z9VAAAL5br.jpg")</f>
        <v/>
      </c>
      <c r="H1328">
        <f>HYPERLINK("http://pbs.twimg.com/media/Dcnq7MsUwAAZadH.jpg", "http://pbs.twimg.com/media/Dcnq7MsUwAAZadH.jpg")</f>
        <v/>
      </c>
      <c r="I1328" t="s"/>
      <c r="J1328" t="n">
        <v>0.5204</v>
      </c>
      <c r="K1328" t="n">
        <v>0</v>
      </c>
      <c r="L1328" t="n">
        <v>0.856</v>
      </c>
      <c r="M1328" t="n">
        <v>0.144</v>
      </c>
    </row>
    <row r="1329" spans="1:13">
      <c r="A1329" s="1">
        <f>HYPERLINK("http://www.twitter.com/NathanBLawrence/status/993821865478107138", "993821865478107138")</f>
        <v/>
      </c>
      <c r="B1329" s="2" t="n">
        <v>43228.49734953704</v>
      </c>
      <c r="C1329" t="n">
        <v>9</v>
      </c>
      <c r="D1329" t="n">
        <v>2</v>
      </c>
      <c r="E1329" t="s">
        <v>1325</v>
      </c>
      <c r="F1329" t="s"/>
      <c r="G1329" t="s"/>
      <c r="H1329" t="s"/>
      <c r="I1329" t="s"/>
      <c r="J1329" t="n">
        <v>-0.7901</v>
      </c>
      <c r="K1329" t="n">
        <v>0.178</v>
      </c>
      <c r="L1329" t="n">
        <v>0.822</v>
      </c>
      <c r="M1329" t="n">
        <v>0</v>
      </c>
    </row>
    <row r="1330" spans="1:13">
      <c r="A1330" s="1">
        <f>HYPERLINK("http://www.twitter.com/NathanBLawrence/status/993817709841408001", "993817709841408001")</f>
        <v/>
      </c>
      <c r="B1330" s="2" t="n">
        <v>43228.48587962963</v>
      </c>
      <c r="C1330" t="n">
        <v>1</v>
      </c>
      <c r="D1330" t="n">
        <v>0</v>
      </c>
      <c r="E1330" t="s">
        <v>1326</v>
      </c>
      <c r="F1330" t="s"/>
      <c r="G1330" t="s"/>
      <c r="H1330" t="s"/>
      <c r="I1330" t="s"/>
      <c r="J1330" t="n">
        <v>0</v>
      </c>
      <c r="K1330" t="n">
        <v>0</v>
      </c>
      <c r="L1330" t="n">
        <v>1</v>
      </c>
      <c r="M1330" t="n">
        <v>0</v>
      </c>
    </row>
    <row r="1331" spans="1:13">
      <c r="A1331" s="1">
        <f>HYPERLINK("http://www.twitter.com/NathanBLawrence/status/993701003739443200", "993701003739443200")</f>
        <v/>
      </c>
      <c r="B1331" s="2" t="n">
        <v>43228.16384259259</v>
      </c>
      <c r="C1331" t="n">
        <v>8</v>
      </c>
      <c r="D1331" t="n">
        <v>4</v>
      </c>
      <c r="E1331" t="s">
        <v>1327</v>
      </c>
      <c r="F1331">
        <f>HYPERLINK("http://pbs.twimg.com/media/DcpVytOU8AAEvwN.jpg", "http://pbs.twimg.com/media/DcpVytOU8AAEvwN.jpg")</f>
        <v/>
      </c>
      <c r="G1331" t="s"/>
      <c r="H1331" t="s"/>
      <c r="I1331" t="s"/>
      <c r="J1331" t="n">
        <v>-0.8939</v>
      </c>
      <c r="K1331" t="n">
        <v>0.227</v>
      </c>
      <c r="L1331" t="n">
        <v>0.773</v>
      </c>
      <c r="M1331" t="n">
        <v>0</v>
      </c>
    </row>
    <row r="1332" spans="1:13">
      <c r="A1332" s="1">
        <f>HYPERLINK("http://www.twitter.com/NathanBLawrence/status/993695488535875584", "993695488535875584")</f>
        <v/>
      </c>
      <c r="B1332" s="2" t="n">
        <v>43228.14862268518</v>
      </c>
      <c r="C1332" t="n">
        <v>2</v>
      </c>
      <c r="D1332" t="n">
        <v>0</v>
      </c>
      <c r="E1332" t="s">
        <v>1328</v>
      </c>
      <c r="F1332" t="s"/>
      <c r="G1332" t="s"/>
      <c r="H1332" t="s"/>
      <c r="I1332" t="s"/>
      <c r="J1332" t="n">
        <v>0.4215</v>
      </c>
      <c r="K1332" t="n">
        <v>0.075</v>
      </c>
      <c r="L1332" t="n">
        <v>0.777</v>
      </c>
      <c r="M1332" t="n">
        <v>0.148</v>
      </c>
    </row>
    <row r="1333" spans="1:13">
      <c r="A1333" s="1">
        <f>HYPERLINK("http://www.twitter.com/NathanBLawrence/status/993688977797468162", "993688977797468162")</f>
        <v/>
      </c>
      <c r="B1333" s="2" t="n">
        <v>43228.13064814815</v>
      </c>
      <c r="C1333" t="n">
        <v>0</v>
      </c>
      <c r="D1333" t="n">
        <v>1</v>
      </c>
      <c r="E1333" t="s">
        <v>1329</v>
      </c>
      <c r="F1333" t="s"/>
      <c r="G1333" t="s"/>
      <c r="H1333" t="s"/>
      <c r="I1333" t="s"/>
      <c r="J1333" t="n">
        <v>-0.0772</v>
      </c>
      <c r="K1333" t="n">
        <v>0.176</v>
      </c>
      <c r="L1333" t="n">
        <v>0.661</v>
      </c>
      <c r="M1333" t="n">
        <v>0.163</v>
      </c>
    </row>
    <row r="1334" spans="1:13">
      <c r="A1334" s="1">
        <f>HYPERLINK("http://www.twitter.com/NathanBLawrence/status/993687858291593216", "993687858291593216")</f>
        <v/>
      </c>
      <c r="B1334" s="2" t="n">
        <v>43228.12755787037</v>
      </c>
      <c r="C1334" t="n">
        <v>2</v>
      </c>
      <c r="D1334" t="n">
        <v>1</v>
      </c>
      <c r="E1334" t="s">
        <v>1330</v>
      </c>
      <c r="F1334" t="s"/>
      <c r="G1334" t="s"/>
      <c r="H1334" t="s"/>
      <c r="I1334" t="s"/>
      <c r="J1334" t="n">
        <v>-0.0772</v>
      </c>
      <c r="K1334" t="n">
        <v>0.162</v>
      </c>
      <c r="L1334" t="n">
        <v>0.6879999999999999</v>
      </c>
      <c r="M1334" t="n">
        <v>0.15</v>
      </c>
    </row>
    <row r="1335" spans="1:13">
      <c r="A1335" s="1">
        <f>HYPERLINK("http://www.twitter.com/NathanBLawrence/status/993687277778980864", "993687277778980864")</f>
        <v/>
      </c>
      <c r="B1335" s="2" t="n">
        <v>43228.12596064815</v>
      </c>
      <c r="C1335" t="n">
        <v>0</v>
      </c>
      <c r="D1335" t="n">
        <v>5</v>
      </c>
      <c r="E1335" t="s">
        <v>1331</v>
      </c>
      <c r="F1335" t="s"/>
      <c r="G1335" t="s"/>
      <c r="H1335" t="s"/>
      <c r="I1335" t="s"/>
      <c r="J1335" t="n">
        <v>-0.296</v>
      </c>
      <c r="K1335" t="n">
        <v>0.08400000000000001</v>
      </c>
      <c r="L1335" t="n">
        <v>0.916</v>
      </c>
      <c r="M1335" t="n">
        <v>0</v>
      </c>
    </row>
    <row r="1336" spans="1:13">
      <c r="A1336" s="1">
        <f>HYPERLINK("http://www.twitter.com/NathanBLawrence/status/993687114410754050", "993687114410754050")</f>
        <v/>
      </c>
      <c r="B1336" s="2" t="n">
        <v>43228.12550925926</v>
      </c>
      <c r="C1336" t="n">
        <v>0</v>
      </c>
      <c r="D1336" t="n">
        <v>1</v>
      </c>
      <c r="E1336" t="s">
        <v>1332</v>
      </c>
      <c r="F1336" t="s"/>
      <c r="G1336" t="s"/>
      <c r="H1336" t="s"/>
      <c r="I1336" t="s"/>
      <c r="J1336" t="n">
        <v>0</v>
      </c>
      <c r="K1336" t="n">
        <v>0</v>
      </c>
      <c r="L1336" t="n">
        <v>1</v>
      </c>
      <c r="M1336" t="n">
        <v>0</v>
      </c>
    </row>
    <row r="1337" spans="1:13">
      <c r="A1337" s="1">
        <f>HYPERLINK("http://www.twitter.com/NathanBLawrence/status/993686117512867840", "993686117512867840")</f>
        <v/>
      </c>
      <c r="B1337" s="2" t="n">
        <v>43228.12275462963</v>
      </c>
      <c r="C1337" t="n">
        <v>2</v>
      </c>
      <c r="D1337" t="n">
        <v>1</v>
      </c>
      <c r="E1337" t="s">
        <v>1333</v>
      </c>
      <c r="F1337" t="s"/>
      <c r="G1337" t="s"/>
      <c r="H1337" t="s"/>
      <c r="I1337" t="s"/>
      <c r="J1337" t="n">
        <v>-0.296</v>
      </c>
      <c r="K1337" t="n">
        <v>0.17</v>
      </c>
      <c r="L1337" t="n">
        <v>0.6909999999999999</v>
      </c>
      <c r="M1337" t="n">
        <v>0.138</v>
      </c>
    </row>
    <row r="1338" spans="1:13">
      <c r="A1338" s="1">
        <f>HYPERLINK("http://www.twitter.com/NathanBLawrence/status/993686108067287040", "993686108067287040")</f>
        <v/>
      </c>
      <c r="B1338" s="2" t="n">
        <v>43228.12273148148</v>
      </c>
      <c r="C1338" t="n">
        <v>4</v>
      </c>
      <c r="D1338" t="n">
        <v>0</v>
      </c>
      <c r="E1338" t="s">
        <v>1334</v>
      </c>
      <c r="F1338" t="s"/>
      <c r="G1338" t="s"/>
      <c r="H1338" t="s"/>
      <c r="I1338" t="s"/>
      <c r="J1338" t="n">
        <v>-0.8270999999999999</v>
      </c>
      <c r="K1338" t="n">
        <v>0.186</v>
      </c>
      <c r="L1338" t="n">
        <v>0.8139999999999999</v>
      </c>
      <c r="M1338" t="n">
        <v>0</v>
      </c>
    </row>
    <row r="1339" spans="1:13">
      <c r="A1339" s="1">
        <f>HYPERLINK("http://www.twitter.com/NathanBLawrence/status/993682855090905088", "993682855090905088")</f>
        <v/>
      </c>
      <c r="B1339" s="2" t="n">
        <v>43228.11376157407</v>
      </c>
      <c r="C1339" t="n">
        <v>0</v>
      </c>
      <c r="D1339" t="n">
        <v>16</v>
      </c>
      <c r="E1339" t="s">
        <v>1335</v>
      </c>
      <c r="F1339">
        <f>HYPERLINK("http://pbs.twimg.com/media/DcpCFzdVMAAgSJn.jpg", "http://pbs.twimg.com/media/DcpCFzdVMAAgSJn.jpg")</f>
        <v/>
      </c>
      <c r="G1339" t="s"/>
      <c r="H1339" t="s"/>
      <c r="I1339" t="s"/>
      <c r="J1339" t="n">
        <v>-0.4767</v>
      </c>
      <c r="K1339" t="n">
        <v>0.193</v>
      </c>
      <c r="L1339" t="n">
        <v>0.8070000000000001</v>
      </c>
      <c r="M1339" t="n">
        <v>0</v>
      </c>
    </row>
    <row r="1340" spans="1:13">
      <c r="A1340" s="1">
        <f>HYPERLINK("http://www.twitter.com/NathanBLawrence/status/993658047561195520", "993658047561195520")</f>
        <v/>
      </c>
      <c r="B1340" s="2" t="n">
        <v>43228.04530092593</v>
      </c>
      <c r="C1340" t="n">
        <v>0</v>
      </c>
      <c r="D1340" t="n">
        <v>4</v>
      </c>
      <c r="E1340" t="s">
        <v>1336</v>
      </c>
      <c r="F1340" t="s"/>
      <c r="G1340" t="s"/>
      <c r="H1340" t="s"/>
      <c r="I1340" t="s"/>
      <c r="J1340" t="n">
        <v>0</v>
      </c>
      <c r="K1340" t="n">
        <v>0</v>
      </c>
      <c r="L1340" t="n">
        <v>1</v>
      </c>
      <c r="M1340" t="n">
        <v>0</v>
      </c>
    </row>
    <row r="1341" spans="1:13">
      <c r="A1341" s="1">
        <f>HYPERLINK("http://www.twitter.com/NathanBLawrence/status/993657951947841542", "993657951947841542")</f>
        <v/>
      </c>
      <c r="B1341" s="2" t="n">
        <v>43228.04503472222</v>
      </c>
      <c r="C1341" t="n">
        <v>0</v>
      </c>
      <c r="D1341" t="n">
        <v>0</v>
      </c>
      <c r="E1341" t="s">
        <v>1337</v>
      </c>
      <c r="F1341" t="s"/>
      <c r="G1341" t="s"/>
      <c r="H1341" t="s"/>
      <c r="I1341" t="s"/>
      <c r="J1341" t="n">
        <v>0</v>
      </c>
      <c r="K1341" t="n">
        <v>0</v>
      </c>
      <c r="L1341" t="n">
        <v>1</v>
      </c>
      <c r="M1341" t="n">
        <v>0</v>
      </c>
    </row>
    <row r="1342" spans="1:13">
      <c r="A1342" s="1">
        <f>HYPERLINK("http://www.twitter.com/NathanBLawrence/status/993657464364195840", "993657464364195840")</f>
        <v/>
      </c>
      <c r="B1342" s="2" t="n">
        <v>43228.04369212963</v>
      </c>
      <c r="C1342" t="n">
        <v>1</v>
      </c>
      <c r="D1342" t="n">
        <v>0</v>
      </c>
      <c r="E1342" t="s">
        <v>1338</v>
      </c>
      <c r="F1342" t="s"/>
      <c r="G1342" t="s"/>
      <c r="H1342" t="s"/>
      <c r="I1342" t="s"/>
      <c r="J1342" t="n">
        <v>0.4753</v>
      </c>
      <c r="K1342" t="n">
        <v>0</v>
      </c>
      <c r="L1342" t="n">
        <v>0.786</v>
      </c>
      <c r="M1342" t="n">
        <v>0.214</v>
      </c>
    </row>
    <row r="1343" spans="1:13">
      <c r="A1343" s="1">
        <f>HYPERLINK("http://www.twitter.com/NathanBLawrence/status/993639345759379457", "993639345759379457")</f>
        <v/>
      </c>
      <c r="B1343" s="2" t="n">
        <v>43227.99369212963</v>
      </c>
      <c r="C1343" t="n">
        <v>0</v>
      </c>
      <c r="D1343" t="n">
        <v>15</v>
      </c>
      <c r="E1343" t="s">
        <v>1339</v>
      </c>
      <c r="F1343">
        <f>HYPERLINK("http://pbs.twimg.com/media/DcmLm5LU8AIr2bi.jpg", "http://pbs.twimg.com/media/DcmLm5LU8AIr2bi.jpg")</f>
        <v/>
      </c>
      <c r="G1343" t="s"/>
      <c r="H1343" t="s"/>
      <c r="I1343" t="s"/>
      <c r="J1343" t="n">
        <v>0.4648</v>
      </c>
      <c r="K1343" t="n">
        <v>0</v>
      </c>
      <c r="L1343" t="n">
        <v>0.879</v>
      </c>
      <c r="M1343" t="n">
        <v>0.121</v>
      </c>
    </row>
    <row r="1344" spans="1:13">
      <c r="A1344" s="1">
        <f>HYPERLINK("http://www.twitter.com/NathanBLawrence/status/993637085826428928", "993637085826428928")</f>
        <v/>
      </c>
      <c r="B1344" s="2" t="n">
        <v>43227.9874537037</v>
      </c>
      <c r="C1344" t="n">
        <v>2</v>
      </c>
      <c r="D1344" t="n">
        <v>1</v>
      </c>
      <c r="E1344" t="s">
        <v>1340</v>
      </c>
      <c r="F1344">
        <f>HYPERLINK("http://pbs.twimg.com/media/DcobqSUWkAAS2PA.jpg", "http://pbs.twimg.com/media/DcobqSUWkAAS2PA.jpg")</f>
        <v/>
      </c>
      <c r="G1344" t="s"/>
      <c r="H1344" t="s"/>
      <c r="I1344" t="s"/>
      <c r="J1344" t="n">
        <v>0</v>
      </c>
      <c r="K1344" t="n">
        <v>0</v>
      </c>
      <c r="L1344" t="n">
        <v>1</v>
      </c>
      <c r="M1344" t="n">
        <v>0</v>
      </c>
    </row>
    <row r="1345" spans="1:13">
      <c r="A1345" s="1">
        <f>HYPERLINK("http://www.twitter.com/NathanBLawrence/status/993636945015304194", "993636945015304194")</f>
        <v/>
      </c>
      <c r="B1345" s="2" t="n">
        <v>43227.98707175926</v>
      </c>
      <c r="C1345" t="n">
        <v>0</v>
      </c>
      <c r="D1345" t="n">
        <v>1</v>
      </c>
      <c r="E1345" t="s">
        <v>1341</v>
      </c>
      <c r="F1345" t="s"/>
      <c r="G1345" t="s"/>
      <c r="H1345" t="s"/>
      <c r="I1345" t="s"/>
      <c r="J1345" t="n">
        <v>0.34</v>
      </c>
      <c r="K1345" t="n">
        <v>0</v>
      </c>
      <c r="L1345" t="n">
        <v>0.806</v>
      </c>
      <c r="M1345" t="n">
        <v>0.194</v>
      </c>
    </row>
    <row r="1346" spans="1:13">
      <c r="A1346" s="1">
        <f>HYPERLINK("http://www.twitter.com/NathanBLawrence/status/993636914946363392", "993636914946363392")</f>
        <v/>
      </c>
      <c r="B1346" s="2" t="n">
        <v>43227.98699074074</v>
      </c>
      <c r="C1346" t="n">
        <v>0</v>
      </c>
      <c r="D1346" t="n">
        <v>160</v>
      </c>
      <c r="E1346" t="s">
        <v>1342</v>
      </c>
      <c r="F1346" t="s"/>
      <c r="G1346" t="s"/>
      <c r="H1346" t="s"/>
      <c r="I1346" t="s"/>
      <c r="J1346" t="n">
        <v>-0.1779</v>
      </c>
      <c r="K1346" t="n">
        <v>0.147</v>
      </c>
      <c r="L1346" t="n">
        <v>0.736</v>
      </c>
      <c r="M1346" t="n">
        <v>0.117</v>
      </c>
    </row>
    <row r="1347" spans="1:13">
      <c r="A1347" s="1">
        <f>HYPERLINK("http://www.twitter.com/NathanBLawrence/status/993636692966957057", "993636692966957057")</f>
        <v/>
      </c>
      <c r="B1347" s="2" t="n">
        <v>43227.98637731482</v>
      </c>
      <c r="C1347" t="n">
        <v>0</v>
      </c>
      <c r="D1347" t="n">
        <v>33</v>
      </c>
      <c r="E1347" t="s">
        <v>1343</v>
      </c>
      <c r="F1347">
        <f>HYPERLINK("http://pbs.twimg.com/media/DcmEK5wWsAUm-8m.jpg", "http://pbs.twimg.com/media/DcmEK5wWsAUm-8m.jpg")</f>
        <v/>
      </c>
      <c r="G1347" t="s"/>
      <c r="H1347" t="s"/>
      <c r="I1347" t="s"/>
      <c r="J1347" t="n">
        <v>0</v>
      </c>
      <c r="K1347" t="n">
        <v>0</v>
      </c>
      <c r="L1347" t="n">
        <v>1</v>
      </c>
      <c r="M1347" t="n">
        <v>0</v>
      </c>
    </row>
    <row r="1348" spans="1:13">
      <c r="A1348" s="1">
        <f>HYPERLINK("http://www.twitter.com/NathanBLawrence/status/993636300380102662", "993636300380102662")</f>
        <v/>
      </c>
      <c r="B1348" s="2" t="n">
        <v>43227.98528935185</v>
      </c>
      <c r="C1348" t="n">
        <v>0</v>
      </c>
      <c r="D1348" t="n">
        <v>3</v>
      </c>
      <c r="E1348" t="s">
        <v>1344</v>
      </c>
      <c r="F1348" t="s"/>
      <c r="G1348" t="s"/>
      <c r="H1348" t="s"/>
      <c r="I1348" t="s"/>
      <c r="J1348" t="n">
        <v>0</v>
      </c>
      <c r="K1348" t="n">
        <v>0</v>
      </c>
      <c r="L1348" t="n">
        <v>1</v>
      </c>
      <c r="M1348" t="n">
        <v>0</v>
      </c>
    </row>
    <row r="1349" spans="1:13">
      <c r="A1349" s="1">
        <f>HYPERLINK("http://www.twitter.com/NathanBLawrence/status/993635935437848576", "993635935437848576")</f>
        <v/>
      </c>
      <c r="B1349" s="2" t="n">
        <v>43227.98428240741</v>
      </c>
      <c r="C1349" t="n">
        <v>1</v>
      </c>
      <c r="D1349" t="n">
        <v>0</v>
      </c>
      <c r="E1349" t="s">
        <v>1345</v>
      </c>
      <c r="F1349">
        <f>HYPERLINK("http://pbs.twimg.com/media/DcoanQAX4AE_VNi.jpg", "http://pbs.twimg.com/media/DcoanQAX4AE_VNi.jpg")</f>
        <v/>
      </c>
      <c r="G1349">
        <f>HYPERLINK("http://pbs.twimg.com/media/DcoanQFXUAUXzHV.jpg", "http://pbs.twimg.com/media/DcoanQFXUAUXzHV.jpg")</f>
        <v/>
      </c>
      <c r="H1349" t="s"/>
      <c r="I1349" t="s"/>
      <c r="J1349" t="n">
        <v>0</v>
      </c>
      <c r="K1349" t="n">
        <v>0</v>
      </c>
      <c r="L1349" t="n">
        <v>1</v>
      </c>
      <c r="M1349" t="n">
        <v>0</v>
      </c>
    </row>
    <row r="1350" spans="1:13">
      <c r="A1350" s="1">
        <f>HYPERLINK("http://www.twitter.com/NathanBLawrence/status/993635721692045313", "993635721692045313")</f>
        <v/>
      </c>
      <c r="B1350" s="2" t="n">
        <v>43227.98369212963</v>
      </c>
      <c r="C1350" t="n">
        <v>0</v>
      </c>
      <c r="D1350" t="n">
        <v>9</v>
      </c>
      <c r="E1350" t="s">
        <v>1346</v>
      </c>
      <c r="F1350" t="s"/>
      <c r="G1350" t="s"/>
      <c r="H1350" t="s"/>
      <c r="I1350" t="s"/>
      <c r="J1350" t="n">
        <v>-0.4939</v>
      </c>
      <c r="K1350" t="n">
        <v>0.167</v>
      </c>
      <c r="L1350" t="n">
        <v>0.833</v>
      </c>
      <c r="M1350" t="n">
        <v>0</v>
      </c>
    </row>
    <row r="1351" spans="1:13">
      <c r="A1351" s="1">
        <f>HYPERLINK("http://www.twitter.com/NathanBLawrence/status/993631611550928896", "993631611550928896")</f>
        <v/>
      </c>
      <c r="B1351" s="2" t="n">
        <v>43227.97234953703</v>
      </c>
      <c r="C1351" t="n">
        <v>1</v>
      </c>
      <c r="D1351" t="n">
        <v>2</v>
      </c>
      <c r="E1351" t="s">
        <v>1347</v>
      </c>
      <c r="F1351">
        <f>HYPERLINK("http://pbs.twimg.com/media/DcoWqRVWkAE4FvQ.jpg", "http://pbs.twimg.com/media/DcoWqRVWkAE4FvQ.jpg")</f>
        <v/>
      </c>
      <c r="G1351" t="s"/>
      <c r="H1351" t="s"/>
      <c r="I1351" t="s"/>
      <c r="J1351" t="n">
        <v>0</v>
      </c>
      <c r="K1351" t="n">
        <v>0</v>
      </c>
      <c r="L1351" t="n">
        <v>1</v>
      </c>
      <c r="M1351" t="n">
        <v>0</v>
      </c>
    </row>
    <row r="1352" spans="1:13">
      <c r="A1352" s="1">
        <f>HYPERLINK("http://www.twitter.com/NathanBLawrence/status/993629791311065088", "993629791311065088")</f>
        <v/>
      </c>
      <c r="B1352" s="2" t="n">
        <v>43227.96732638889</v>
      </c>
      <c r="C1352" t="n">
        <v>0</v>
      </c>
      <c r="D1352" t="n">
        <v>0</v>
      </c>
      <c r="E1352" t="s">
        <v>1348</v>
      </c>
      <c r="F1352">
        <f>HYPERLINK("http://pbs.twimg.com/media/DcoVBL5U0AAjJ8-.jpg", "http://pbs.twimg.com/media/DcoVBL5U0AAjJ8-.jpg")</f>
        <v/>
      </c>
      <c r="G1352" t="s"/>
      <c r="H1352" t="s"/>
      <c r="I1352" t="s"/>
      <c r="J1352" t="n">
        <v>0</v>
      </c>
      <c r="K1352" t="n">
        <v>0</v>
      </c>
      <c r="L1352" t="n">
        <v>1</v>
      </c>
      <c r="M1352" t="n">
        <v>0</v>
      </c>
    </row>
    <row r="1353" spans="1:13">
      <c r="A1353" s="1">
        <f>HYPERLINK("http://www.twitter.com/NathanBLawrence/status/993629304335618048", "993629304335618048")</f>
        <v/>
      </c>
      <c r="B1353" s="2" t="n">
        <v>43227.9659837963</v>
      </c>
      <c r="C1353" t="n">
        <v>0</v>
      </c>
      <c r="D1353" t="n">
        <v>0</v>
      </c>
      <c r="E1353" t="s">
        <v>1349</v>
      </c>
      <c r="F1353">
        <f>HYPERLINK("http://pbs.twimg.com/media/DcoUlNIVQAArf_J.jpg", "http://pbs.twimg.com/media/DcoUlNIVQAArf_J.jpg")</f>
        <v/>
      </c>
      <c r="G1353" t="s"/>
      <c r="H1353" t="s"/>
      <c r="I1353" t="s"/>
      <c r="J1353" t="n">
        <v>-0.4939</v>
      </c>
      <c r="K1353" t="n">
        <v>0.314</v>
      </c>
      <c r="L1353" t="n">
        <v>0.6860000000000001</v>
      </c>
      <c r="M1353" t="n">
        <v>0</v>
      </c>
    </row>
    <row r="1354" spans="1:13">
      <c r="A1354" s="1">
        <f>HYPERLINK("http://www.twitter.com/NathanBLawrence/status/993629095870255105", "993629095870255105")</f>
        <v/>
      </c>
      <c r="B1354" s="2" t="n">
        <v>43227.96540509259</v>
      </c>
      <c r="C1354" t="n">
        <v>0</v>
      </c>
      <c r="D1354" t="n">
        <v>0</v>
      </c>
      <c r="E1354" t="s">
        <v>1350</v>
      </c>
      <c r="F1354">
        <f>HYPERLINK("http://pbs.twimg.com/media/DcoUZIDUQAAhriD.jpg", "http://pbs.twimg.com/media/DcoUZIDUQAAhriD.jpg")</f>
        <v/>
      </c>
      <c r="G1354" t="s"/>
      <c r="H1354" t="s"/>
      <c r="I1354" t="s"/>
      <c r="J1354" t="n">
        <v>-0.4939</v>
      </c>
      <c r="K1354" t="n">
        <v>0.286</v>
      </c>
      <c r="L1354" t="n">
        <v>0.714</v>
      </c>
      <c r="M1354" t="n">
        <v>0</v>
      </c>
    </row>
    <row r="1355" spans="1:13">
      <c r="A1355" s="1">
        <f>HYPERLINK("http://www.twitter.com/NathanBLawrence/status/993629011468316673", "993629011468316673")</f>
        <v/>
      </c>
      <c r="B1355" s="2" t="n">
        <v>43227.96517361111</v>
      </c>
      <c r="C1355" t="n">
        <v>0</v>
      </c>
      <c r="D1355" t="n">
        <v>0</v>
      </c>
      <c r="E1355" t="s">
        <v>1351</v>
      </c>
      <c r="F1355">
        <f>HYPERLINK("http://pbs.twimg.com/media/DcoUUQwU0AADcYK.jpg", "http://pbs.twimg.com/media/DcoUUQwU0AADcYK.jpg")</f>
        <v/>
      </c>
      <c r="G1355" t="s"/>
      <c r="H1355" t="s"/>
      <c r="I1355" t="s"/>
      <c r="J1355" t="n">
        <v>-0.4939</v>
      </c>
      <c r="K1355" t="n">
        <v>0.286</v>
      </c>
      <c r="L1355" t="n">
        <v>0.714</v>
      </c>
      <c r="M1355" t="n">
        <v>0</v>
      </c>
    </row>
    <row r="1356" spans="1:13">
      <c r="A1356" s="1">
        <f>HYPERLINK("http://www.twitter.com/NathanBLawrence/status/993628883269320707", "993628883269320707")</f>
        <v/>
      </c>
      <c r="B1356" s="2" t="n">
        <v>43227.96482638889</v>
      </c>
      <c r="C1356" t="n">
        <v>0</v>
      </c>
      <c r="D1356" t="n">
        <v>0</v>
      </c>
      <c r="E1356" t="s">
        <v>1352</v>
      </c>
      <c r="F1356">
        <f>HYPERLINK("http://pbs.twimg.com/media/DcoUMfNVMAA_sUo.jpg", "http://pbs.twimg.com/media/DcoUMfNVMAA_sUo.jpg")</f>
        <v/>
      </c>
      <c r="G1356" t="s"/>
      <c r="H1356" t="s"/>
      <c r="I1356" t="s"/>
      <c r="J1356" t="n">
        <v>-0.4939</v>
      </c>
      <c r="K1356" t="n">
        <v>0.286</v>
      </c>
      <c r="L1356" t="n">
        <v>0.714</v>
      </c>
      <c r="M1356" t="n">
        <v>0</v>
      </c>
    </row>
    <row r="1357" spans="1:13">
      <c r="A1357" s="1">
        <f>HYPERLINK("http://www.twitter.com/NathanBLawrence/status/993628779158401024", "993628779158401024")</f>
        <v/>
      </c>
      <c r="B1357" s="2" t="n">
        <v>43227.96453703703</v>
      </c>
      <c r="C1357" t="n">
        <v>0</v>
      </c>
      <c r="D1357" t="n">
        <v>13</v>
      </c>
      <c r="E1357" t="s">
        <v>1353</v>
      </c>
      <c r="F1357" t="s"/>
      <c r="G1357" t="s"/>
      <c r="H1357" t="s"/>
      <c r="I1357" t="s"/>
      <c r="J1357" t="n">
        <v>0</v>
      </c>
      <c r="K1357" t="n">
        <v>0</v>
      </c>
      <c r="L1357" t="n">
        <v>1</v>
      </c>
      <c r="M1357" t="n">
        <v>0</v>
      </c>
    </row>
    <row r="1358" spans="1:13">
      <c r="A1358" s="1">
        <f>HYPERLINK("http://www.twitter.com/NathanBLawrence/status/993628609108742144", "993628609108742144")</f>
        <v/>
      </c>
      <c r="B1358" s="2" t="n">
        <v>43227.9640625</v>
      </c>
      <c r="C1358" t="n">
        <v>0</v>
      </c>
      <c r="D1358" t="n">
        <v>0</v>
      </c>
      <c r="E1358" t="s">
        <v>1354</v>
      </c>
      <c r="F1358">
        <f>HYPERLINK("http://pbs.twimg.com/media/DcoT8zhVAAISx2K.jpg", "http://pbs.twimg.com/media/DcoT8zhVAAISx2K.jpg")</f>
        <v/>
      </c>
      <c r="G1358" t="s"/>
      <c r="H1358" t="s"/>
      <c r="I1358" t="s"/>
      <c r="J1358" t="n">
        <v>-0.4939</v>
      </c>
      <c r="K1358" t="n">
        <v>0.262</v>
      </c>
      <c r="L1358" t="n">
        <v>0.738</v>
      </c>
      <c r="M1358" t="n">
        <v>0</v>
      </c>
    </row>
    <row r="1359" spans="1:13">
      <c r="A1359" s="1">
        <f>HYPERLINK("http://www.twitter.com/NathanBLawrence/status/993628555694178309", "993628555694178309")</f>
        <v/>
      </c>
      <c r="B1359" s="2" t="n">
        <v>43227.96392361111</v>
      </c>
      <c r="C1359" t="n">
        <v>2</v>
      </c>
      <c r="D1359" t="n">
        <v>1</v>
      </c>
      <c r="E1359" t="s">
        <v>1355</v>
      </c>
      <c r="F1359">
        <f>HYPERLINK("http://pbs.twimg.com/media/DcoT5gqUwAAD9Lu.jpg", "http://pbs.twimg.com/media/DcoT5gqUwAAD9Lu.jpg")</f>
        <v/>
      </c>
      <c r="G1359" t="s"/>
      <c r="H1359" t="s"/>
      <c r="I1359" t="s"/>
      <c r="J1359" t="n">
        <v>-0.4939</v>
      </c>
      <c r="K1359" t="n">
        <v>0.262</v>
      </c>
      <c r="L1359" t="n">
        <v>0.738</v>
      </c>
      <c r="M1359" t="n">
        <v>0</v>
      </c>
    </row>
    <row r="1360" spans="1:13">
      <c r="A1360" s="1">
        <f>HYPERLINK("http://www.twitter.com/NathanBLawrence/status/993628344922071040", "993628344922071040")</f>
        <v/>
      </c>
      <c r="B1360" s="2" t="n">
        <v>43227.96333333333</v>
      </c>
      <c r="C1360" t="n">
        <v>0</v>
      </c>
      <c r="D1360" t="n">
        <v>0</v>
      </c>
      <c r="E1360" t="s">
        <v>1356</v>
      </c>
      <c r="F1360" t="s"/>
      <c r="G1360" t="s"/>
      <c r="H1360" t="s"/>
      <c r="I1360" t="s"/>
      <c r="J1360" t="n">
        <v>0</v>
      </c>
      <c r="K1360" t="n">
        <v>0</v>
      </c>
      <c r="L1360" t="n">
        <v>1</v>
      </c>
      <c r="M1360" t="n">
        <v>0</v>
      </c>
    </row>
    <row r="1361" spans="1:13">
      <c r="A1361" s="1">
        <f>HYPERLINK("http://www.twitter.com/NathanBLawrence/status/993628033545392134", "993628033545392134")</f>
        <v/>
      </c>
      <c r="B1361" s="2" t="n">
        <v>43227.96247685186</v>
      </c>
      <c r="C1361" t="n">
        <v>0</v>
      </c>
      <c r="D1361" t="n">
        <v>1</v>
      </c>
      <c r="E1361" t="s">
        <v>1357</v>
      </c>
      <c r="F1361" t="s"/>
      <c r="G1361" t="s"/>
      <c r="H1361" t="s"/>
      <c r="I1361" t="s"/>
      <c r="J1361" t="n">
        <v>0.3804</v>
      </c>
      <c r="K1361" t="n">
        <v>0</v>
      </c>
      <c r="L1361" t="n">
        <v>0.844</v>
      </c>
      <c r="M1361" t="n">
        <v>0.156</v>
      </c>
    </row>
    <row r="1362" spans="1:13">
      <c r="A1362" s="1">
        <f>HYPERLINK("http://www.twitter.com/NathanBLawrence/status/993627380940988417", "993627380940988417")</f>
        <v/>
      </c>
      <c r="B1362" s="2" t="n">
        <v>43227.9606712963</v>
      </c>
      <c r="C1362" t="n">
        <v>0</v>
      </c>
      <c r="D1362" t="n">
        <v>2</v>
      </c>
      <c r="E1362" t="s">
        <v>1358</v>
      </c>
      <c r="F1362">
        <f>HYPERLINK("http://pbs.twimg.com/media/DckD81aVQAEqaAa.jpg", "http://pbs.twimg.com/media/DckD81aVQAEqaAa.jpg")</f>
        <v/>
      </c>
      <c r="G1362" t="s"/>
      <c r="H1362" t="s"/>
      <c r="I1362" t="s"/>
      <c r="J1362" t="n">
        <v>0</v>
      </c>
      <c r="K1362" t="n">
        <v>0</v>
      </c>
      <c r="L1362" t="n">
        <v>1</v>
      </c>
      <c r="M1362" t="n">
        <v>0</v>
      </c>
    </row>
    <row r="1363" spans="1:13">
      <c r="A1363" s="1">
        <f>HYPERLINK("http://www.twitter.com/NathanBLawrence/status/993627210698379264", "993627210698379264")</f>
        <v/>
      </c>
      <c r="B1363" s="2" t="n">
        <v>43227.96020833333</v>
      </c>
      <c r="C1363" t="n">
        <v>0</v>
      </c>
      <c r="D1363" t="n">
        <v>0</v>
      </c>
      <c r="E1363" t="s">
        <v>1359</v>
      </c>
      <c r="F1363" t="s"/>
      <c r="G1363" t="s"/>
      <c r="H1363" t="s"/>
      <c r="I1363" t="s"/>
      <c r="J1363" t="n">
        <v>-0.4939</v>
      </c>
      <c r="K1363" t="n">
        <v>0.314</v>
      </c>
      <c r="L1363" t="n">
        <v>0.6860000000000001</v>
      </c>
      <c r="M1363" t="n">
        <v>0</v>
      </c>
    </row>
    <row r="1364" spans="1:13">
      <c r="A1364" s="1">
        <f>HYPERLINK("http://www.twitter.com/NathanBLawrence/status/993626674670555136", "993626674670555136")</f>
        <v/>
      </c>
      <c r="B1364" s="2" t="n">
        <v>43227.95872685185</v>
      </c>
      <c r="C1364" t="n">
        <v>0</v>
      </c>
      <c r="D1364" t="n">
        <v>0</v>
      </c>
      <c r="E1364" t="s">
        <v>1360</v>
      </c>
      <c r="F1364">
        <f>HYPERLINK("http://pbs.twimg.com/media/DcoSKRGWAAAdWcB.jpg", "http://pbs.twimg.com/media/DcoSKRGWAAAdWcB.jpg")</f>
        <v/>
      </c>
      <c r="G1364" t="s"/>
      <c r="H1364" t="s"/>
      <c r="I1364" t="s"/>
      <c r="J1364" t="n">
        <v>0</v>
      </c>
      <c r="K1364" t="n">
        <v>0</v>
      </c>
      <c r="L1364" t="n">
        <v>1</v>
      </c>
      <c r="M1364" t="n">
        <v>0</v>
      </c>
    </row>
    <row r="1365" spans="1:13">
      <c r="A1365" s="1">
        <f>HYPERLINK("http://www.twitter.com/NathanBLawrence/status/993333488408547328", "993333488408547328")</f>
        <v/>
      </c>
      <c r="B1365" s="2" t="n">
        <v>43227.1496875</v>
      </c>
      <c r="C1365" t="n">
        <v>0</v>
      </c>
      <c r="D1365" t="n">
        <v>2</v>
      </c>
      <c r="E1365" t="s">
        <v>1361</v>
      </c>
      <c r="F1365">
        <f>HYPERLINK("http://pbs.twimg.com/media/Dcj9xp2VAAAtqKc.jpg", "http://pbs.twimg.com/media/Dcj9xp2VAAAtqKc.jpg")</f>
        <v/>
      </c>
      <c r="G1365" t="s"/>
      <c r="H1365" t="s"/>
      <c r="I1365" t="s"/>
      <c r="J1365" t="n">
        <v>-0.7964</v>
      </c>
      <c r="K1365" t="n">
        <v>0.307</v>
      </c>
      <c r="L1365" t="n">
        <v>0.6929999999999999</v>
      </c>
      <c r="M1365" t="n">
        <v>0</v>
      </c>
    </row>
    <row r="1366" spans="1:13">
      <c r="A1366" s="1">
        <f>HYPERLINK("http://www.twitter.com/NathanBLawrence/status/993329960935976960", "993329960935976960")</f>
        <v/>
      </c>
      <c r="B1366" s="2" t="n">
        <v>43227.13995370371</v>
      </c>
      <c r="C1366" t="n">
        <v>0</v>
      </c>
      <c r="D1366" t="n">
        <v>1</v>
      </c>
      <c r="E1366" t="s">
        <v>1362</v>
      </c>
      <c r="F1366" t="s"/>
      <c r="G1366" t="s"/>
      <c r="H1366" t="s"/>
      <c r="I1366" t="s"/>
      <c r="J1366" t="n">
        <v>0</v>
      </c>
      <c r="K1366" t="n">
        <v>0</v>
      </c>
      <c r="L1366" t="n">
        <v>1</v>
      </c>
      <c r="M1366" t="n">
        <v>0</v>
      </c>
    </row>
    <row r="1367" spans="1:13">
      <c r="A1367" s="1">
        <f>HYPERLINK("http://www.twitter.com/NathanBLawrence/status/993329542713528320", "993329542713528320")</f>
        <v/>
      </c>
      <c r="B1367" s="2" t="n">
        <v>43227.1387962963</v>
      </c>
      <c r="C1367" t="n">
        <v>3</v>
      </c>
      <c r="D1367" t="n">
        <v>2</v>
      </c>
      <c r="E1367" t="s">
        <v>1363</v>
      </c>
      <c r="F1367">
        <f>HYPERLINK("http://pbs.twimg.com/media/DckD81aVQAEqaAa.jpg", "http://pbs.twimg.com/media/DckD81aVQAEqaAa.jpg")</f>
        <v/>
      </c>
      <c r="G1367" t="s"/>
      <c r="H1367" t="s"/>
      <c r="I1367" t="s"/>
      <c r="J1367" t="n">
        <v>0</v>
      </c>
      <c r="K1367" t="n">
        <v>0</v>
      </c>
      <c r="L1367" t="n">
        <v>1</v>
      </c>
      <c r="M1367" t="n">
        <v>0</v>
      </c>
    </row>
    <row r="1368" spans="1:13">
      <c r="A1368" s="1">
        <f>HYPERLINK("http://www.twitter.com/NathanBLawrence/status/993328023926697985", "993328023926697985")</f>
        <v/>
      </c>
      <c r="B1368" s="2" t="n">
        <v>43227.13460648148</v>
      </c>
      <c r="C1368" t="n">
        <v>0</v>
      </c>
      <c r="D1368" t="n">
        <v>0</v>
      </c>
      <c r="E1368" t="s">
        <v>1364</v>
      </c>
      <c r="F1368" t="s"/>
      <c r="G1368" t="s"/>
      <c r="H1368" t="s"/>
      <c r="I1368" t="s"/>
      <c r="J1368" t="n">
        <v>-0.3818</v>
      </c>
      <c r="K1368" t="n">
        <v>0.322</v>
      </c>
      <c r="L1368" t="n">
        <v>0.526</v>
      </c>
      <c r="M1368" t="n">
        <v>0.151</v>
      </c>
    </row>
    <row r="1369" spans="1:13">
      <c r="A1369" s="1">
        <f>HYPERLINK("http://www.twitter.com/NathanBLawrence/status/993327302317629446", "993327302317629446")</f>
        <v/>
      </c>
      <c r="B1369" s="2" t="n">
        <v>43227.13261574074</v>
      </c>
      <c r="C1369" t="n">
        <v>0</v>
      </c>
      <c r="D1369" t="n">
        <v>3</v>
      </c>
      <c r="E1369" t="s">
        <v>1365</v>
      </c>
      <c r="F1369" t="s"/>
      <c r="G1369" t="s"/>
      <c r="H1369" t="s"/>
      <c r="I1369" t="s"/>
      <c r="J1369" t="n">
        <v>0.1695</v>
      </c>
      <c r="K1369" t="n">
        <v>0</v>
      </c>
      <c r="L1369" t="n">
        <v>0.9</v>
      </c>
      <c r="M1369" t="n">
        <v>0.1</v>
      </c>
    </row>
    <row r="1370" spans="1:13">
      <c r="A1370" s="1">
        <f>HYPERLINK("http://www.twitter.com/NathanBLawrence/status/993325851830837248", "993325851830837248")</f>
        <v/>
      </c>
      <c r="B1370" s="2" t="n">
        <v>43227.12861111111</v>
      </c>
      <c r="C1370" t="n">
        <v>0</v>
      </c>
      <c r="D1370" t="n">
        <v>3</v>
      </c>
      <c r="E1370" t="s">
        <v>1366</v>
      </c>
      <c r="F1370" t="s"/>
      <c r="G1370" t="s"/>
      <c r="H1370" t="s"/>
      <c r="I1370" t="s"/>
      <c r="J1370" t="n">
        <v>0.5719</v>
      </c>
      <c r="K1370" t="n">
        <v>0</v>
      </c>
      <c r="L1370" t="n">
        <v>0.837</v>
      </c>
      <c r="M1370" t="n">
        <v>0.163</v>
      </c>
    </row>
    <row r="1371" spans="1:13">
      <c r="A1371" s="1">
        <f>HYPERLINK("http://www.twitter.com/NathanBLawrence/status/993325654530756608", "993325654530756608")</f>
        <v/>
      </c>
      <c r="B1371" s="2" t="n">
        <v>43227.12806712963</v>
      </c>
      <c r="C1371" t="n">
        <v>0</v>
      </c>
      <c r="D1371" t="n">
        <v>2</v>
      </c>
      <c r="E1371" t="s">
        <v>1367</v>
      </c>
      <c r="F1371" t="s"/>
      <c r="G1371" t="s"/>
      <c r="H1371" t="s"/>
      <c r="I1371" t="s"/>
      <c r="J1371" t="n">
        <v>-0.9001</v>
      </c>
      <c r="K1371" t="n">
        <v>0.407</v>
      </c>
      <c r="L1371" t="n">
        <v>0.593</v>
      </c>
      <c r="M1371" t="n">
        <v>0</v>
      </c>
    </row>
    <row r="1372" spans="1:13">
      <c r="A1372" s="1">
        <f>HYPERLINK("http://www.twitter.com/NathanBLawrence/status/993322753708253184", "993322753708253184")</f>
        <v/>
      </c>
      <c r="B1372" s="2" t="n">
        <v>43227.12006944444</v>
      </c>
      <c r="C1372" t="n">
        <v>2</v>
      </c>
      <c r="D1372" t="n">
        <v>2</v>
      </c>
      <c r="E1372" t="s">
        <v>1368</v>
      </c>
      <c r="F1372">
        <f>HYPERLINK("http://pbs.twimg.com/media/Dcj9xp2VAAAtqKc.jpg", "http://pbs.twimg.com/media/Dcj9xp2VAAAtqKc.jpg")</f>
        <v/>
      </c>
      <c r="G1372" t="s"/>
      <c r="H1372" t="s"/>
      <c r="I1372" t="s"/>
      <c r="J1372" t="n">
        <v>-0.9118000000000001</v>
      </c>
      <c r="K1372" t="n">
        <v>0.262</v>
      </c>
      <c r="L1372" t="n">
        <v>0.6929999999999999</v>
      </c>
      <c r="M1372" t="n">
        <v>0.045</v>
      </c>
    </row>
    <row r="1373" spans="1:13">
      <c r="A1373" s="1">
        <f>HYPERLINK("http://www.twitter.com/NathanBLawrence/status/993321347408416768", "993321347408416768")</f>
        <v/>
      </c>
      <c r="B1373" s="2" t="n">
        <v>43227.11618055555</v>
      </c>
      <c r="C1373" t="n">
        <v>4</v>
      </c>
      <c r="D1373" t="n">
        <v>2</v>
      </c>
      <c r="E1373" t="s">
        <v>1369</v>
      </c>
      <c r="F1373" t="s"/>
      <c r="G1373" t="s"/>
      <c r="H1373" t="s"/>
      <c r="I1373" t="s"/>
      <c r="J1373" t="n">
        <v>-0.9693000000000001</v>
      </c>
      <c r="K1373" t="n">
        <v>0.41</v>
      </c>
      <c r="L1373" t="n">
        <v>0.536</v>
      </c>
      <c r="M1373" t="n">
        <v>0.054</v>
      </c>
    </row>
    <row r="1374" spans="1:13">
      <c r="A1374" s="1">
        <f>HYPERLINK("http://www.twitter.com/NathanBLawrence/status/993319839635820544", "993319839635820544")</f>
        <v/>
      </c>
      <c r="B1374" s="2" t="n">
        <v>43227.11202546296</v>
      </c>
      <c r="C1374" t="n">
        <v>1</v>
      </c>
      <c r="D1374" t="n">
        <v>0</v>
      </c>
      <c r="E1374" t="s">
        <v>1370</v>
      </c>
      <c r="F1374" t="s"/>
      <c r="G1374" t="s"/>
      <c r="H1374" t="s"/>
      <c r="I1374" t="s"/>
      <c r="J1374" t="n">
        <v>0.296</v>
      </c>
      <c r="K1374" t="n">
        <v>0.135</v>
      </c>
      <c r="L1374" t="n">
        <v>0.676</v>
      </c>
      <c r="M1374" t="n">
        <v>0.188</v>
      </c>
    </row>
    <row r="1375" spans="1:13">
      <c r="A1375" s="1">
        <f>HYPERLINK("http://www.twitter.com/NathanBLawrence/status/993318555629342720", "993318555629342720")</f>
        <v/>
      </c>
      <c r="B1375" s="2" t="n">
        <v>43227.1084837963</v>
      </c>
      <c r="C1375" t="n">
        <v>0</v>
      </c>
      <c r="D1375" t="n">
        <v>3</v>
      </c>
      <c r="E1375" t="s">
        <v>1371</v>
      </c>
      <c r="F1375" t="s"/>
      <c r="G1375" t="s"/>
      <c r="H1375" t="s"/>
      <c r="I1375" t="s"/>
      <c r="J1375" t="n">
        <v>0.4019</v>
      </c>
      <c r="K1375" t="n">
        <v>0</v>
      </c>
      <c r="L1375" t="n">
        <v>0.803</v>
      </c>
      <c r="M1375" t="n">
        <v>0.197</v>
      </c>
    </row>
    <row r="1376" spans="1:13">
      <c r="A1376" s="1">
        <f>HYPERLINK("http://www.twitter.com/NathanBLawrence/status/993318489380278273", "993318489380278273")</f>
        <v/>
      </c>
      <c r="B1376" s="2" t="n">
        <v>43227.10829861111</v>
      </c>
      <c r="C1376" t="n">
        <v>0</v>
      </c>
      <c r="D1376" t="n">
        <v>3</v>
      </c>
      <c r="E1376" t="s">
        <v>1372</v>
      </c>
      <c r="F1376" t="s"/>
      <c r="G1376" t="s"/>
      <c r="H1376" t="s"/>
      <c r="I1376" t="s"/>
      <c r="J1376" t="n">
        <v>0</v>
      </c>
      <c r="K1376" t="n">
        <v>0</v>
      </c>
      <c r="L1376" t="n">
        <v>1</v>
      </c>
      <c r="M1376" t="n">
        <v>0</v>
      </c>
    </row>
    <row r="1377" spans="1:13">
      <c r="A1377" s="1">
        <f>HYPERLINK("http://www.twitter.com/NathanBLawrence/status/993318339828121600", "993318339828121600")</f>
        <v/>
      </c>
      <c r="B1377" s="2" t="n">
        <v>43227.10788194444</v>
      </c>
      <c r="C1377" t="n">
        <v>2</v>
      </c>
      <c r="D1377" t="n">
        <v>1</v>
      </c>
      <c r="E1377" t="s">
        <v>1373</v>
      </c>
      <c r="F1377" t="s"/>
      <c r="G1377" t="s"/>
      <c r="H1377" t="s"/>
      <c r="I1377" t="s"/>
      <c r="J1377" t="n">
        <v>-0.9026999999999999</v>
      </c>
      <c r="K1377" t="n">
        <v>0.161</v>
      </c>
      <c r="L1377" t="n">
        <v>0.839</v>
      </c>
      <c r="M1377" t="n">
        <v>0</v>
      </c>
    </row>
    <row r="1378" spans="1:13">
      <c r="A1378" s="1">
        <f>HYPERLINK("http://www.twitter.com/NathanBLawrence/status/993317721688494080", "993317721688494080")</f>
        <v/>
      </c>
      <c r="B1378" s="2" t="n">
        <v>43227.10618055556</v>
      </c>
      <c r="C1378" t="n">
        <v>0</v>
      </c>
      <c r="D1378" t="n">
        <v>0</v>
      </c>
      <c r="E1378" t="s">
        <v>1374</v>
      </c>
      <c r="F1378" t="s"/>
      <c r="G1378" t="s"/>
      <c r="H1378" t="s"/>
      <c r="I1378" t="s"/>
      <c r="J1378" t="n">
        <v>0</v>
      </c>
      <c r="K1378" t="n">
        <v>0</v>
      </c>
      <c r="L1378" t="n">
        <v>1</v>
      </c>
      <c r="M1378" t="n">
        <v>0</v>
      </c>
    </row>
    <row r="1379" spans="1:13">
      <c r="A1379" s="1">
        <f>HYPERLINK("http://www.twitter.com/NathanBLawrence/status/993317264798732294", "993317264798732294")</f>
        <v/>
      </c>
      <c r="B1379" s="2" t="n">
        <v>43227.10491898148</v>
      </c>
      <c r="C1379" t="n">
        <v>0</v>
      </c>
      <c r="D1379" t="n">
        <v>1</v>
      </c>
      <c r="E1379" t="s">
        <v>1375</v>
      </c>
      <c r="F1379" t="s"/>
      <c r="G1379" t="s"/>
      <c r="H1379" t="s"/>
      <c r="I1379" t="s"/>
      <c r="J1379" t="n">
        <v>-0.2144</v>
      </c>
      <c r="K1379" t="n">
        <v>0.074</v>
      </c>
      <c r="L1379" t="n">
        <v>0.926</v>
      </c>
      <c r="M1379" t="n">
        <v>0</v>
      </c>
    </row>
    <row r="1380" spans="1:13">
      <c r="A1380" s="1">
        <f>HYPERLINK("http://www.twitter.com/NathanBLawrence/status/993317213452079104", "993317213452079104")</f>
        <v/>
      </c>
      <c r="B1380" s="2" t="n">
        <v>43227.1047800926</v>
      </c>
      <c r="C1380" t="n">
        <v>2</v>
      </c>
      <c r="D1380" t="n">
        <v>1</v>
      </c>
      <c r="E1380" t="s">
        <v>1376</v>
      </c>
      <c r="F1380" t="s"/>
      <c r="G1380" t="s"/>
      <c r="H1380" t="s"/>
      <c r="I1380" t="s"/>
      <c r="J1380" t="n">
        <v>0.6083</v>
      </c>
      <c r="K1380" t="n">
        <v>0</v>
      </c>
      <c r="L1380" t="n">
        <v>0.638</v>
      </c>
      <c r="M1380" t="n">
        <v>0.362</v>
      </c>
    </row>
    <row r="1381" spans="1:13">
      <c r="A1381" s="1">
        <f>HYPERLINK("http://www.twitter.com/NathanBLawrence/status/993317078823292928", "993317078823292928")</f>
        <v/>
      </c>
      <c r="B1381" s="2" t="n">
        <v>43227.10440972223</v>
      </c>
      <c r="C1381" t="n">
        <v>0</v>
      </c>
      <c r="D1381" t="n">
        <v>16</v>
      </c>
      <c r="E1381" t="s">
        <v>1377</v>
      </c>
      <c r="F1381">
        <f>HYPERLINK("http://pbs.twimg.com/media/DcjzO9QX0AAtJeY.jpg", "http://pbs.twimg.com/media/DcjzO9QX0AAtJeY.jpg")</f>
        <v/>
      </c>
      <c r="G1381" t="s"/>
      <c r="H1381" t="s"/>
      <c r="I1381" t="s"/>
      <c r="J1381" t="n">
        <v>0.1695</v>
      </c>
      <c r="K1381" t="n">
        <v>0</v>
      </c>
      <c r="L1381" t="n">
        <v>0.886</v>
      </c>
      <c r="M1381" t="n">
        <v>0.114</v>
      </c>
    </row>
    <row r="1382" spans="1:13">
      <c r="A1382" s="1">
        <f>HYPERLINK("http://www.twitter.com/NathanBLawrence/status/993316968110395393", "993316968110395393")</f>
        <v/>
      </c>
      <c r="B1382" s="2" t="n">
        <v>43227.10409722223</v>
      </c>
      <c r="C1382" t="n">
        <v>0</v>
      </c>
      <c r="D1382" t="n">
        <v>2</v>
      </c>
      <c r="E1382" t="s">
        <v>1378</v>
      </c>
      <c r="F1382" t="s"/>
      <c r="G1382" t="s"/>
      <c r="H1382" t="s"/>
      <c r="I1382" t="s"/>
      <c r="J1382" t="n">
        <v>0</v>
      </c>
      <c r="K1382" t="n">
        <v>0</v>
      </c>
      <c r="L1382" t="n">
        <v>1</v>
      </c>
      <c r="M1382" t="n">
        <v>0</v>
      </c>
    </row>
    <row r="1383" spans="1:13">
      <c r="A1383" s="1">
        <f>HYPERLINK("http://www.twitter.com/NathanBLawrence/status/993316591113818112", "993316591113818112")</f>
        <v/>
      </c>
      <c r="B1383" s="2" t="n">
        <v>43227.10305555556</v>
      </c>
      <c r="C1383" t="n">
        <v>4</v>
      </c>
      <c r="D1383" t="n">
        <v>3</v>
      </c>
      <c r="E1383" t="s">
        <v>1379</v>
      </c>
      <c r="F1383" t="s"/>
      <c r="G1383" t="s"/>
      <c r="H1383" t="s"/>
      <c r="I1383" t="s"/>
      <c r="J1383" t="n">
        <v>0.3612</v>
      </c>
      <c r="K1383" t="n">
        <v>0.108</v>
      </c>
      <c r="L1383" t="n">
        <v>0.726</v>
      </c>
      <c r="M1383" t="n">
        <v>0.166</v>
      </c>
    </row>
    <row r="1384" spans="1:13">
      <c r="A1384" s="1">
        <f>HYPERLINK("http://www.twitter.com/NathanBLawrence/status/993312821797670912", "993312821797670912")</f>
        <v/>
      </c>
      <c r="B1384" s="2" t="n">
        <v>43227.09266203704</v>
      </c>
      <c r="C1384" t="n">
        <v>1</v>
      </c>
      <c r="D1384" t="n">
        <v>0</v>
      </c>
      <c r="E1384" t="s">
        <v>1380</v>
      </c>
      <c r="F1384" t="s"/>
      <c r="G1384" t="s"/>
      <c r="H1384" t="s"/>
      <c r="I1384" t="s"/>
      <c r="J1384" t="n">
        <v>0.4836</v>
      </c>
      <c r="K1384" t="n">
        <v>0</v>
      </c>
      <c r="L1384" t="n">
        <v>0.915</v>
      </c>
      <c r="M1384" t="n">
        <v>0.08500000000000001</v>
      </c>
    </row>
    <row r="1385" spans="1:13">
      <c r="A1385" s="1">
        <f>HYPERLINK("http://www.twitter.com/NathanBLawrence/status/993311985285697536", "993311985285697536")</f>
        <v/>
      </c>
      <c r="B1385" s="2" t="n">
        <v>43227.09034722222</v>
      </c>
      <c r="C1385" t="n">
        <v>0</v>
      </c>
      <c r="D1385" t="n">
        <v>4</v>
      </c>
      <c r="E1385" t="s">
        <v>1381</v>
      </c>
      <c r="F1385" t="s"/>
      <c r="G1385" t="s"/>
      <c r="H1385" t="s"/>
      <c r="I1385" t="s"/>
      <c r="J1385" t="n">
        <v>-0.4404</v>
      </c>
      <c r="K1385" t="n">
        <v>0.116</v>
      </c>
      <c r="L1385" t="n">
        <v>0.884</v>
      </c>
      <c r="M1385" t="n">
        <v>0</v>
      </c>
    </row>
    <row r="1386" spans="1:13">
      <c r="A1386" s="1">
        <f>HYPERLINK("http://www.twitter.com/NathanBLawrence/status/993311899327614976", "993311899327614976")</f>
        <v/>
      </c>
      <c r="B1386" s="2" t="n">
        <v>43227.09011574074</v>
      </c>
      <c r="C1386" t="n">
        <v>3</v>
      </c>
      <c r="D1386" t="n">
        <v>3</v>
      </c>
      <c r="E1386" t="s">
        <v>1382</v>
      </c>
      <c r="F1386" t="s"/>
      <c r="G1386" t="s"/>
      <c r="H1386" t="s"/>
      <c r="I1386" t="s"/>
      <c r="J1386" t="n">
        <v>0.3612</v>
      </c>
      <c r="K1386" t="n">
        <v>0</v>
      </c>
      <c r="L1386" t="n">
        <v>0.944</v>
      </c>
      <c r="M1386" t="n">
        <v>0.056</v>
      </c>
    </row>
    <row r="1387" spans="1:13">
      <c r="A1387" s="1">
        <f>HYPERLINK("http://www.twitter.com/NathanBLawrence/status/993310344876642304", "993310344876642304")</f>
        <v/>
      </c>
      <c r="B1387" s="2" t="n">
        <v>43227.08582175926</v>
      </c>
      <c r="C1387" t="n">
        <v>0</v>
      </c>
      <c r="D1387" t="n">
        <v>2</v>
      </c>
      <c r="E1387" t="s">
        <v>1383</v>
      </c>
      <c r="F1387" t="s"/>
      <c r="G1387" t="s"/>
      <c r="H1387" t="s"/>
      <c r="I1387" t="s"/>
      <c r="J1387" t="n">
        <v>0</v>
      </c>
      <c r="K1387" t="n">
        <v>0</v>
      </c>
      <c r="L1387" t="n">
        <v>1</v>
      </c>
      <c r="M1387" t="n">
        <v>0</v>
      </c>
    </row>
    <row r="1388" spans="1:13">
      <c r="A1388" s="1">
        <f>HYPERLINK("http://www.twitter.com/NathanBLawrence/status/993310280619839488", "993310280619839488")</f>
        <v/>
      </c>
      <c r="B1388" s="2" t="n">
        <v>43227.08564814815</v>
      </c>
      <c r="C1388" t="n">
        <v>0</v>
      </c>
      <c r="D1388" t="n">
        <v>0</v>
      </c>
      <c r="E1388" t="s">
        <v>1384</v>
      </c>
      <c r="F1388" t="s"/>
      <c r="G1388" t="s"/>
      <c r="H1388" t="s"/>
      <c r="I1388" t="s"/>
      <c r="J1388" t="n">
        <v>-0.7964</v>
      </c>
      <c r="K1388" t="n">
        <v>0.197</v>
      </c>
      <c r="L1388" t="n">
        <v>0.803</v>
      </c>
      <c r="M1388" t="n">
        <v>0</v>
      </c>
    </row>
    <row r="1389" spans="1:13">
      <c r="A1389" s="1">
        <f>HYPERLINK("http://www.twitter.com/NathanBLawrence/status/993309174909071360", "993309174909071360")</f>
        <v/>
      </c>
      <c r="B1389" s="2" t="n">
        <v>43227.08259259259</v>
      </c>
      <c r="C1389" t="n">
        <v>0</v>
      </c>
      <c r="D1389" t="n">
        <v>7</v>
      </c>
      <c r="E1389" t="s">
        <v>1385</v>
      </c>
      <c r="F1389" t="s"/>
      <c r="G1389" t="s"/>
      <c r="H1389" t="s"/>
      <c r="I1389" t="s"/>
      <c r="J1389" t="n">
        <v>0</v>
      </c>
      <c r="K1389" t="n">
        <v>0</v>
      </c>
      <c r="L1389" t="n">
        <v>1</v>
      </c>
      <c r="M1389" t="n">
        <v>0</v>
      </c>
    </row>
    <row r="1390" spans="1:13">
      <c r="A1390" s="1">
        <f>HYPERLINK("http://www.twitter.com/NathanBLawrence/status/993309077680816128", "993309077680816128")</f>
        <v/>
      </c>
      <c r="B1390" s="2" t="n">
        <v>43227.08232638889</v>
      </c>
      <c r="C1390" t="n">
        <v>0</v>
      </c>
      <c r="D1390" t="n">
        <v>8</v>
      </c>
      <c r="E1390" t="s">
        <v>1386</v>
      </c>
      <c r="F1390" t="s"/>
      <c r="G1390" t="s"/>
      <c r="H1390" t="s"/>
      <c r="I1390" t="s"/>
      <c r="J1390" t="n">
        <v>0</v>
      </c>
      <c r="K1390" t="n">
        <v>0</v>
      </c>
      <c r="L1390" t="n">
        <v>1</v>
      </c>
      <c r="M1390" t="n">
        <v>0</v>
      </c>
    </row>
    <row r="1391" spans="1:13">
      <c r="A1391" s="1">
        <f>HYPERLINK("http://www.twitter.com/NathanBLawrence/status/993308629003534337", "993308629003534337")</f>
        <v/>
      </c>
      <c r="B1391" s="2" t="n">
        <v>43227.08108796296</v>
      </c>
      <c r="C1391" t="n">
        <v>0</v>
      </c>
      <c r="D1391" t="n">
        <v>0</v>
      </c>
      <c r="E1391" t="s">
        <v>1387</v>
      </c>
      <c r="F1391" t="s"/>
      <c r="G1391" t="s"/>
      <c r="H1391" t="s"/>
      <c r="I1391" t="s"/>
      <c r="J1391" t="n">
        <v>0.4215</v>
      </c>
      <c r="K1391" t="n">
        <v>0</v>
      </c>
      <c r="L1391" t="n">
        <v>0.517</v>
      </c>
      <c r="M1391" t="n">
        <v>0.483</v>
      </c>
    </row>
    <row r="1392" spans="1:13">
      <c r="A1392" s="1">
        <f>HYPERLINK("http://www.twitter.com/NathanBLawrence/status/993308211183783936", "993308211183783936")</f>
        <v/>
      </c>
      <c r="B1392" s="2" t="n">
        <v>43227.07993055556</v>
      </c>
      <c r="C1392" t="n">
        <v>2</v>
      </c>
      <c r="D1392" t="n">
        <v>0</v>
      </c>
      <c r="E1392" t="s">
        <v>1388</v>
      </c>
      <c r="F1392" t="s"/>
      <c r="G1392" t="s"/>
      <c r="H1392" t="s"/>
      <c r="I1392" t="s"/>
      <c r="J1392" t="n">
        <v>-0.34</v>
      </c>
      <c r="K1392" t="n">
        <v>0.098</v>
      </c>
      <c r="L1392" t="n">
        <v>0.8080000000000001</v>
      </c>
      <c r="M1392" t="n">
        <v>0.093</v>
      </c>
    </row>
    <row r="1393" spans="1:13">
      <c r="A1393" s="1">
        <f>HYPERLINK("http://www.twitter.com/NathanBLawrence/status/993304820508512256", "993304820508512256")</f>
        <v/>
      </c>
      <c r="B1393" s="2" t="n">
        <v>43227.0705787037</v>
      </c>
      <c r="C1393" t="n">
        <v>0</v>
      </c>
      <c r="D1393" t="n">
        <v>20</v>
      </c>
      <c r="E1393" t="s">
        <v>1389</v>
      </c>
      <c r="F1393" t="s"/>
      <c r="G1393" t="s"/>
      <c r="H1393" t="s"/>
      <c r="I1393" t="s"/>
      <c r="J1393" t="n">
        <v>-0.3127</v>
      </c>
      <c r="K1393" t="n">
        <v>0.198</v>
      </c>
      <c r="L1393" t="n">
        <v>0.6899999999999999</v>
      </c>
      <c r="M1393" t="n">
        <v>0.111</v>
      </c>
    </row>
    <row r="1394" spans="1:13">
      <c r="A1394" s="1">
        <f>HYPERLINK("http://www.twitter.com/NathanBLawrence/status/993302938662703105", "993302938662703105")</f>
        <v/>
      </c>
      <c r="B1394" s="2" t="n">
        <v>43227.06538194444</v>
      </c>
      <c r="C1394" t="n">
        <v>0</v>
      </c>
      <c r="D1394" t="n">
        <v>1</v>
      </c>
      <c r="E1394" t="s">
        <v>1390</v>
      </c>
      <c r="F1394">
        <f>HYPERLINK("http://pbs.twimg.com/media/DcijEAaV4AA8p-H.jpg", "http://pbs.twimg.com/media/DcijEAaV4AA8p-H.jpg")</f>
        <v/>
      </c>
      <c r="G1394" t="s"/>
      <c r="H1394" t="s"/>
      <c r="I1394" t="s"/>
      <c r="J1394" t="n">
        <v>0</v>
      </c>
      <c r="K1394" t="n">
        <v>0</v>
      </c>
      <c r="L1394" t="n">
        <v>1</v>
      </c>
      <c r="M1394" t="n">
        <v>0</v>
      </c>
    </row>
    <row r="1395" spans="1:13">
      <c r="A1395" s="1">
        <f>HYPERLINK("http://www.twitter.com/NathanBLawrence/status/993294150765248512", "993294150765248512")</f>
        <v/>
      </c>
      <c r="B1395" s="2" t="n">
        <v>43227.04113425926</v>
      </c>
      <c r="C1395" t="n">
        <v>0</v>
      </c>
      <c r="D1395" t="n">
        <v>3</v>
      </c>
      <c r="E1395" t="s">
        <v>1391</v>
      </c>
      <c r="F1395" t="s"/>
      <c r="G1395" t="s"/>
      <c r="H1395" t="s"/>
      <c r="I1395" t="s"/>
      <c r="J1395" t="n">
        <v>0</v>
      </c>
      <c r="K1395" t="n">
        <v>0</v>
      </c>
      <c r="L1395" t="n">
        <v>1</v>
      </c>
      <c r="M1395" t="n">
        <v>0</v>
      </c>
    </row>
    <row r="1396" spans="1:13">
      <c r="A1396" s="1">
        <f>HYPERLINK("http://www.twitter.com/NathanBLawrence/status/993293991587311616", "993293991587311616")</f>
        <v/>
      </c>
      <c r="B1396" s="2" t="n">
        <v>43227.04069444445</v>
      </c>
      <c r="C1396" t="n">
        <v>3</v>
      </c>
      <c r="D1396" t="n">
        <v>0</v>
      </c>
      <c r="E1396" t="s">
        <v>1392</v>
      </c>
      <c r="F1396" t="s"/>
      <c r="G1396" t="s"/>
      <c r="H1396" t="s"/>
      <c r="I1396" t="s"/>
      <c r="J1396" t="n">
        <v>0.0772</v>
      </c>
      <c r="K1396" t="n">
        <v>0.07099999999999999</v>
      </c>
      <c r="L1396" t="n">
        <v>0.832</v>
      </c>
      <c r="M1396" t="n">
        <v>0.098</v>
      </c>
    </row>
    <row r="1397" spans="1:13">
      <c r="A1397" s="1">
        <f>HYPERLINK("http://www.twitter.com/NathanBLawrence/status/993292766141706240", "993292766141706240")</f>
        <v/>
      </c>
      <c r="B1397" s="2" t="n">
        <v>43227.03731481481</v>
      </c>
      <c r="C1397" t="n">
        <v>0</v>
      </c>
      <c r="D1397" t="n">
        <v>5</v>
      </c>
      <c r="E1397" t="s">
        <v>1393</v>
      </c>
      <c r="F1397" t="s"/>
      <c r="G1397" t="s"/>
      <c r="H1397" t="s"/>
      <c r="I1397" t="s"/>
      <c r="J1397" t="n">
        <v>-0.0516</v>
      </c>
      <c r="K1397" t="n">
        <v>0.125</v>
      </c>
      <c r="L1397" t="n">
        <v>0.759</v>
      </c>
      <c r="M1397" t="n">
        <v>0.116</v>
      </c>
    </row>
    <row r="1398" spans="1:13">
      <c r="A1398" s="1">
        <f>HYPERLINK("http://www.twitter.com/NathanBLawrence/status/993292506971467777", "993292506971467777")</f>
        <v/>
      </c>
      <c r="B1398" s="2" t="n">
        <v>43227.03659722222</v>
      </c>
      <c r="C1398" t="n">
        <v>0</v>
      </c>
      <c r="D1398" t="n">
        <v>1</v>
      </c>
      <c r="E1398" t="s">
        <v>1394</v>
      </c>
      <c r="F1398" t="s"/>
      <c r="G1398" t="s"/>
      <c r="H1398" t="s"/>
      <c r="I1398" t="s"/>
      <c r="J1398" t="n">
        <v>0</v>
      </c>
      <c r="K1398" t="n">
        <v>0</v>
      </c>
      <c r="L1398" t="n">
        <v>1</v>
      </c>
      <c r="M1398" t="n">
        <v>0</v>
      </c>
    </row>
    <row r="1399" spans="1:13">
      <c r="A1399" s="1">
        <f>HYPERLINK("http://www.twitter.com/NathanBLawrence/status/993292415908933632", "993292415908933632")</f>
        <v/>
      </c>
      <c r="B1399" s="2" t="n">
        <v>43227.03635416667</v>
      </c>
      <c r="C1399" t="n">
        <v>2</v>
      </c>
      <c r="D1399" t="n">
        <v>0</v>
      </c>
      <c r="E1399" t="s">
        <v>1395</v>
      </c>
      <c r="F1399" t="s"/>
      <c r="G1399" t="s"/>
      <c r="H1399" t="s"/>
      <c r="I1399" t="s"/>
      <c r="J1399" t="n">
        <v>-0.34</v>
      </c>
      <c r="K1399" t="n">
        <v>0.059</v>
      </c>
      <c r="L1399" t="n">
        <v>0.9409999999999999</v>
      </c>
      <c r="M1399" t="n">
        <v>0</v>
      </c>
    </row>
    <row r="1400" spans="1:13">
      <c r="A1400" s="1">
        <f>HYPERLINK("http://www.twitter.com/NathanBLawrence/status/993291845475160064", "993291845475160064")</f>
        <v/>
      </c>
      <c r="B1400" s="2" t="n">
        <v>43227.0347800926</v>
      </c>
      <c r="C1400" t="n">
        <v>3</v>
      </c>
      <c r="D1400" t="n">
        <v>2</v>
      </c>
      <c r="E1400" t="s">
        <v>1396</v>
      </c>
      <c r="F1400">
        <f>HYPERLINK("http://pbs.twimg.com/media/DcjhqqZU0AAWywk.jpg", "http://pbs.twimg.com/media/DcjhqqZU0AAWywk.jpg")</f>
        <v/>
      </c>
      <c r="G1400" t="s"/>
      <c r="H1400" t="s"/>
      <c r="I1400" t="s"/>
      <c r="J1400" t="n">
        <v>0.0772</v>
      </c>
      <c r="K1400" t="n">
        <v>0.089</v>
      </c>
      <c r="L1400" t="n">
        <v>0.8179999999999999</v>
      </c>
      <c r="M1400" t="n">
        <v>0.094</v>
      </c>
    </row>
    <row r="1401" spans="1:13">
      <c r="A1401" s="1">
        <f>HYPERLINK("http://www.twitter.com/NathanBLawrence/status/993290043119808513", "993290043119808513")</f>
        <v/>
      </c>
      <c r="B1401" s="2" t="n">
        <v>43227.02980324074</v>
      </c>
      <c r="C1401" t="n">
        <v>0</v>
      </c>
      <c r="D1401" t="n">
        <v>4</v>
      </c>
      <c r="E1401" t="s">
        <v>1397</v>
      </c>
      <c r="F1401" t="s"/>
      <c r="G1401" t="s"/>
      <c r="H1401" t="s"/>
      <c r="I1401" t="s"/>
      <c r="J1401" t="n">
        <v>-0.8658</v>
      </c>
      <c r="K1401" t="n">
        <v>0.327</v>
      </c>
      <c r="L1401" t="n">
        <v>0.673</v>
      </c>
      <c r="M1401" t="n">
        <v>0</v>
      </c>
    </row>
    <row r="1402" spans="1:13">
      <c r="A1402" s="1">
        <f>HYPERLINK("http://www.twitter.com/NathanBLawrence/status/993289952837423104", "993289952837423104")</f>
        <v/>
      </c>
      <c r="B1402" s="2" t="n">
        <v>43227.02954861111</v>
      </c>
      <c r="C1402" t="n">
        <v>0</v>
      </c>
      <c r="D1402" t="n">
        <v>762</v>
      </c>
      <c r="E1402" t="s">
        <v>1398</v>
      </c>
      <c r="F1402" t="s"/>
      <c r="G1402" t="s"/>
      <c r="H1402" t="s"/>
      <c r="I1402" t="s"/>
      <c r="J1402" t="n">
        <v>0.4019</v>
      </c>
      <c r="K1402" t="n">
        <v>0.078</v>
      </c>
      <c r="L1402" t="n">
        <v>0.735</v>
      </c>
      <c r="M1402" t="n">
        <v>0.188</v>
      </c>
    </row>
    <row r="1403" spans="1:13">
      <c r="A1403" s="1">
        <f>HYPERLINK("http://www.twitter.com/NathanBLawrence/status/993289904133165062", "993289904133165062")</f>
        <v/>
      </c>
      <c r="B1403" s="2" t="n">
        <v>43227.0294212963</v>
      </c>
      <c r="C1403" t="n">
        <v>0</v>
      </c>
      <c r="D1403" t="n">
        <v>3</v>
      </c>
      <c r="E1403" t="s">
        <v>1399</v>
      </c>
      <c r="F1403" t="s"/>
      <c r="G1403" t="s"/>
      <c r="H1403" t="s"/>
      <c r="I1403" t="s"/>
      <c r="J1403" t="n">
        <v>-0.34</v>
      </c>
      <c r="K1403" t="n">
        <v>0.118</v>
      </c>
      <c r="L1403" t="n">
        <v>0.882</v>
      </c>
      <c r="M1403" t="n">
        <v>0</v>
      </c>
    </row>
    <row r="1404" spans="1:13">
      <c r="A1404" s="1">
        <f>HYPERLINK("http://www.twitter.com/NathanBLawrence/status/993289595671506944", "993289595671506944")</f>
        <v/>
      </c>
      <c r="B1404" s="2" t="n">
        <v>43227.02856481481</v>
      </c>
      <c r="C1404" t="n">
        <v>0</v>
      </c>
      <c r="D1404" t="n">
        <v>271</v>
      </c>
      <c r="E1404" t="s">
        <v>1400</v>
      </c>
      <c r="F1404">
        <f>HYPERLINK("http://pbs.twimg.com/media/DcitSynU0AAB3mp.jpg", "http://pbs.twimg.com/media/DcitSynU0AAB3mp.jpg")</f>
        <v/>
      </c>
      <c r="G1404" t="s"/>
      <c r="H1404" t="s"/>
      <c r="I1404" t="s"/>
      <c r="J1404" t="n">
        <v>-0.5859</v>
      </c>
      <c r="K1404" t="n">
        <v>0.352</v>
      </c>
      <c r="L1404" t="n">
        <v>0.648</v>
      </c>
      <c r="M1404" t="n">
        <v>0</v>
      </c>
    </row>
    <row r="1405" spans="1:13">
      <c r="A1405" s="1">
        <f>HYPERLINK("http://www.twitter.com/NathanBLawrence/status/993289246218874885", "993289246218874885")</f>
        <v/>
      </c>
      <c r="B1405" s="2" t="n">
        <v>43227.02760416667</v>
      </c>
      <c r="C1405" t="n">
        <v>3</v>
      </c>
      <c r="D1405" t="n">
        <v>0</v>
      </c>
      <c r="E1405" t="s">
        <v>1401</v>
      </c>
      <c r="F1405" t="s"/>
      <c r="G1405" t="s"/>
      <c r="H1405" t="s"/>
      <c r="I1405" t="s"/>
      <c r="J1405" t="n">
        <v>0</v>
      </c>
      <c r="K1405" t="n">
        <v>0</v>
      </c>
      <c r="L1405" t="n">
        <v>1</v>
      </c>
      <c r="M1405" t="n">
        <v>0</v>
      </c>
    </row>
    <row r="1406" spans="1:13">
      <c r="A1406" s="1">
        <f>HYPERLINK("http://www.twitter.com/NathanBLawrence/status/993288149504876545", "993288149504876545")</f>
        <v/>
      </c>
      <c r="B1406" s="2" t="n">
        <v>43227.02457175926</v>
      </c>
      <c r="C1406" t="n">
        <v>0</v>
      </c>
      <c r="D1406" t="n">
        <v>1</v>
      </c>
      <c r="E1406" t="s">
        <v>1402</v>
      </c>
      <c r="F1406" t="s"/>
      <c r="G1406" t="s"/>
      <c r="H1406" t="s"/>
      <c r="I1406" t="s"/>
      <c r="J1406" t="n">
        <v>0</v>
      </c>
      <c r="K1406" t="n">
        <v>0</v>
      </c>
      <c r="L1406" t="n">
        <v>1</v>
      </c>
      <c r="M1406" t="n">
        <v>0</v>
      </c>
    </row>
    <row r="1407" spans="1:13">
      <c r="A1407" s="1">
        <f>HYPERLINK("http://www.twitter.com/NathanBLawrence/status/993288077115383811", "993288077115383811")</f>
        <v/>
      </c>
      <c r="B1407" s="2" t="n">
        <v>43227.024375</v>
      </c>
      <c r="C1407" t="n">
        <v>2</v>
      </c>
      <c r="D1407" t="n">
        <v>0</v>
      </c>
      <c r="E1407" t="s">
        <v>1403</v>
      </c>
      <c r="F1407" t="s"/>
      <c r="G1407" t="s"/>
      <c r="H1407" t="s"/>
      <c r="I1407" t="s"/>
      <c r="J1407" t="n">
        <v>0.6249</v>
      </c>
      <c r="K1407" t="n">
        <v>0</v>
      </c>
      <c r="L1407" t="n">
        <v>0.863</v>
      </c>
      <c r="M1407" t="n">
        <v>0.137</v>
      </c>
    </row>
    <row r="1408" spans="1:13">
      <c r="A1408" s="1">
        <f>HYPERLINK("http://www.twitter.com/NathanBLawrence/status/993274090529198080", "993274090529198080")</f>
        <v/>
      </c>
      <c r="B1408" s="2" t="n">
        <v>43226.98577546296</v>
      </c>
      <c r="C1408" t="n">
        <v>0</v>
      </c>
      <c r="D1408" t="n">
        <v>12</v>
      </c>
      <c r="E1408" t="s">
        <v>1404</v>
      </c>
      <c r="F1408" t="s"/>
      <c r="G1408" t="s"/>
      <c r="H1408" t="s"/>
      <c r="I1408" t="s"/>
      <c r="J1408" t="n">
        <v>0</v>
      </c>
      <c r="K1408" t="n">
        <v>0</v>
      </c>
      <c r="L1408" t="n">
        <v>1</v>
      </c>
      <c r="M1408" t="n">
        <v>0</v>
      </c>
    </row>
    <row r="1409" spans="1:13">
      <c r="A1409" s="1">
        <f>HYPERLINK("http://www.twitter.com/NathanBLawrence/status/993273929929289729", "993273929929289729")</f>
        <v/>
      </c>
      <c r="B1409" s="2" t="n">
        <v>43226.98533564815</v>
      </c>
      <c r="C1409" t="n">
        <v>0</v>
      </c>
      <c r="D1409" t="n">
        <v>3</v>
      </c>
      <c r="E1409" t="s">
        <v>1405</v>
      </c>
      <c r="F1409">
        <f>HYPERLINK("http://pbs.twimg.com/media/Dcitws-VQAA770v.jpg", "http://pbs.twimg.com/media/Dcitws-VQAA770v.jpg")</f>
        <v/>
      </c>
      <c r="G1409" t="s"/>
      <c r="H1409" t="s"/>
      <c r="I1409" t="s"/>
      <c r="J1409" t="n">
        <v>0.9001</v>
      </c>
      <c r="K1409" t="n">
        <v>0</v>
      </c>
      <c r="L1409" t="n">
        <v>0.52</v>
      </c>
      <c r="M1409" t="n">
        <v>0.48</v>
      </c>
    </row>
    <row r="1410" spans="1:13">
      <c r="A1410" s="1">
        <f>HYPERLINK("http://www.twitter.com/NathanBLawrence/status/993255515651223557", "993255515651223557")</f>
        <v/>
      </c>
      <c r="B1410" s="2" t="n">
        <v>43226.93452546297</v>
      </c>
      <c r="C1410" t="n">
        <v>0</v>
      </c>
      <c r="D1410" t="n">
        <v>1</v>
      </c>
      <c r="E1410" t="s">
        <v>1406</v>
      </c>
      <c r="F1410" t="s"/>
      <c r="G1410" t="s"/>
      <c r="H1410" t="s"/>
      <c r="I1410" t="s"/>
      <c r="J1410" t="n">
        <v>0.296</v>
      </c>
      <c r="K1410" t="n">
        <v>0</v>
      </c>
      <c r="L1410" t="n">
        <v>0.896</v>
      </c>
      <c r="M1410" t="n">
        <v>0.104</v>
      </c>
    </row>
    <row r="1411" spans="1:13">
      <c r="A1411" s="1">
        <f>HYPERLINK("http://www.twitter.com/NathanBLawrence/status/993251502478241792", "993251502478241792")</f>
        <v/>
      </c>
      <c r="B1411" s="2" t="n">
        <v>43226.92344907407</v>
      </c>
      <c r="C1411" t="n">
        <v>3</v>
      </c>
      <c r="D1411" t="n">
        <v>1</v>
      </c>
      <c r="E1411" t="s">
        <v>1407</v>
      </c>
      <c r="F1411" t="s"/>
      <c r="G1411" t="s"/>
      <c r="H1411" t="s"/>
      <c r="I1411" t="s"/>
      <c r="J1411" t="n">
        <v>0.296</v>
      </c>
      <c r="K1411" t="n">
        <v>0</v>
      </c>
      <c r="L1411" t="n">
        <v>0.922</v>
      </c>
      <c r="M1411" t="n">
        <v>0.078</v>
      </c>
    </row>
    <row r="1412" spans="1:13">
      <c r="A1412" s="1">
        <f>HYPERLINK("http://www.twitter.com/NathanBLawrence/status/993249104229814272", "993249104229814272")</f>
        <v/>
      </c>
      <c r="B1412" s="2" t="n">
        <v>43226.9168287037</v>
      </c>
      <c r="C1412" t="n">
        <v>1</v>
      </c>
      <c r="D1412" t="n">
        <v>0</v>
      </c>
      <c r="E1412" t="s">
        <v>1408</v>
      </c>
      <c r="F1412" t="s"/>
      <c r="G1412" t="s"/>
      <c r="H1412" t="s"/>
      <c r="I1412" t="s"/>
      <c r="J1412" t="n">
        <v>0</v>
      </c>
      <c r="K1412" t="n">
        <v>0</v>
      </c>
      <c r="L1412" t="n">
        <v>1</v>
      </c>
      <c r="M1412" t="n">
        <v>0</v>
      </c>
    </row>
    <row r="1413" spans="1:13">
      <c r="A1413" s="1">
        <f>HYPERLINK("http://www.twitter.com/NathanBLawrence/status/993247117996187649", "993247117996187649")</f>
        <v/>
      </c>
      <c r="B1413" s="2" t="n">
        <v>43226.91135416667</v>
      </c>
      <c r="C1413" t="n">
        <v>1</v>
      </c>
      <c r="D1413" t="n">
        <v>0</v>
      </c>
      <c r="E1413" t="s">
        <v>1409</v>
      </c>
      <c r="F1413" t="s"/>
      <c r="G1413" t="s"/>
      <c r="H1413" t="s"/>
      <c r="I1413" t="s"/>
      <c r="J1413" t="n">
        <v>0.8070000000000001</v>
      </c>
      <c r="K1413" t="n">
        <v>0.073</v>
      </c>
      <c r="L1413" t="n">
        <v>0.613</v>
      </c>
      <c r="M1413" t="n">
        <v>0.314</v>
      </c>
    </row>
    <row r="1414" spans="1:13">
      <c r="A1414" s="1">
        <f>HYPERLINK("http://www.twitter.com/NathanBLawrence/status/993246765628514305", "993246765628514305")</f>
        <v/>
      </c>
      <c r="B1414" s="2" t="n">
        <v>43226.91038194444</v>
      </c>
      <c r="C1414" t="n">
        <v>0</v>
      </c>
      <c r="D1414" t="n">
        <v>0</v>
      </c>
      <c r="E1414" t="s">
        <v>1410</v>
      </c>
      <c r="F1414" t="s"/>
      <c r="G1414" t="s"/>
      <c r="H1414" t="s"/>
      <c r="I1414" t="s"/>
      <c r="J1414" t="n">
        <v>-0.6199</v>
      </c>
      <c r="K1414" t="n">
        <v>0.242</v>
      </c>
      <c r="L1414" t="n">
        <v>0.665</v>
      </c>
      <c r="M1414" t="n">
        <v>0.092</v>
      </c>
    </row>
    <row r="1415" spans="1:13">
      <c r="A1415" s="1">
        <f>HYPERLINK("http://www.twitter.com/NathanBLawrence/status/993244544324993025", "993244544324993025")</f>
        <v/>
      </c>
      <c r="B1415" s="2" t="n">
        <v>43226.90424768518</v>
      </c>
      <c r="C1415" t="n">
        <v>1</v>
      </c>
      <c r="D1415" t="n">
        <v>0</v>
      </c>
      <c r="E1415" t="s">
        <v>1411</v>
      </c>
      <c r="F1415" t="s"/>
      <c r="G1415" t="s"/>
      <c r="H1415" t="s"/>
      <c r="I1415" t="s"/>
      <c r="J1415" t="n">
        <v>0.4215</v>
      </c>
      <c r="K1415" t="n">
        <v>0</v>
      </c>
      <c r="L1415" t="n">
        <v>0.8110000000000001</v>
      </c>
      <c r="M1415" t="n">
        <v>0.189</v>
      </c>
    </row>
    <row r="1416" spans="1:13">
      <c r="A1416" s="1">
        <f>HYPERLINK("http://www.twitter.com/NathanBLawrence/status/993243870459817984", "993243870459817984")</f>
        <v/>
      </c>
      <c r="B1416" s="2" t="n">
        <v>43226.90238425926</v>
      </c>
      <c r="C1416" t="n">
        <v>1</v>
      </c>
      <c r="D1416" t="n">
        <v>0</v>
      </c>
      <c r="E1416" t="s">
        <v>1412</v>
      </c>
      <c r="F1416" t="s"/>
      <c r="G1416" t="s"/>
      <c r="H1416" t="s"/>
      <c r="I1416" t="s"/>
      <c r="J1416" t="n">
        <v>0</v>
      </c>
      <c r="K1416" t="n">
        <v>0</v>
      </c>
      <c r="L1416" t="n">
        <v>1</v>
      </c>
      <c r="M1416" t="n">
        <v>0</v>
      </c>
    </row>
    <row r="1417" spans="1:13">
      <c r="A1417" s="1">
        <f>HYPERLINK("http://www.twitter.com/NathanBLawrence/status/993234775229059072", "993234775229059072")</f>
        <v/>
      </c>
      <c r="B1417" s="2" t="n">
        <v>43226.87729166666</v>
      </c>
      <c r="C1417" t="n">
        <v>6</v>
      </c>
      <c r="D1417" t="n">
        <v>3</v>
      </c>
      <c r="E1417" t="s">
        <v>1413</v>
      </c>
      <c r="F1417">
        <f>HYPERLINK("http://pbs.twimg.com/media/Dcitws-VQAA770v.jpg", "http://pbs.twimg.com/media/Dcitws-VQAA770v.jpg")</f>
        <v/>
      </c>
      <c r="G1417" t="s"/>
      <c r="H1417" t="s"/>
      <c r="I1417" t="s"/>
      <c r="J1417" t="n">
        <v>0.9001</v>
      </c>
      <c r="K1417" t="n">
        <v>0</v>
      </c>
      <c r="L1417" t="n">
        <v>0.667</v>
      </c>
      <c r="M1417" t="n">
        <v>0.333</v>
      </c>
    </row>
    <row r="1418" spans="1:13">
      <c r="A1418" s="1">
        <f>HYPERLINK("http://www.twitter.com/NathanBLawrence/status/993223011401654273", "993223011401654273")</f>
        <v/>
      </c>
      <c r="B1418" s="2" t="n">
        <v>43226.84482638889</v>
      </c>
      <c r="C1418" t="n">
        <v>2</v>
      </c>
      <c r="D1418" t="n">
        <v>1</v>
      </c>
      <c r="E1418" t="s">
        <v>1414</v>
      </c>
      <c r="F1418">
        <f>HYPERLINK("http://pbs.twimg.com/media/DcijEAaV4AA8p-H.jpg", "http://pbs.twimg.com/media/DcijEAaV4AA8p-H.jpg")</f>
        <v/>
      </c>
      <c r="G1418" t="s"/>
      <c r="H1418" t="s"/>
      <c r="I1418" t="s"/>
      <c r="J1418" t="n">
        <v>0</v>
      </c>
      <c r="K1418" t="n">
        <v>0</v>
      </c>
      <c r="L1418" t="n">
        <v>1</v>
      </c>
      <c r="M1418" t="n">
        <v>0</v>
      </c>
    </row>
    <row r="1419" spans="1:13">
      <c r="A1419" s="1">
        <f>HYPERLINK("http://www.twitter.com/NathanBLawrence/status/993222683524583424", "993222683524583424")</f>
        <v/>
      </c>
      <c r="B1419" s="2" t="n">
        <v>43226.84392361111</v>
      </c>
      <c r="C1419" t="n">
        <v>1</v>
      </c>
      <c r="D1419" t="n">
        <v>0</v>
      </c>
      <c r="E1419" t="s">
        <v>1415</v>
      </c>
      <c r="F1419">
        <f>HYPERLINK("http://pbs.twimg.com/media/Dciiw8tVQAIRsCU.jpg", "http://pbs.twimg.com/media/Dciiw8tVQAIRsCU.jpg")</f>
        <v/>
      </c>
      <c r="G1419" t="s"/>
      <c r="H1419" t="s"/>
      <c r="I1419" t="s"/>
      <c r="J1419" t="n">
        <v>0</v>
      </c>
      <c r="K1419" t="n">
        <v>0</v>
      </c>
      <c r="L1419" t="n">
        <v>1</v>
      </c>
      <c r="M1419" t="n">
        <v>0</v>
      </c>
    </row>
    <row r="1420" spans="1:13">
      <c r="A1420" s="1">
        <f>HYPERLINK("http://www.twitter.com/NathanBLawrence/status/993222258360487936", "993222258360487936")</f>
        <v/>
      </c>
      <c r="B1420" s="2" t="n">
        <v>43226.84275462963</v>
      </c>
      <c r="C1420" t="n">
        <v>0</v>
      </c>
      <c r="D1420" t="n">
        <v>1</v>
      </c>
      <c r="E1420" t="s">
        <v>1416</v>
      </c>
      <c r="F1420">
        <f>HYPERLINK("http://pbs.twimg.com/media/DciiUOvVAAAIhQ9.jpg", "http://pbs.twimg.com/media/DciiUOvVAAAIhQ9.jpg")</f>
        <v/>
      </c>
      <c r="G1420" t="s"/>
      <c r="H1420" t="s"/>
      <c r="I1420" t="s"/>
      <c r="J1420" t="n">
        <v>0</v>
      </c>
      <c r="K1420" t="n">
        <v>0</v>
      </c>
      <c r="L1420" t="n">
        <v>1</v>
      </c>
      <c r="M1420" t="n">
        <v>0</v>
      </c>
    </row>
    <row r="1421" spans="1:13">
      <c r="A1421" s="1">
        <f>HYPERLINK("http://www.twitter.com/NathanBLawrence/status/993222191381729280", "993222191381729280")</f>
        <v/>
      </c>
      <c r="B1421" s="2" t="n">
        <v>43226.84256944444</v>
      </c>
      <c r="C1421" t="n">
        <v>3</v>
      </c>
      <c r="D1421" t="n">
        <v>1</v>
      </c>
      <c r="E1421" t="s">
        <v>1417</v>
      </c>
      <c r="F1421">
        <f>HYPERLINK("http://pbs.twimg.com/media/DciiUOvVAAAIhQ9.jpg", "http://pbs.twimg.com/media/DciiUOvVAAAIhQ9.jpg")</f>
        <v/>
      </c>
      <c r="G1421" t="s"/>
      <c r="H1421" t="s"/>
      <c r="I1421" t="s"/>
      <c r="J1421" t="n">
        <v>0</v>
      </c>
      <c r="K1421" t="n">
        <v>0</v>
      </c>
      <c r="L1421" t="n">
        <v>1</v>
      </c>
      <c r="M1421" t="n">
        <v>0</v>
      </c>
    </row>
    <row r="1422" spans="1:13">
      <c r="A1422" s="1">
        <f>HYPERLINK("http://www.twitter.com/NathanBLawrence/status/993221762497249280", "993221762497249280")</f>
        <v/>
      </c>
      <c r="B1422" s="2" t="n">
        <v>43226.84138888889</v>
      </c>
      <c r="C1422" t="n">
        <v>0</v>
      </c>
      <c r="D1422" t="n">
        <v>1</v>
      </c>
      <c r="E1422" t="s">
        <v>1418</v>
      </c>
      <c r="F1422">
        <f>HYPERLINK("http://pbs.twimg.com/media/Dcih30QV4AEi9_r.jpg", "http://pbs.twimg.com/media/Dcih30QV4AEi9_r.jpg")</f>
        <v/>
      </c>
      <c r="G1422" t="s"/>
      <c r="H1422" t="s"/>
      <c r="I1422" t="s"/>
      <c r="J1422" t="n">
        <v>0</v>
      </c>
      <c r="K1422" t="n">
        <v>0</v>
      </c>
      <c r="L1422" t="n">
        <v>1</v>
      </c>
      <c r="M1422" t="n">
        <v>0</v>
      </c>
    </row>
    <row r="1423" spans="1:13">
      <c r="A1423" s="1">
        <f>HYPERLINK("http://www.twitter.com/NathanBLawrence/status/993221735393701888", "993221735393701888")</f>
        <v/>
      </c>
      <c r="B1423" s="2" t="n">
        <v>43226.84130787037</v>
      </c>
      <c r="C1423" t="n">
        <v>0</v>
      </c>
      <c r="D1423" t="n">
        <v>3</v>
      </c>
      <c r="E1423" t="s">
        <v>1419</v>
      </c>
      <c r="F1423">
        <f>HYPERLINK("http://pbs.twimg.com/media/DcihSSiV4AAWUgB.jpg", "http://pbs.twimg.com/media/DcihSSiV4AAWUgB.jpg")</f>
        <v/>
      </c>
      <c r="G1423">
        <f>HYPERLINK("http://pbs.twimg.com/media/DcihSShU0AAecML.jpg", "http://pbs.twimg.com/media/DcihSShU0AAecML.jpg")</f>
        <v/>
      </c>
      <c r="H1423" t="s"/>
      <c r="I1423" t="s"/>
      <c r="J1423" t="n">
        <v>0</v>
      </c>
      <c r="K1423" t="n">
        <v>0</v>
      </c>
      <c r="L1423" t="n">
        <v>1</v>
      </c>
      <c r="M1423" t="n">
        <v>0</v>
      </c>
    </row>
    <row r="1424" spans="1:13">
      <c r="A1424" s="1">
        <f>HYPERLINK("http://www.twitter.com/NathanBLawrence/status/993221703223345152", "993221703223345152")</f>
        <v/>
      </c>
      <c r="B1424" s="2" t="n">
        <v>43226.84121527777</v>
      </c>
      <c r="C1424" t="n">
        <v>3</v>
      </c>
      <c r="D1424" t="n">
        <v>1</v>
      </c>
      <c r="E1424" t="s">
        <v>1420</v>
      </c>
      <c r="F1424">
        <f>HYPERLINK("http://pbs.twimg.com/media/Dcih30QV4AEi9_r.jpg", "http://pbs.twimg.com/media/Dcih30QV4AEi9_r.jpg")</f>
        <v/>
      </c>
      <c r="G1424" t="s"/>
      <c r="H1424" t="s"/>
      <c r="I1424" t="s"/>
      <c r="J1424" t="n">
        <v>0</v>
      </c>
      <c r="K1424" t="n">
        <v>0</v>
      </c>
      <c r="L1424" t="n">
        <v>1</v>
      </c>
      <c r="M1424" t="n">
        <v>0</v>
      </c>
    </row>
    <row r="1425" spans="1:13">
      <c r="A1425" s="1">
        <f>HYPERLINK("http://www.twitter.com/NathanBLawrence/status/993221059506855936", "993221059506855936")</f>
        <v/>
      </c>
      <c r="B1425" s="2" t="n">
        <v>43226.83944444444</v>
      </c>
      <c r="C1425" t="n">
        <v>5</v>
      </c>
      <c r="D1425" t="n">
        <v>3</v>
      </c>
      <c r="E1425" t="s">
        <v>1421</v>
      </c>
      <c r="F1425">
        <f>HYPERLINK("http://pbs.twimg.com/media/DcihSSiV4AAWUgB.jpg", "http://pbs.twimg.com/media/DcihSSiV4AAWUgB.jpg")</f>
        <v/>
      </c>
      <c r="G1425">
        <f>HYPERLINK("http://pbs.twimg.com/media/DcihSShU0AAecML.jpg", "http://pbs.twimg.com/media/DcihSShU0AAecML.jpg")</f>
        <v/>
      </c>
      <c r="H1425" t="s"/>
      <c r="I1425" t="s"/>
      <c r="J1425" t="n">
        <v>0</v>
      </c>
      <c r="K1425" t="n">
        <v>0</v>
      </c>
      <c r="L1425" t="n">
        <v>1</v>
      </c>
      <c r="M1425" t="n">
        <v>0</v>
      </c>
    </row>
    <row r="1426" spans="1:13">
      <c r="A1426" s="1">
        <f>HYPERLINK("http://www.twitter.com/NathanBLawrence/status/993219390282911744", "993219390282911744")</f>
        <v/>
      </c>
      <c r="B1426" s="2" t="n">
        <v>43226.83483796296</v>
      </c>
      <c r="C1426" t="n">
        <v>0</v>
      </c>
      <c r="D1426" t="n">
        <v>0</v>
      </c>
      <c r="E1426" t="s">
        <v>1422</v>
      </c>
      <c r="F1426" t="s"/>
      <c r="G1426" t="s"/>
      <c r="H1426" t="s"/>
      <c r="I1426" t="s"/>
      <c r="J1426" t="n">
        <v>-0.121</v>
      </c>
      <c r="K1426" t="n">
        <v>0.166</v>
      </c>
      <c r="L1426" t="n">
        <v>0.677</v>
      </c>
      <c r="M1426" t="n">
        <v>0.157</v>
      </c>
    </row>
    <row r="1427" spans="1:13">
      <c r="A1427" s="1">
        <f>HYPERLINK("http://www.twitter.com/NathanBLawrence/status/993183913471246343", "993183913471246343")</f>
        <v/>
      </c>
      <c r="B1427" s="2" t="n">
        <v>43226.73694444444</v>
      </c>
      <c r="C1427" t="n">
        <v>1</v>
      </c>
      <c r="D1427" t="n">
        <v>0</v>
      </c>
      <c r="E1427" t="s">
        <v>1423</v>
      </c>
      <c r="F1427" t="s"/>
      <c r="G1427" t="s"/>
      <c r="H1427" t="s"/>
      <c r="I1427" t="s"/>
      <c r="J1427" t="n">
        <v>0.4215</v>
      </c>
      <c r="K1427" t="n">
        <v>0</v>
      </c>
      <c r="L1427" t="n">
        <v>0.917</v>
      </c>
      <c r="M1427" t="n">
        <v>0.083</v>
      </c>
    </row>
    <row r="1428" spans="1:13">
      <c r="A1428" s="1">
        <f>HYPERLINK("http://www.twitter.com/NathanBLawrence/status/993182710104576001", "993182710104576001")</f>
        <v/>
      </c>
      <c r="B1428" s="2" t="n">
        <v>43226.73362268518</v>
      </c>
      <c r="C1428" t="n">
        <v>0</v>
      </c>
      <c r="D1428" t="n">
        <v>29</v>
      </c>
      <c r="E1428" t="s">
        <v>1424</v>
      </c>
      <c r="F1428" t="s"/>
      <c r="G1428" t="s"/>
      <c r="H1428" t="s"/>
      <c r="I1428" t="s"/>
      <c r="J1428" t="n">
        <v>0.2023</v>
      </c>
      <c r="K1428" t="n">
        <v>0.08400000000000001</v>
      </c>
      <c r="L1428" t="n">
        <v>0.796</v>
      </c>
      <c r="M1428" t="n">
        <v>0.119</v>
      </c>
    </row>
    <row r="1429" spans="1:13">
      <c r="A1429" s="1">
        <f>HYPERLINK("http://www.twitter.com/NathanBLawrence/status/993182672922075138", "993182672922075138")</f>
        <v/>
      </c>
      <c r="B1429" s="2" t="n">
        <v>43226.73351851852</v>
      </c>
      <c r="C1429" t="n">
        <v>0</v>
      </c>
      <c r="D1429" t="n">
        <v>8</v>
      </c>
      <c r="E1429" t="s">
        <v>1425</v>
      </c>
      <c r="F1429" t="s"/>
      <c r="G1429" t="s"/>
      <c r="H1429" t="s"/>
      <c r="I1429" t="s"/>
      <c r="J1429" t="n">
        <v>0.4215</v>
      </c>
      <c r="K1429" t="n">
        <v>0</v>
      </c>
      <c r="L1429" t="n">
        <v>0.877</v>
      </c>
      <c r="M1429" t="n">
        <v>0.123</v>
      </c>
    </row>
    <row r="1430" spans="1:13">
      <c r="A1430" s="1">
        <f>HYPERLINK("http://www.twitter.com/NathanBLawrence/status/993182612289187840", "993182612289187840")</f>
        <v/>
      </c>
      <c r="B1430" s="2" t="n">
        <v>43226.73334490741</v>
      </c>
      <c r="C1430" t="n">
        <v>0</v>
      </c>
      <c r="D1430" t="n">
        <v>1</v>
      </c>
      <c r="E1430" t="s">
        <v>1426</v>
      </c>
      <c r="F1430" t="s"/>
      <c r="G1430" t="s"/>
      <c r="H1430" t="s"/>
      <c r="I1430" t="s"/>
      <c r="J1430" t="n">
        <v>0.4404</v>
      </c>
      <c r="K1430" t="n">
        <v>0</v>
      </c>
      <c r="L1430" t="n">
        <v>0.868</v>
      </c>
      <c r="M1430" t="n">
        <v>0.132</v>
      </c>
    </row>
    <row r="1431" spans="1:13">
      <c r="A1431" s="1">
        <f>HYPERLINK("http://www.twitter.com/NathanBLawrence/status/993182389168943109", "993182389168943109")</f>
        <v/>
      </c>
      <c r="B1431" s="2" t="n">
        <v>43226.73273148148</v>
      </c>
      <c r="C1431" t="n">
        <v>1</v>
      </c>
      <c r="D1431" t="n">
        <v>1</v>
      </c>
      <c r="E1431" t="s">
        <v>1427</v>
      </c>
      <c r="F1431" t="s"/>
      <c r="G1431" t="s"/>
      <c r="H1431" t="s"/>
      <c r="I1431" t="s"/>
      <c r="J1431" t="n">
        <v>0.7964</v>
      </c>
      <c r="K1431" t="n">
        <v>0</v>
      </c>
      <c r="L1431" t="n">
        <v>0.828</v>
      </c>
      <c r="M1431" t="n">
        <v>0.172</v>
      </c>
    </row>
    <row r="1432" spans="1:13">
      <c r="A1432" s="1">
        <f>HYPERLINK("http://www.twitter.com/NathanBLawrence/status/993180507608440832", "993180507608440832")</f>
        <v/>
      </c>
      <c r="B1432" s="2" t="n">
        <v>43226.72754629629</v>
      </c>
      <c r="C1432" t="n">
        <v>1</v>
      </c>
      <c r="D1432" t="n">
        <v>0</v>
      </c>
      <c r="E1432" t="s">
        <v>1428</v>
      </c>
      <c r="F1432" t="s"/>
      <c r="G1432" t="s"/>
      <c r="H1432" t="s"/>
      <c r="I1432" t="s"/>
      <c r="J1432" t="n">
        <v>0</v>
      </c>
      <c r="K1432" t="n">
        <v>0</v>
      </c>
      <c r="L1432" t="n">
        <v>1</v>
      </c>
      <c r="M1432" t="n">
        <v>0</v>
      </c>
    </row>
    <row r="1433" spans="1:13">
      <c r="A1433" s="1">
        <f>HYPERLINK("http://www.twitter.com/NathanBLawrence/status/993179442183892992", "993179442183892992")</f>
        <v/>
      </c>
      <c r="B1433" s="2" t="n">
        <v>43226.72460648148</v>
      </c>
      <c r="C1433" t="n">
        <v>1</v>
      </c>
      <c r="D1433" t="n">
        <v>0</v>
      </c>
      <c r="E1433" t="s">
        <v>1429</v>
      </c>
      <c r="F1433" t="s"/>
      <c r="G1433" t="s"/>
      <c r="H1433" t="s"/>
      <c r="I1433" t="s"/>
      <c r="J1433" t="n">
        <v>0.4404</v>
      </c>
      <c r="K1433" t="n">
        <v>0</v>
      </c>
      <c r="L1433" t="n">
        <v>0.775</v>
      </c>
      <c r="M1433" t="n">
        <v>0.225</v>
      </c>
    </row>
    <row r="1434" spans="1:13">
      <c r="A1434" s="1">
        <f>HYPERLINK("http://www.twitter.com/NathanBLawrence/status/993175745190072320", "993175745190072320")</f>
        <v/>
      </c>
      <c r="B1434" s="2" t="n">
        <v>43226.71439814815</v>
      </c>
      <c r="C1434" t="n">
        <v>0</v>
      </c>
      <c r="D1434" t="n">
        <v>0</v>
      </c>
      <c r="E1434" t="s">
        <v>1430</v>
      </c>
      <c r="F1434" t="s"/>
      <c r="G1434" t="s"/>
      <c r="H1434" t="s"/>
      <c r="I1434" t="s"/>
      <c r="J1434" t="n">
        <v>-0.6808</v>
      </c>
      <c r="K1434" t="n">
        <v>0.524</v>
      </c>
      <c r="L1434" t="n">
        <v>0.476</v>
      </c>
      <c r="M1434" t="n">
        <v>0</v>
      </c>
    </row>
    <row r="1435" spans="1:13">
      <c r="A1435" s="1">
        <f>HYPERLINK("http://www.twitter.com/NathanBLawrence/status/993175028329050113", "993175028329050113")</f>
        <v/>
      </c>
      <c r="B1435" s="2" t="n">
        <v>43226.71241898148</v>
      </c>
      <c r="C1435" t="n">
        <v>0</v>
      </c>
      <c r="D1435" t="n">
        <v>0</v>
      </c>
      <c r="E1435" t="s">
        <v>1431</v>
      </c>
      <c r="F1435" t="s"/>
      <c r="G1435" t="s"/>
      <c r="H1435" t="s"/>
      <c r="I1435" t="s"/>
      <c r="J1435" t="n">
        <v>-0.9041</v>
      </c>
      <c r="K1435" t="n">
        <v>0.196</v>
      </c>
      <c r="L1435" t="n">
        <v>0.804</v>
      </c>
      <c r="M1435" t="n">
        <v>0</v>
      </c>
    </row>
    <row r="1436" spans="1:13">
      <c r="A1436" s="1">
        <f>HYPERLINK("http://www.twitter.com/NathanBLawrence/status/993174238549954561", "993174238549954561")</f>
        <v/>
      </c>
      <c r="B1436" s="2" t="n">
        <v>43226.71024305555</v>
      </c>
      <c r="C1436" t="n">
        <v>0</v>
      </c>
      <c r="D1436" t="n">
        <v>0</v>
      </c>
      <c r="E1436" t="s">
        <v>1432</v>
      </c>
      <c r="F1436" t="s"/>
      <c r="G1436" t="s"/>
      <c r="H1436" t="s"/>
      <c r="I1436" t="s"/>
      <c r="J1436" t="n">
        <v>0.6597</v>
      </c>
      <c r="K1436" t="n">
        <v>0</v>
      </c>
      <c r="L1436" t="n">
        <v>0.87</v>
      </c>
      <c r="M1436" t="n">
        <v>0.13</v>
      </c>
    </row>
    <row r="1437" spans="1:13">
      <c r="A1437" s="1">
        <f>HYPERLINK("http://www.twitter.com/NathanBLawrence/status/993173133627621376", "993173133627621376")</f>
        <v/>
      </c>
      <c r="B1437" s="2" t="n">
        <v>43226.7071875</v>
      </c>
      <c r="C1437" t="n">
        <v>0</v>
      </c>
      <c r="D1437" t="n">
        <v>3</v>
      </c>
      <c r="E1437" t="s">
        <v>1433</v>
      </c>
      <c r="F1437" t="s"/>
      <c r="G1437" t="s"/>
      <c r="H1437" t="s"/>
      <c r="I1437" t="s"/>
      <c r="J1437" t="n">
        <v>-0.296</v>
      </c>
      <c r="K1437" t="n">
        <v>0.115</v>
      </c>
      <c r="L1437" t="n">
        <v>0.885</v>
      </c>
      <c r="M1437" t="n">
        <v>0</v>
      </c>
    </row>
    <row r="1438" spans="1:13">
      <c r="A1438" s="1">
        <f>HYPERLINK("http://www.twitter.com/NathanBLawrence/status/993171122018570240", "993171122018570240")</f>
        <v/>
      </c>
      <c r="B1438" s="2" t="n">
        <v>43226.70164351852</v>
      </c>
      <c r="C1438" t="n">
        <v>0</v>
      </c>
      <c r="D1438" t="n">
        <v>0</v>
      </c>
      <c r="E1438" t="s">
        <v>1434</v>
      </c>
      <c r="F1438" t="s"/>
      <c r="G1438" t="s"/>
      <c r="H1438" t="s"/>
      <c r="I1438" t="s"/>
      <c r="J1438" t="n">
        <v>-0.1779</v>
      </c>
      <c r="K1438" t="n">
        <v>0.141</v>
      </c>
      <c r="L1438" t="n">
        <v>0.774</v>
      </c>
      <c r="M1438" t="n">
        <v>0.08400000000000001</v>
      </c>
    </row>
    <row r="1439" spans="1:13">
      <c r="A1439" s="1">
        <f>HYPERLINK("http://www.twitter.com/NathanBLawrence/status/993168172952977409", "993168172952977409")</f>
        <v/>
      </c>
      <c r="B1439" s="2" t="n">
        <v>43226.69350694444</v>
      </c>
      <c r="C1439" t="n">
        <v>1</v>
      </c>
      <c r="D1439" t="n">
        <v>0</v>
      </c>
      <c r="E1439" t="s">
        <v>1435</v>
      </c>
      <c r="F1439" t="s"/>
      <c r="G1439" t="s"/>
      <c r="H1439" t="s"/>
      <c r="I1439" t="s"/>
      <c r="J1439" t="n">
        <v>0</v>
      </c>
      <c r="K1439" t="n">
        <v>0</v>
      </c>
      <c r="L1439" t="n">
        <v>1</v>
      </c>
      <c r="M1439" t="n">
        <v>0</v>
      </c>
    </row>
    <row r="1440" spans="1:13">
      <c r="A1440" s="1">
        <f>HYPERLINK("http://www.twitter.com/NathanBLawrence/status/993167571854733313", "993167571854733313")</f>
        <v/>
      </c>
      <c r="B1440" s="2" t="n">
        <v>43226.69184027778</v>
      </c>
      <c r="C1440" t="n">
        <v>7</v>
      </c>
      <c r="D1440" t="n">
        <v>4</v>
      </c>
      <c r="E1440" t="s">
        <v>1436</v>
      </c>
      <c r="F1440" t="s"/>
      <c r="G1440" t="s"/>
      <c r="H1440" t="s"/>
      <c r="I1440" t="s"/>
      <c r="J1440" t="n">
        <v>0.6808</v>
      </c>
      <c r="K1440" t="n">
        <v>0</v>
      </c>
      <c r="L1440" t="n">
        <v>0.772</v>
      </c>
      <c r="M1440" t="n">
        <v>0.228</v>
      </c>
    </row>
    <row r="1441" spans="1:13">
      <c r="A1441" s="1">
        <f>HYPERLINK("http://www.twitter.com/NathanBLawrence/status/993165209878528000", "993165209878528000")</f>
        <v/>
      </c>
      <c r="B1441" s="2" t="n">
        <v>43226.68532407407</v>
      </c>
      <c r="C1441" t="n">
        <v>0</v>
      </c>
      <c r="D1441" t="n">
        <v>2</v>
      </c>
      <c r="E1441" t="s">
        <v>1437</v>
      </c>
      <c r="F1441" t="s"/>
      <c r="G1441" t="s"/>
      <c r="H1441" t="s"/>
      <c r="I1441" t="s"/>
      <c r="J1441" t="n">
        <v>0</v>
      </c>
      <c r="K1441" t="n">
        <v>0</v>
      </c>
      <c r="L1441" t="n">
        <v>1</v>
      </c>
      <c r="M1441" t="n">
        <v>0</v>
      </c>
    </row>
    <row r="1442" spans="1:13">
      <c r="A1442" s="1">
        <f>HYPERLINK("http://www.twitter.com/NathanBLawrence/status/993165159978995717", "993165159978995717")</f>
        <v/>
      </c>
      <c r="B1442" s="2" t="n">
        <v>43226.68518518518</v>
      </c>
      <c r="C1442" t="n">
        <v>0</v>
      </c>
      <c r="D1442" t="n">
        <v>1</v>
      </c>
      <c r="E1442" t="s">
        <v>1438</v>
      </c>
      <c r="F1442" t="s"/>
      <c r="G1442" t="s"/>
      <c r="H1442" t="s"/>
      <c r="I1442" t="s"/>
      <c r="J1442" t="n">
        <v>0</v>
      </c>
      <c r="K1442" t="n">
        <v>0</v>
      </c>
      <c r="L1442" t="n">
        <v>1</v>
      </c>
      <c r="M1442" t="n">
        <v>0</v>
      </c>
    </row>
    <row r="1443" spans="1:13">
      <c r="A1443" s="1">
        <f>HYPERLINK("http://www.twitter.com/NathanBLawrence/status/993165074801070080", "993165074801070080")</f>
        <v/>
      </c>
      <c r="B1443" s="2" t="n">
        <v>43226.68495370371</v>
      </c>
      <c r="C1443" t="n">
        <v>1</v>
      </c>
      <c r="D1443" t="n">
        <v>0</v>
      </c>
      <c r="E1443" t="s">
        <v>1439</v>
      </c>
      <c r="F1443" t="s"/>
      <c r="G1443" t="s"/>
      <c r="H1443" t="s"/>
      <c r="I1443" t="s"/>
      <c r="J1443" t="n">
        <v>0</v>
      </c>
      <c r="K1443" t="n">
        <v>0</v>
      </c>
      <c r="L1443" t="n">
        <v>1</v>
      </c>
      <c r="M1443" t="n">
        <v>0</v>
      </c>
    </row>
    <row r="1444" spans="1:13">
      <c r="A1444" s="1">
        <f>HYPERLINK("http://www.twitter.com/NathanBLawrence/status/993163521436409856", "993163521436409856")</f>
        <v/>
      </c>
      <c r="B1444" s="2" t="n">
        <v>43226.68067129629</v>
      </c>
      <c r="C1444" t="n">
        <v>0</v>
      </c>
      <c r="D1444" t="n">
        <v>0</v>
      </c>
      <c r="E1444" t="s">
        <v>1440</v>
      </c>
      <c r="F1444" t="s"/>
      <c r="G1444" t="s"/>
      <c r="H1444" t="s"/>
      <c r="I1444" t="s"/>
      <c r="J1444" t="n">
        <v>-0.7717000000000001</v>
      </c>
      <c r="K1444" t="n">
        <v>0.456</v>
      </c>
      <c r="L1444" t="n">
        <v>0.544</v>
      </c>
      <c r="M1444" t="n">
        <v>0</v>
      </c>
    </row>
    <row r="1445" spans="1:13">
      <c r="A1445" s="1">
        <f>HYPERLINK("http://www.twitter.com/NathanBLawrence/status/993161275810164736", "993161275810164736")</f>
        <v/>
      </c>
      <c r="B1445" s="2" t="n">
        <v>43226.67446759259</v>
      </c>
      <c r="C1445" t="n">
        <v>0</v>
      </c>
      <c r="D1445" t="n">
        <v>3</v>
      </c>
      <c r="E1445" t="s">
        <v>1441</v>
      </c>
      <c r="F1445" t="s"/>
      <c r="G1445" t="s"/>
      <c r="H1445" t="s"/>
      <c r="I1445" t="s"/>
      <c r="J1445" t="n">
        <v>0.5423</v>
      </c>
      <c r="K1445" t="n">
        <v>0</v>
      </c>
      <c r="L1445" t="n">
        <v>0.667</v>
      </c>
      <c r="M1445" t="n">
        <v>0.333</v>
      </c>
    </row>
    <row r="1446" spans="1:13">
      <c r="A1446" s="1">
        <f>HYPERLINK("http://www.twitter.com/NathanBLawrence/status/993161079558721536", "993161079558721536")</f>
        <v/>
      </c>
      <c r="B1446" s="2" t="n">
        <v>43226.67393518519</v>
      </c>
      <c r="C1446" t="n">
        <v>3</v>
      </c>
      <c r="D1446" t="n">
        <v>0</v>
      </c>
      <c r="E1446" t="s">
        <v>1442</v>
      </c>
      <c r="F1446" t="s"/>
      <c r="G1446" t="s"/>
      <c r="H1446" t="s"/>
      <c r="I1446" t="s"/>
      <c r="J1446" t="n">
        <v>0.7436</v>
      </c>
      <c r="K1446" t="n">
        <v>0.119</v>
      </c>
      <c r="L1446" t="n">
        <v>0.656</v>
      </c>
      <c r="M1446" t="n">
        <v>0.225</v>
      </c>
    </row>
    <row r="1447" spans="1:13">
      <c r="A1447" s="1">
        <f>HYPERLINK("http://www.twitter.com/NathanBLawrence/status/993157385471561728", "993157385471561728")</f>
        <v/>
      </c>
      <c r="B1447" s="2" t="n">
        <v>43226.66373842592</v>
      </c>
      <c r="C1447" t="n">
        <v>0</v>
      </c>
      <c r="D1447" t="n">
        <v>0</v>
      </c>
      <c r="E1447" t="s">
        <v>1443</v>
      </c>
      <c r="F1447" t="s"/>
      <c r="G1447" t="s"/>
      <c r="H1447" t="s"/>
      <c r="I1447" t="s"/>
      <c r="J1447" t="n">
        <v>0</v>
      </c>
      <c r="K1447" t="n">
        <v>0</v>
      </c>
      <c r="L1447" t="n">
        <v>1</v>
      </c>
      <c r="M1447" t="n">
        <v>0</v>
      </c>
    </row>
    <row r="1448" spans="1:13">
      <c r="A1448" s="1">
        <f>HYPERLINK("http://www.twitter.com/NathanBLawrence/status/993156891135143936", "993156891135143936")</f>
        <v/>
      </c>
      <c r="B1448" s="2" t="n">
        <v>43226.66237268518</v>
      </c>
      <c r="C1448" t="n">
        <v>0</v>
      </c>
      <c r="D1448" t="n">
        <v>2</v>
      </c>
      <c r="E1448" t="s">
        <v>1444</v>
      </c>
      <c r="F1448" t="s"/>
      <c r="G1448" t="s"/>
      <c r="H1448" t="s"/>
      <c r="I1448" t="s"/>
      <c r="J1448" t="n">
        <v>0</v>
      </c>
      <c r="K1448" t="n">
        <v>0</v>
      </c>
      <c r="L1448" t="n">
        <v>1</v>
      </c>
      <c r="M1448" t="n">
        <v>0</v>
      </c>
    </row>
    <row r="1449" spans="1:13">
      <c r="A1449" s="1">
        <f>HYPERLINK("http://www.twitter.com/NathanBLawrence/status/993156843588521984", "993156843588521984")</f>
        <v/>
      </c>
      <c r="B1449" s="2" t="n">
        <v>43226.66224537037</v>
      </c>
      <c r="C1449" t="n">
        <v>0</v>
      </c>
      <c r="D1449" t="n">
        <v>2</v>
      </c>
      <c r="E1449" t="s">
        <v>1445</v>
      </c>
      <c r="F1449" t="s"/>
      <c r="G1449" t="s"/>
      <c r="H1449" t="s"/>
      <c r="I1449" t="s"/>
      <c r="J1449" t="n">
        <v>0.5901999999999999</v>
      </c>
      <c r="K1449" t="n">
        <v>0</v>
      </c>
      <c r="L1449" t="n">
        <v>0.82</v>
      </c>
      <c r="M1449" t="n">
        <v>0.18</v>
      </c>
    </row>
    <row r="1450" spans="1:13">
      <c r="A1450" s="1">
        <f>HYPERLINK("http://www.twitter.com/NathanBLawrence/status/993049343648260096", "993049343648260096")</f>
        <v/>
      </c>
      <c r="B1450" s="2" t="n">
        <v>43226.36560185185</v>
      </c>
      <c r="C1450" t="n">
        <v>0</v>
      </c>
      <c r="D1450" t="n">
        <v>7</v>
      </c>
      <c r="E1450" t="s">
        <v>1446</v>
      </c>
      <c r="F1450" t="s"/>
      <c r="G1450" t="s"/>
      <c r="H1450" t="s"/>
      <c r="I1450" t="s"/>
      <c r="J1450" t="n">
        <v>0.4404</v>
      </c>
      <c r="K1450" t="n">
        <v>0</v>
      </c>
      <c r="L1450" t="n">
        <v>0.837</v>
      </c>
      <c r="M1450" t="n">
        <v>0.163</v>
      </c>
    </row>
    <row r="1451" spans="1:13">
      <c r="A1451" s="1">
        <f>HYPERLINK("http://www.twitter.com/NathanBLawrence/status/993049165356847104", "993049165356847104")</f>
        <v/>
      </c>
      <c r="B1451" s="2" t="n">
        <v>43226.36510416667</v>
      </c>
      <c r="C1451" t="n">
        <v>0</v>
      </c>
      <c r="D1451" t="n">
        <v>7</v>
      </c>
      <c r="E1451" t="s">
        <v>1447</v>
      </c>
      <c r="F1451" t="s"/>
      <c r="G1451" t="s"/>
      <c r="H1451" t="s"/>
      <c r="I1451" t="s"/>
      <c r="J1451" t="n">
        <v>-0.6369</v>
      </c>
      <c r="K1451" t="n">
        <v>0.174</v>
      </c>
      <c r="L1451" t="n">
        <v>0.826</v>
      </c>
      <c r="M1451" t="n">
        <v>0</v>
      </c>
    </row>
    <row r="1452" spans="1:13">
      <c r="A1452" s="1">
        <f>HYPERLINK("http://www.twitter.com/NathanBLawrence/status/992993633929449472", "992993633929449472")</f>
        <v/>
      </c>
      <c r="B1452" s="2" t="n">
        <v>43226.21186342592</v>
      </c>
      <c r="C1452" t="n">
        <v>4</v>
      </c>
      <c r="D1452" t="n">
        <v>2</v>
      </c>
      <c r="E1452" t="s">
        <v>1448</v>
      </c>
      <c r="F1452" t="s"/>
      <c r="G1452" t="s"/>
      <c r="H1452" t="s"/>
      <c r="I1452" t="s"/>
      <c r="J1452" t="n">
        <v>0.5931</v>
      </c>
      <c r="K1452" t="n">
        <v>0</v>
      </c>
      <c r="L1452" t="n">
        <v>0.875</v>
      </c>
      <c r="M1452" t="n">
        <v>0.125</v>
      </c>
    </row>
    <row r="1453" spans="1:13">
      <c r="A1453" s="1">
        <f>HYPERLINK("http://www.twitter.com/NathanBLawrence/status/992989314761060352", "992989314761060352")</f>
        <v/>
      </c>
      <c r="B1453" s="2" t="n">
        <v>43226.1999537037</v>
      </c>
      <c r="C1453" t="n">
        <v>0</v>
      </c>
      <c r="D1453" t="n">
        <v>0</v>
      </c>
      <c r="E1453" t="s">
        <v>1449</v>
      </c>
      <c r="F1453" t="s"/>
      <c r="G1453" t="s"/>
      <c r="H1453" t="s"/>
      <c r="I1453" t="s"/>
      <c r="J1453" t="n">
        <v>0.4588</v>
      </c>
      <c r="K1453" t="n">
        <v>0</v>
      </c>
      <c r="L1453" t="n">
        <v>0.84</v>
      </c>
      <c r="M1453" t="n">
        <v>0.16</v>
      </c>
    </row>
    <row r="1454" spans="1:13">
      <c r="A1454" s="1">
        <f>HYPERLINK("http://www.twitter.com/NathanBLawrence/status/992988119413731329", "992988119413731329")</f>
        <v/>
      </c>
      <c r="B1454" s="2" t="n">
        <v>43226.19665509259</v>
      </c>
      <c r="C1454" t="n">
        <v>0</v>
      </c>
      <c r="D1454" t="n">
        <v>0</v>
      </c>
      <c r="E1454" t="s">
        <v>1450</v>
      </c>
      <c r="F1454" t="s"/>
      <c r="G1454" t="s"/>
      <c r="H1454" t="s"/>
      <c r="I1454" t="s"/>
      <c r="J1454" t="n">
        <v>-0.2941</v>
      </c>
      <c r="K1454" t="n">
        <v>0.217</v>
      </c>
      <c r="L1454" t="n">
        <v>0.587</v>
      </c>
      <c r="M1454" t="n">
        <v>0.196</v>
      </c>
    </row>
    <row r="1455" spans="1:13">
      <c r="A1455" s="1">
        <f>HYPERLINK("http://www.twitter.com/NathanBLawrence/status/992971165101588481", "992971165101588481")</f>
        <v/>
      </c>
      <c r="B1455" s="2" t="n">
        <v>43226.14986111111</v>
      </c>
      <c r="C1455" t="n">
        <v>2</v>
      </c>
      <c r="D1455" t="n">
        <v>0</v>
      </c>
      <c r="E1455" t="s">
        <v>1451</v>
      </c>
      <c r="F1455" t="s"/>
      <c r="G1455" t="s"/>
      <c r="H1455" t="s"/>
      <c r="I1455" t="s"/>
      <c r="J1455" t="n">
        <v>0</v>
      </c>
      <c r="K1455" t="n">
        <v>0</v>
      </c>
      <c r="L1455" t="n">
        <v>1</v>
      </c>
      <c r="M1455" t="n">
        <v>0</v>
      </c>
    </row>
    <row r="1456" spans="1:13">
      <c r="A1456" s="1">
        <f>HYPERLINK("http://www.twitter.com/NathanBLawrence/status/992970808669691904", "992970808669691904")</f>
        <v/>
      </c>
      <c r="B1456" s="2" t="n">
        <v>43226.14887731482</v>
      </c>
      <c r="C1456" t="n">
        <v>0</v>
      </c>
      <c r="D1456" t="n">
        <v>0</v>
      </c>
      <c r="E1456" t="s">
        <v>1452</v>
      </c>
      <c r="F1456" t="s"/>
      <c r="G1456" t="s"/>
      <c r="H1456" t="s"/>
      <c r="I1456" t="s"/>
      <c r="J1456" t="n">
        <v>-0.5859</v>
      </c>
      <c r="K1456" t="n">
        <v>0.487</v>
      </c>
      <c r="L1456" t="n">
        <v>0.513</v>
      </c>
      <c r="M1456" t="n">
        <v>0</v>
      </c>
    </row>
    <row r="1457" spans="1:13">
      <c r="A1457" s="1">
        <f>HYPERLINK("http://www.twitter.com/NathanBLawrence/status/992970620261601285", "992970620261601285")</f>
        <v/>
      </c>
      <c r="B1457" s="2" t="n">
        <v>43226.14836805555</v>
      </c>
      <c r="C1457" t="n">
        <v>0</v>
      </c>
      <c r="D1457" t="n">
        <v>0</v>
      </c>
      <c r="E1457" t="s">
        <v>1453</v>
      </c>
      <c r="F1457" t="s"/>
      <c r="G1457" t="s"/>
      <c r="H1457" t="s"/>
      <c r="I1457" t="s"/>
      <c r="J1457" t="n">
        <v>0.7998</v>
      </c>
      <c r="K1457" t="n">
        <v>0.074</v>
      </c>
      <c r="L1457" t="n">
        <v>0.722</v>
      </c>
      <c r="M1457" t="n">
        <v>0.205</v>
      </c>
    </row>
    <row r="1458" spans="1:13">
      <c r="A1458" s="1">
        <f>HYPERLINK("http://www.twitter.com/NathanBLawrence/status/992969629181112320", "992969629181112320")</f>
        <v/>
      </c>
      <c r="B1458" s="2" t="n">
        <v>43226.145625</v>
      </c>
      <c r="C1458" t="n">
        <v>0</v>
      </c>
      <c r="D1458" t="n">
        <v>0</v>
      </c>
      <c r="E1458" t="s">
        <v>1454</v>
      </c>
      <c r="F1458" t="s"/>
      <c r="G1458" t="s"/>
      <c r="H1458" t="s"/>
      <c r="I1458" t="s"/>
      <c r="J1458" t="n">
        <v>0.4595</v>
      </c>
      <c r="K1458" t="n">
        <v>0.079</v>
      </c>
      <c r="L1458" t="n">
        <v>0.802</v>
      </c>
      <c r="M1458" t="n">
        <v>0.119</v>
      </c>
    </row>
    <row r="1459" spans="1:13">
      <c r="A1459" s="1">
        <f>HYPERLINK("http://www.twitter.com/NathanBLawrence/status/992968926203142144", "992968926203142144")</f>
        <v/>
      </c>
      <c r="B1459" s="2" t="n">
        <v>43226.14369212963</v>
      </c>
      <c r="C1459" t="n">
        <v>0</v>
      </c>
      <c r="D1459" t="n">
        <v>0</v>
      </c>
      <c r="E1459" t="s">
        <v>1455</v>
      </c>
      <c r="F1459" t="s"/>
      <c r="G1459" t="s"/>
      <c r="H1459" t="s"/>
      <c r="I1459" t="s"/>
      <c r="J1459" t="n">
        <v>-0.7964</v>
      </c>
      <c r="K1459" t="n">
        <v>0.247</v>
      </c>
      <c r="L1459" t="n">
        <v>0.613</v>
      </c>
      <c r="M1459" t="n">
        <v>0.14</v>
      </c>
    </row>
    <row r="1460" spans="1:13">
      <c r="A1460" s="1">
        <f>HYPERLINK("http://www.twitter.com/NathanBLawrence/status/992964234073071616", "992964234073071616")</f>
        <v/>
      </c>
      <c r="B1460" s="2" t="n">
        <v>43226.13074074074</v>
      </c>
      <c r="C1460" t="n">
        <v>0</v>
      </c>
      <c r="D1460" t="n">
        <v>40</v>
      </c>
      <c r="E1460" t="s">
        <v>1456</v>
      </c>
      <c r="F1460">
        <f>HYPERLINK("http://pbs.twimg.com/media/DcEP1EyVAAAAJtl.jpg", "http://pbs.twimg.com/media/DcEP1EyVAAAAJtl.jpg")</f>
        <v/>
      </c>
      <c r="G1460" t="s"/>
      <c r="H1460" t="s"/>
      <c r="I1460" t="s"/>
      <c r="J1460" t="n">
        <v>0</v>
      </c>
      <c r="K1460" t="n">
        <v>0</v>
      </c>
      <c r="L1460" t="n">
        <v>1</v>
      </c>
      <c r="M1460" t="n">
        <v>0</v>
      </c>
    </row>
    <row r="1461" spans="1:13">
      <c r="A1461" s="1">
        <f>HYPERLINK("http://www.twitter.com/NathanBLawrence/status/992963734355283968", "992963734355283968")</f>
        <v/>
      </c>
      <c r="B1461" s="2" t="n">
        <v>43226.12936342593</v>
      </c>
      <c r="C1461" t="n">
        <v>2</v>
      </c>
      <c r="D1461" t="n">
        <v>2</v>
      </c>
      <c r="E1461" t="s">
        <v>1457</v>
      </c>
      <c r="F1461" t="s"/>
      <c r="G1461" t="s"/>
      <c r="H1461" t="s"/>
      <c r="I1461" t="s"/>
      <c r="J1461" t="n">
        <v>-0.3736</v>
      </c>
      <c r="K1461" t="n">
        <v>0.092</v>
      </c>
      <c r="L1461" t="n">
        <v>0.854</v>
      </c>
      <c r="M1461" t="n">
        <v>0.055</v>
      </c>
    </row>
    <row r="1462" spans="1:13">
      <c r="A1462" s="1">
        <f>HYPERLINK("http://www.twitter.com/NathanBLawrence/status/992961859543359493", "992961859543359493")</f>
        <v/>
      </c>
      <c r="B1462" s="2" t="n">
        <v>43226.12418981481</v>
      </c>
      <c r="C1462" t="n">
        <v>0</v>
      </c>
      <c r="D1462" t="n">
        <v>0</v>
      </c>
      <c r="E1462" t="s">
        <v>1458</v>
      </c>
      <c r="F1462" t="s"/>
      <c r="G1462" t="s"/>
      <c r="H1462" t="s"/>
      <c r="I1462" t="s"/>
      <c r="J1462" t="n">
        <v>0.0516</v>
      </c>
      <c r="K1462" t="n">
        <v>0.199</v>
      </c>
      <c r="L1462" t="n">
        <v>0.588</v>
      </c>
      <c r="M1462" t="n">
        <v>0.213</v>
      </c>
    </row>
    <row r="1463" spans="1:13">
      <c r="A1463" s="1">
        <f>HYPERLINK("http://www.twitter.com/NathanBLawrence/status/992958986319290368", "992958986319290368")</f>
        <v/>
      </c>
      <c r="B1463" s="2" t="n">
        <v>43226.11626157408</v>
      </c>
      <c r="C1463" t="n">
        <v>0</v>
      </c>
      <c r="D1463" t="n">
        <v>0</v>
      </c>
      <c r="E1463" t="s">
        <v>1459</v>
      </c>
      <c r="F1463" t="s"/>
      <c r="G1463" t="s"/>
      <c r="H1463" t="s"/>
      <c r="I1463" t="s"/>
      <c r="J1463" t="n">
        <v>-0.296</v>
      </c>
      <c r="K1463" t="n">
        <v>0.524</v>
      </c>
      <c r="L1463" t="n">
        <v>0.476</v>
      </c>
      <c r="M1463" t="n">
        <v>0</v>
      </c>
    </row>
    <row r="1464" spans="1:13">
      <c r="A1464" s="1">
        <f>HYPERLINK("http://www.twitter.com/NathanBLawrence/status/992958750381264896", "992958750381264896")</f>
        <v/>
      </c>
      <c r="B1464" s="2" t="n">
        <v>43226.11561342593</v>
      </c>
      <c r="C1464" t="n">
        <v>0</v>
      </c>
      <c r="D1464" t="n">
        <v>0</v>
      </c>
      <c r="E1464" t="s">
        <v>1460</v>
      </c>
      <c r="F1464" t="s"/>
      <c r="G1464" t="s"/>
      <c r="H1464" t="s"/>
      <c r="I1464" t="s"/>
      <c r="J1464" t="n">
        <v>-0.5294</v>
      </c>
      <c r="K1464" t="n">
        <v>0.127</v>
      </c>
      <c r="L1464" t="n">
        <v>0.776</v>
      </c>
      <c r="M1464" t="n">
        <v>0.097</v>
      </c>
    </row>
    <row r="1465" spans="1:13">
      <c r="A1465" s="1">
        <f>HYPERLINK("http://www.twitter.com/NathanBLawrence/status/992958280136830978", "992958280136830978")</f>
        <v/>
      </c>
      <c r="B1465" s="2" t="n">
        <v>43226.11430555556</v>
      </c>
      <c r="C1465" t="n">
        <v>1</v>
      </c>
      <c r="D1465" t="n">
        <v>0</v>
      </c>
      <c r="E1465" t="s">
        <v>1461</v>
      </c>
      <c r="F1465" t="s"/>
      <c r="G1465" t="s"/>
      <c r="H1465" t="s"/>
      <c r="I1465" t="s"/>
      <c r="J1465" t="n">
        <v>-0.7579</v>
      </c>
      <c r="K1465" t="n">
        <v>0.151</v>
      </c>
      <c r="L1465" t="n">
        <v>0.799</v>
      </c>
      <c r="M1465" t="n">
        <v>0.051</v>
      </c>
    </row>
    <row r="1466" spans="1:13">
      <c r="A1466" s="1">
        <f>HYPERLINK("http://www.twitter.com/NathanBLawrence/status/992957339840974848", "992957339840974848")</f>
        <v/>
      </c>
      <c r="B1466" s="2" t="n">
        <v>43226.11171296296</v>
      </c>
      <c r="C1466" t="n">
        <v>0</v>
      </c>
      <c r="D1466" t="n">
        <v>0</v>
      </c>
      <c r="E1466" t="s">
        <v>1462</v>
      </c>
      <c r="F1466" t="s"/>
      <c r="G1466" t="s"/>
      <c r="H1466" t="s"/>
      <c r="I1466" t="s"/>
      <c r="J1466" t="n">
        <v>0.3182</v>
      </c>
      <c r="K1466" t="n">
        <v>0</v>
      </c>
      <c r="L1466" t="n">
        <v>0.919</v>
      </c>
      <c r="M1466" t="n">
        <v>0.081</v>
      </c>
    </row>
    <row r="1467" spans="1:13">
      <c r="A1467" s="1">
        <f>HYPERLINK("http://www.twitter.com/NathanBLawrence/status/992955749205774336", "992955749205774336")</f>
        <v/>
      </c>
      <c r="B1467" s="2" t="n">
        <v>43226.10732638889</v>
      </c>
      <c r="C1467" t="n">
        <v>3</v>
      </c>
      <c r="D1467" t="n">
        <v>0</v>
      </c>
      <c r="E1467" t="s">
        <v>1463</v>
      </c>
      <c r="F1467" t="s"/>
      <c r="G1467" t="s"/>
      <c r="H1467" t="s"/>
      <c r="I1467" t="s"/>
      <c r="J1467" t="n">
        <v>-0.9022</v>
      </c>
      <c r="K1467" t="n">
        <v>0.218</v>
      </c>
      <c r="L1467" t="n">
        <v>0.71</v>
      </c>
      <c r="M1467" t="n">
        <v>0.07199999999999999</v>
      </c>
    </row>
    <row r="1468" spans="1:13">
      <c r="A1468" s="1">
        <f>HYPERLINK("http://www.twitter.com/NathanBLawrence/status/992953580729626625", "992953580729626625")</f>
        <v/>
      </c>
      <c r="B1468" s="2" t="n">
        <v>43226.10134259259</v>
      </c>
      <c r="C1468" t="n">
        <v>0</v>
      </c>
      <c r="D1468" t="n">
        <v>0</v>
      </c>
      <c r="E1468" t="s">
        <v>1464</v>
      </c>
      <c r="F1468" t="s"/>
      <c r="G1468" t="s"/>
      <c r="H1468" t="s"/>
      <c r="I1468" t="s"/>
      <c r="J1468" t="n">
        <v>-0.6025</v>
      </c>
      <c r="K1468" t="n">
        <v>0.098</v>
      </c>
      <c r="L1468" t="n">
        <v>0.902</v>
      </c>
      <c r="M1468" t="n">
        <v>0</v>
      </c>
    </row>
    <row r="1469" spans="1:13">
      <c r="A1469" s="1">
        <f>HYPERLINK("http://www.twitter.com/NathanBLawrence/status/992953142617804800", "992953142617804800")</f>
        <v/>
      </c>
      <c r="B1469" s="2" t="n">
        <v>43226.10013888889</v>
      </c>
      <c r="C1469" t="n">
        <v>1</v>
      </c>
      <c r="D1469" t="n">
        <v>0</v>
      </c>
      <c r="E1469" t="s">
        <v>1465</v>
      </c>
      <c r="F1469" t="s"/>
      <c r="G1469" t="s"/>
      <c r="H1469" t="s"/>
      <c r="I1469" t="s"/>
      <c r="J1469" t="n">
        <v>0.4404</v>
      </c>
      <c r="K1469" t="n">
        <v>0.079</v>
      </c>
      <c r="L1469" t="n">
        <v>0.742</v>
      </c>
      <c r="M1469" t="n">
        <v>0.179</v>
      </c>
    </row>
    <row r="1470" spans="1:13">
      <c r="A1470" s="1">
        <f>HYPERLINK("http://www.twitter.com/NathanBLawrence/status/992952296131715072", "992952296131715072")</f>
        <v/>
      </c>
      <c r="B1470" s="2" t="n">
        <v>43226.09780092593</v>
      </c>
      <c r="C1470" t="n">
        <v>1</v>
      </c>
      <c r="D1470" t="n">
        <v>0</v>
      </c>
      <c r="E1470" t="s">
        <v>1466</v>
      </c>
      <c r="F1470" t="s"/>
      <c r="G1470" t="s"/>
      <c r="H1470" t="s"/>
      <c r="I1470" t="s"/>
      <c r="J1470" t="n">
        <v>0.0772</v>
      </c>
      <c r="K1470" t="n">
        <v>0</v>
      </c>
      <c r="L1470" t="n">
        <v>0.952</v>
      </c>
      <c r="M1470" t="n">
        <v>0.048</v>
      </c>
    </row>
    <row r="1471" spans="1:13">
      <c r="A1471" s="1">
        <f>HYPERLINK("http://www.twitter.com/NathanBLawrence/status/992952060776677377", "992952060776677377")</f>
        <v/>
      </c>
      <c r="B1471" s="2" t="n">
        <v>43226.09715277778</v>
      </c>
      <c r="C1471" t="n">
        <v>1</v>
      </c>
      <c r="D1471" t="n">
        <v>0</v>
      </c>
      <c r="E1471" t="s">
        <v>1467</v>
      </c>
      <c r="F1471" t="s"/>
      <c r="G1471" t="s"/>
      <c r="H1471" t="s"/>
      <c r="I1471" t="s"/>
      <c r="J1471" t="n">
        <v>-0.3954</v>
      </c>
      <c r="K1471" t="n">
        <v>0.09</v>
      </c>
      <c r="L1471" t="n">
        <v>0.864</v>
      </c>
      <c r="M1471" t="n">
        <v>0.047</v>
      </c>
    </row>
    <row r="1472" spans="1:13">
      <c r="A1472" s="1">
        <f>HYPERLINK("http://www.twitter.com/NathanBLawrence/status/992950601691684864", "992950601691684864")</f>
        <v/>
      </c>
      <c r="B1472" s="2" t="n">
        <v>43226.093125</v>
      </c>
      <c r="C1472" t="n">
        <v>1</v>
      </c>
      <c r="D1472" t="n">
        <v>0</v>
      </c>
      <c r="E1472" t="s">
        <v>1468</v>
      </c>
      <c r="F1472" t="s"/>
      <c r="G1472" t="s"/>
      <c r="H1472" t="s"/>
      <c r="I1472" t="s"/>
      <c r="J1472" t="n">
        <v>0</v>
      </c>
      <c r="K1472" t="n">
        <v>0</v>
      </c>
      <c r="L1472" t="n">
        <v>1</v>
      </c>
      <c r="M1472" t="n">
        <v>0</v>
      </c>
    </row>
    <row r="1473" spans="1:13">
      <c r="A1473" s="1">
        <f>HYPERLINK("http://www.twitter.com/NathanBLawrence/status/992948355226619904", "992948355226619904")</f>
        <v/>
      </c>
      <c r="B1473" s="2" t="n">
        <v>43226.08692129629</v>
      </c>
      <c r="C1473" t="n">
        <v>2</v>
      </c>
      <c r="D1473" t="n">
        <v>2</v>
      </c>
      <c r="E1473" t="s">
        <v>1469</v>
      </c>
      <c r="F1473" t="s"/>
      <c r="G1473" t="s"/>
      <c r="H1473" t="s"/>
      <c r="I1473" t="s"/>
      <c r="J1473" t="n">
        <v>-0.0772</v>
      </c>
      <c r="K1473" t="n">
        <v>0.094</v>
      </c>
      <c r="L1473" t="n">
        <v>0.821</v>
      </c>
      <c r="M1473" t="n">
        <v>0.08500000000000001</v>
      </c>
    </row>
    <row r="1474" spans="1:13">
      <c r="A1474" s="1">
        <f>HYPERLINK("http://www.twitter.com/NathanBLawrence/status/992947248886665216", "992947248886665216")</f>
        <v/>
      </c>
      <c r="B1474" s="2" t="n">
        <v>43226.08386574074</v>
      </c>
      <c r="C1474" t="n">
        <v>1</v>
      </c>
      <c r="D1474" t="n">
        <v>0</v>
      </c>
      <c r="E1474" t="s">
        <v>1470</v>
      </c>
      <c r="F1474" t="s"/>
      <c r="G1474" t="s"/>
      <c r="H1474" t="s"/>
      <c r="I1474" t="s"/>
      <c r="J1474" t="n">
        <v>0.6121</v>
      </c>
      <c r="K1474" t="n">
        <v>0.106</v>
      </c>
      <c r="L1474" t="n">
        <v>0.701</v>
      </c>
      <c r="M1474" t="n">
        <v>0.193</v>
      </c>
    </row>
    <row r="1475" spans="1:13">
      <c r="A1475" s="1">
        <f>HYPERLINK("http://www.twitter.com/NathanBLawrence/status/992945814388568064", "992945814388568064")</f>
        <v/>
      </c>
      <c r="B1475" s="2" t="n">
        <v>43226.07990740741</v>
      </c>
      <c r="C1475" t="n">
        <v>1</v>
      </c>
      <c r="D1475" t="n">
        <v>0</v>
      </c>
      <c r="E1475" t="s">
        <v>1471</v>
      </c>
      <c r="F1475" t="s"/>
      <c r="G1475" t="s"/>
      <c r="H1475" t="s"/>
      <c r="I1475" t="s"/>
      <c r="J1475" t="n">
        <v>0</v>
      </c>
      <c r="K1475" t="n">
        <v>0</v>
      </c>
      <c r="L1475" t="n">
        <v>1</v>
      </c>
      <c r="M1475" t="n">
        <v>0</v>
      </c>
    </row>
    <row r="1476" spans="1:13">
      <c r="A1476" s="1">
        <f>HYPERLINK("http://www.twitter.com/NathanBLawrence/status/992945613758189569", "992945613758189569")</f>
        <v/>
      </c>
      <c r="B1476" s="2" t="n">
        <v>43226.07936342592</v>
      </c>
      <c r="C1476" t="n">
        <v>1</v>
      </c>
      <c r="D1476" t="n">
        <v>0</v>
      </c>
      <c r="E1476" t="s">
        <v>1472</v>
      </c>
      <c r="F1476" t="s"/>
      <c r="G1476" t="s"/>
      <c r="H1476" t="s"/>
      <c r="I1476" t="s"/>
      <c r="J1476" t="n">
        <v>-0.8074</v>
      </c>
      <c r="K1476" t="n">
        <v>0.14</v>
      </c>
      <c r="L1476" t="n">
        <v>0.86</v>
      </c>
      <c r="M1476" t="n">
        <v>0</v>
      </c>
    </row>
    <row r="1477" spans="1:13">
      <c r="A1477" s="1">
        <f>HYPERLINK("http://www.twitter.com/NathanBLawrence/status/992938513103507456", "992938513103507456")</f>
        <v/>
      </c>
      <c r="B1477" s="2" t="n">
        <v>43226.05976851852</v>
      </c>
      <c r="C1477" t="n">
        <v>0</v>
      </c>
      <c r="D1477" t="n">
        <v>0</v>
      </c>
      <c r="E1477" t="s">
        <v>1473</v>
      </c>
      <c r="F1477" t="s"/>
      <c r="G1477" t="s"/>
      <c r="H1477" t="s"/>
      <c r="I1477" t="s"/>
      <c r="J1477" t="n">
        <v>-0.7744</v>
      </c>
      <c r="K1477" t="n">
        <v>0.185</v>
      </c>
      <c r="L1477" t="n">
        <v>0.8149999999999999</v>
      </c>
      <c r="M1477" t="n">
        <v>0</v>
      </c>
    </row>
    <row r="1478" spans="1:13">
      <c r="A1478" s="1">
        <f>HYPERLINK("http://www.twitter.com/NathanBLawrence/status/992935464154861568", "992935464154861568")</f>
        <v/>
      </c>
      <c r="B1478" s="2" t="n">
        <v>43226.05135416667</v>
      </c>
      <c r="C1478" t="n">
        <v>0</v>
      </c>
      <c r="D1478" t="n">
        <v>0</v>
      </c>
      <c r="E1478" t="s">
        <v>1474</v>
      </c>
      <c r="F1478" t="s"/>
      <c r="G1478" t="s"/>
      <c r="H1478" t="s"/>
      <c r="I1478" t="s"/>
      <c r="J1478" t="n">
        <v>-0.7506</v>
      </c>
      <c r="K1478" t="n">
        <v>0.163</v>
      </c>
      <c r="L1478" t="n">
        <v>0.837</v>
      </c>
      <c r="M1478" t="n">
        <v>0</v>
      </c>
    </row>
    <row r="1479" spans="1:13">
      <c r="A1479" s="1">
        <f>HYPERLINK("http://www.twitter.com/NathanBLawrence/status/992930511717888003", "992930511717888003")</f>
        <v/>
      </c>
      <c r="B1479" s="2" t="n">
        <v>43226.03768518518</v>
      </c>
      <c r="C1479" t="n">
        <v>0</v>
      </c>
      <c r="D1479" t="n">
        <v>0</v>
      </c>
      <c r="E1479" t="s">
        <v>1475</v>
      </c>
      <c r="F1479" t="s"/>
      <c r="G1479" t="s"/>
      <c r="H1479" t="s"/>
      <c r="I1479" t="s"/>
      <c r="J1479" t="n">
        <v>-0.6705</v>
      </c>
      <c r="K1479" t="n">
        <v>0.29</v>
      </c>
      <c r="L1479" t="n">
        <v>0.71</v>
      </c>
      <c r="M1479" t="n">
        <v>0</v>
      </c>
    </row>
    <row r="1480" spans="1:13">
      <c r="A1480" s="1">
        <f>HYPERLINK("http://www.twitter.com/NathanBLawrence/status/992902073145548800", "992902073145548800")</f>
        <v/>
      </c>
      <c r="B1480" s="2" t="n">
        <v>43225.95921296296</v>
      </c>
      <c r="C1480" t="n">
        <v>0</v>
      </c>
      <c r="D1480" t="n">
        <v>0</v>
      </c>
      <c r="E1480" t="s">
        <v>1476</v>
      </c>
      <c r="F1480" t="s"/>
      <c r="G1480" t="s"/>
      <c r="H1480" t="s"/>
      <c r="I1480" t="s"/>
      <c r="J1480" t="n">
        <v>0</v>
      </c>
      <c r="K1480" t="n">
        <v>0</v>
      </c>
      <c r="L1480" t="n">
        <v>1</v>
      </c>
      <c r="M1480" t="n">
        <v>0</v>
      </c>
    </row>
    <row r="1481" spans="1:13">
      <c r="A1481" s="1">
        <f>HYPERLINK("http://www.twitter.com/NathanBLawrence/status/992901405542420480", "992901405542420480")</f>
        <v/>
      </c>
      <c r="B1481" s="2" t="n">
        <v>43225.95736111111</v>
      </c>
      <c r="C1481" t="n">
        <v>0</v>
      </c>
      <c r="D1481" t="n">
        <v>0</v>
      </c>
      <c r="E1481" t="s">
        <v>1477</v>
      </c>
      <c r="F1481" t="s"/>
      <c r="G1481" t="s"/>
      <c r="H1481" t="s"/>
      <c r="I1481" t="s"/>
      <c r="J1481" t="n">
        <v>-0.579</v>
      </c>
      <c r="K1481" t="n">
        <v>0.304</v>
      </c>
      <c r="L1481" t="n">
        <v>0.571</v>
      </c>
      <c r="M1481" t="n">
        <v>0.124</v>
      </c>
    </row>
    <row r="1482" spans="1:13">
      <c r="A1482" s="1">
        <f>HYPERLINK("http://www.twitter.com/NathanBLawrence/status/992899890564009984", "992899890564009984")</f>
        <v/>
      </c>
      <c r="B1482" s="2" t="n">
        <v>43225.95318287037</v>
      </c>
      <c r="C1482" t="n">
        <v>0</v>
      </c>
      <c r="D1482" t="n">
        <v>0</v>
      </c>
      <c r="E1482" t="s">
        <v>1478</v>
      </c>
      <c r="F1482" t="s"/>
      <c r="G1482" t="s"/>
      <c r="H1482" t="s"/>
      <c r="I1482" t="s"/>
      <c r="J1482" t="n">
        <v>-0.7631</v>
      </c>
      <c r="K1482" t="n">
        <v>0.17</v>
      </c>
      <c r="L1482" t="n">
        <v>0.83</v>
      </c>
      <c r="M1482" t="n">
        <v>0</v>
      </c>
    </row>
    <row r="1483" spans="1:13">
      <c r="A1483" s="1">
        <f>HYPERLINK("http://www.twitter.com/NathanBLawrence/status/992898962075119616", "992898962075119616")</f>
        <v/>
      </c>
      <c r="B1483" s="2" t="n">
        <v>43225.950625</v>
      </c>
      <c r="C1483" t="n">
        <v>4</v>
      </c>
      <c r="D1483" t="n">
        <v>2</v>
      </c>
      <c r="E1483" t="s">
        <v>1479</v>
      </c>
      <c r="F1483" t="s"/>
      <c r="G1483" t="s"/>
      <c r="H1483" t="s"/>
      <c r="I1483" t="s"/>
      <c r="J1483" t="n">
        <v>-0.533</v>
      </c>
      <c r="K1483" t="n">
        <v>0.141</v>
      </c>
      <c r="L1483" t="n">
        <v>0.859</v>
      </c>
      <c r="M1483" t="n">
        <v>0</v>
      </c>
    </row>
    <row r="1484" spans="1:13">
      <c r="A1484" s="1">
        <f>HYPERLINK("http://www.twitter.com/NathanBLawrence/status/992897685651972096", "992897685651972096")</f>
        <v/>
      </c>
      <c r="B1484" s="2" t="n">
        <v>43225.94710648148</v>
      </c>
      <c r="C1484" t="n">
        <v>0</v>
      </c>
      <c r="D1484" t="n">
        <v>0</v>
      </c>
      <c r="E1484" t="s">
        <v>1480</v>
      </c>
      <c r="F1484" t="s"/>
      <c r="G1484" t="s"/>
      <c r="H1484" t="s"/>
      <c r="I1484" t="s"/>
      <c r="J1484" t="n">
        <v>-0.6662</v>
      </c>
      <c r="K1484" t="n">
        <v>0.165</v>
      </c>
      <c r="L1484" t="n">
        <v>0.779</v>
      </c>
      <c r="M1484" t="n">
        <v>0.056</v>
      </c>
    </row>
    <row r="1485" spans="1:13">
      <c r="A1485" s="1">
        <f>HYPERLINK("http://www.twitter.com/NathanBLawrence/status/992896701055881216", "992896701055881216")</f>
        <v/>
      </c>
      <c r="B1485" s="2" t="n">
        <v>43225.94438657408</v>
      </c>
      <c r="C1485" t="n">
        <v>2</v>
      </c>
      <c r="D1485" t="n">
        <v>0</v>
      </c>
      <c r="E1485" t="s">
        <v>1481</v>
      </c>
      <c r="F1485" t="s"/>
      <c r="G1485" t="s"/>
      <c r="H1485" t="s"/>
      <c r="I1485" t="s"/>
      <c r="J1485" t="n">
        <v>-0.6860000000000001</v>
      </c>
      <c r="K1485" t="n">
        <v>0.137</v>
      </c>
      <c r="L1485" t="n">
        <v>0.8139999999999999</v>
      </c>
      <c r="M1485" t="n">
        <v>0.049</v>
      </c>
    </row>
    <row r="1486" spans="1:13">
      <c r="A1486" s="1">
        <f>HYPERLINK("http://www.twitter.com/NathanBLawrence/status/992895297771724800", "992895297771724800")</f>
        <v/>
      </c>
      <c r="B1486" s="2" t="n">
        <v>43225.94050925926</v>
      </c>
      <c r="C1486" t="n">
        <v>0</v>
      </c>
      <c r="D1486" t="n">
        <v>2857</v>
      </c>
      <c r="E1486" t="s">
        <v>1482</v>
      </c>
      <c r="F1486" t="s"/>
      <c r="G1486" t="s"/>
      <c r="H1486" t="s"/>
      <c r="I1486" t="s"/>
      <c r="J1486" t="n">
        <v>-0.4019</v>
      </c>
      <c r="K1486" t="n">
        <v>0.119</v>
      </c>
      <c r="L1486" t="n">
        <v>0.881</v>
      </c>
      <c r="M1486" t="n">
        <v>0</v>
      </c>
    </row>
    <row r="1487" spans="1:13">
      <c r="A1487" s="1">
        <f>HYPERLINK("http://www.twitter.com/NathanBLawrence/status/992894846007431169", "992894846007431169")</f>
        <v/>
      </c>
      <c r="B1487" s="2" t="n">
        <v>43225.93927083333</v>
      </c>
      <c r="C1487" t="n">
        <v>0</v>
      </c>
      <c r="D1487" t="n">
        <v>1</v>
      </c>
      <c r="E1487" t="s">
        <v>1483</v>
      </c>
      <c r="F1487" t="s"/>
      <c r="G1487" t="s"/>
      <c r="H1487" t="s"/>
      <c r="I1487" t="s"/>
      <c r="J1487" t="n">
        <v>0.6597</v>
      </c>
      <c r="K1487" t="n">
        <v>0</v>
      </c>
      <c r="L1487" t="n">
        <v>0.748</v>
      </c>
      <c r="M1487" t="n">
        <v>0.252</v>
      </c>
    </row>
    <row r="1488" spans="1:13">
      <c r="A1488" s="1">
        <f>HYPERLINK("http://www.twitter.com/NathanBLawrence/status/992873159861919745", "992873159861919745")</f>
        <v/>
      </c>
      <c r="B1488" s="2" t="n">
        <v>43225.8794212963</v>
      </c>
      <c r="C1488" t="n">
        <v>1</v>
      </c>
      <c r="D1488" t="n">
        <v>0</v>
      </c>
      <c r="E1488" t="s">
        <v>1484</v>
      </c>
      <c r="F1488" t="s"/>
      <c r="G1488" t="s"/>
      <c r="H1488" t="s"/>
      <c r="I1488" t="s"/>
      <c r="J1488" t="n">
        <v>0.2732</v>
      </c>
      <c r="K1488" t="n">
        <v>0.121</v>
      </c>
      <c r="L1488" t="n">
        <v>0.733</v>
      </c>
      <c r="M1488" t="n">
        <v>0.147</v>
      </c>
    </row>
    <row r="1489" spans="1:13">
      <c r="A1489" s="1">
        <f>HYPERLINK("http://www.twitter.com/NathanBLawrence/status/992871296122974209", "992871296122974209")</f>
        <v/>
      </c>
      <c r="B1489" s="2" t="n">
        <v>43225.87428240741</v>
      </c>
      <c r="C1489" t="n">
        <v>0</v>
      </c>
      <c r="D1489" t="n">
        <v>3</v>
      </c>
      <c r="E1489" t="s">
        <v>1485</v>
      </c>
      <c r="F1489" t="s"/>
      <c r="G1489" t="s"/>
      <c r="H1489" t="s"/>
      <c r="I1489" t="s"/>
      <c r="J1489" t="n">
        <v>-0.3182</v>
      </c>
      <c r="K1489" t="n">
        <v>0.108</v>
      </c>
      <c r="L1489" t="n">
        <v>0.892</v>
      </c>
      <c r="M1489" t="n">
        <v>0</v>
      </c>
    </row>
    <row r="1490" spans="1:13">
      <c r="A1490" s="1">
        <f>HYPERLINK("http://www.twitter.com/NathanBLawrence/status/992871102379589633", "992871102379589633")</f>
        <v/>
      </c>
      <c r="B1490" s="2" t="n">
        <v>43225.87375</v>
      </c>
      <c r="C1490" t="n">
        <v>0</v>
      </c>
      <c r="D1490" t="n">
        <v>1</v>
      </c>
      <c r="E1490" t="s">
        <v>1486</v>
      </c>
      <c r="F1490" t="s"/>
      <c r="G1490" t="s"/>
      <c r="H1490" t="s"/>
      <c r="I1490" t="s"/>
      <c r="J1490" t="n">
        <v>0.6155</v>
      </c>
      <c r="K1490" t="n">
        <v>0</v>
      </c>
      <c r="L1490" t="n">
        <v>0.749</v>
      </c>
      <c r="M1490" t="n">
        <v>0.251</v>
      </c>
    </row>
    <row r="1491" spans="1:13">
      <c r="A1491" s="1">
        <f>HYPERLINK("http://www.twitter.com/NathanBLawrence/status/992870936822067201", "992870936822067201")</f>
        <v/>
      </c>
      <c r="B1491" s="2" t="n">
        <v>43225.87328703704</v>
      </c>
      <c r="C1491" t="n">
        <v>3</v>
      </c>
      <c r="D1491" t="n">
        <v>3</v>
      </c>
      <c r="E1491" t="s">
        <v>1487</v>
      </c>
      <c r="F1491" t="s"/>
      <c r="G1491" t="s"/>
      <c r="H1491" t="s"/>
      <c r="I1491" t="s"/>
      <c r="J1491" t="n">
        <v>-0.7269</v>
      </c>
      <c r="K1491" t="n">
        <v>0.156</v>
      </c>
      <c r="L1491" t="n">
        <v>0.844</v>
      </c>
      <c r="M1491" t="n">
        <v>0</v>
      </c>
    </row>
    <row r="1492" spans="1:13">
      <c r="A1492" s="1">
        <f>HYPERLINK("http://www.twitter.com/NathanBLawrence/status/992868589903413248", "992868589903413248")</f>
        <v/>
      </c>
      <c r="B1492" s="2" t="n">
        <v>43225.86681712963</v>
      </c>
      <c r="C1492" t="n">
        <v>0</v>
      </c>
      <c r="D1492" t="n">
        <v>0</v>
      </c>
      <c r="E1492" t="s">
        <v>1488</v>
      </c>
      <c r="F1492" t="s"/>
      <c r="G1492" t="s"/>
      <c r="H1492" t="s"/>
      <c r="I1492" t="s"/>
      <c r="J1492" t="n">
        <v>0</v>
      </c>
      <c r="K1492" t="n">
        <v>0</v>
      </c>
      <c r="L1492" t="n">
        <v>1</v>
      </c>
      <c r="M1492" t="n">
        <v>0</v>
      </c>
    </row>
    <row r="1493" spans="1:13">
      <c r="A1493" s="1">
        <f>HYPERLINK("http://www.twitter.com/NathanBLawrence/status/992866172134678528", "992866172134678528")</f>
        <v/>
      </c>
      <c r="B1493" s="2" t="n">
        <v>43225.86013888889</v>
      </c>
      <c r="C1493" t="n">
        <v>3</v>
      </c>
      <c r="D1493" t="n">
        <v>1</v>
      </c>
      <c r="E1493" t="s">
        <v>1489</v>
      </c>
      <c r="F1493" t="s"/>
      <c r="G1493" t="s"/>
      <c r="H1493" t="s"/>
      <c r="I1493" t="s"/>
      <c r="J1493" t="n">
        <v>-0.2263</v>
      </c>
      <c r="K1493" t="n">
        <v>0.08599999999999999</v>
      </c>
      <c r="L1493" t="n">
        <v>0.86</v>
      </c>
      <c r="M1493" t="n">
        <v>0.054</v>
      </c>
    </row>
    <row r="1494" spans="1:13">
      <c r="A1494" s="1">
        <f>HYPERLINK("http://www.twitter.com/NathanBLawrence/status/992864530362454027", "992864530362454027")</f>
        <v/>
      </c>
      <c r="B1494" s="2" t="n">
        <v>43225.85561342593</v>
      </c>
      <c r="C1494" t="n">
        <v>0</v>
      </c>
      <c r="D1494" t="n">
        <v>4747</v>
      </c>
      <c r="E1494" t="s">
        <v>1490</v>
      </c>
      <c r="F1494">
        <f>HYPERLINK("http://pbs.twimg.com/media/DcdXxiiWAAA06J3.jpg", "http://pbs.twimg.com/media/DcdXxiiWAAA06J3.jpg")</f>
        <v/>
      </c>
      <c r="G1494" t="s"/>
      <c r="H1494" t="s"/>
      <c r="I1494" t="s"/>
      <c r="J1494" t="n">
        <v>-0.5574</v>
      </c>
      <c r="K1494" t="n">
        <v>0.167</v>
      </c>
      <c r="L1494" t="n">
        <v>0.833</v>
      </c>
      <c r="M1494" t="n">
        <v>0</v>
      </c>
    </row>
    <row r="1495" spans="1:13">
      <c r="A1495" s="1">
        <f>HYPERLINK("http://www.twitter.com/NathanBLawrence/status/992863750549012481", "992863750549012481")</f>
        <v/>
      </c>
      <c r="B1495" s="2" t="n">
        <v>43225.85346064815</v>
      </c>
      <c r="C1495" t="n">
        <v>0</v>
      </c>
      <c r="D1495" t="n">
        <v>1</v>
      </c>
      <c r="E1495" t="s">
        <v>1491</v>
      </c>
      <c r="F1495" t="s"/>
      <c r="G1495" t="s"/>
      <c r="H1495" t="s"/>
      <c r="I1495" t="s"/>
      <c r="J1495" t="n">
        <v>0.3612</v>
      </c>
      <c r="K1495" t="n">
        <v>0</v>
      </c>
      <c r="L1495" t="n">
        <v>0.902</v>
      </c>
      <c r="M1495" t="n">
        <v>0.098</v>
      </c>
    </row>
    <row r="1496" spans="1:13">
      <c r="A1496" s="1">
        <f>HYPERLINK("http://www.twitter.com/NathanBLawrence/status/992863320272142336", "992863320272142336")</f>
        <v/>
      </c>
      <c r="B1496" s="2" t="n">
        <v>43225.85226851852</v>
      </c>
      <c r="C1496" t="n">
        <v>0</v>
      </c>
      <c r="D1496" t="n">
        <v>2</v>
      </c>
      <c r="E1496" t="s">
        <v>1492</v>
      </c>
      <c r="F1496" t="s"/>
      <c r="G1496" t="s"/>
      <c r="H1496" t="s"/>
      <c r="I1496" t="s"/>
      <c r="J1496" t="n">
        <v>-0.5983000000000001</v>
      </c>
      <c r="K1496" t="n">
        <v>0.145</v>
      </c>
      <c r="L1496" t="n">
        <v>0.855</v>
      </c>
      <c r="M1496" t="n">
        <v>0</v>
      </c>
    </row>
    <row r="1497" spans="1:13">
      <c r="A1497" s="1">
        <f>HYPERLINK("http://www.twitter.com/NathanBLawrence/status/992862875130777601", "992862875130777601")</f>
        <v/>
      </c>
      <c r="B1497" s="2" t="n">
        <v>43225.85104166667</v>
      </c>
      <c r="C1497" t="n">
        <v>0</v>
      </c>
      <c r="D1497" t="n">
        <v>1</v>
      </c>
      <c r="E1497" t="s">
        <v>1493</v>
      </c>
      <c r="F1497" t="s"/>
      <c r="G1497" t="s"/>
      <c r="H1497" t="s"/>
      <c r="I1497" t="s"/>
      <c r="J1497" t="n">
        <v>0.128</v>
      </c>
      <c r="K1497" t="n">
        <v>0.116</v>
      </c>
      <c r="L1497" t="n">
        <v>0.741</v>
      </c>
      <c r="M1497" t="n">
        <v>0.143</v>
      </c>
    </row>
    <row r="1498" spans="1:13">
      <c r="A1498" s="1">
        <f>HYPERLINK("http://www.twitter.com/NathanBLawrence/status/992862815735242752", "992862815735242752")</f>
        <v/>
      </c>
      <c r="B1498" s="2" t="n">
        <v>43225.85087962963</v>
      </c>
      <c r="C1498" t="n">
        <v>0</v>
      </c>
      <c r="D1498" t="n">
        <v>1</v>
      </c>
      <c r="E1498" t="s">
        <v>1494</v>
      </c>
      <c r="F1498" t="s"/>
      <c r="G1498" t="s"/>
      <c r="H1498" t="s"/>
      <c r="I1498" t="s"/>
      <c r="J1498" t="n">
        <v>0.296</v>
      </c>
      <c r="K1498" t="n">
        <v>0</v>
      </c>
      <c r="L1498" t="n">
        <v>0.82</v>
      </c>
      <c r="M1498" t="n">
        <v>0.18</v>
      </c>
    </row>
    <row r="1499" spans="1:13">
      <c r="A1499" s="1">
        <f>HYPERLINK("http://www.twitter.com/NathanBLawrence/status/992862555289931776", "992862555289931776")</f>
        <v/>
      </c>
      <c r="B1499" s="2" t="n">
        <v>43225.85016203704</v>
      </c>
      <c r="C1499" t="n">
        <v>0</v>
      </c>
      <c r="D1499" t="n">
        <v>3</v>
      </c>
      <c r="E1499" t="s">
        <v>1495</v>
      </c>
      <c r="F1499" t="s"/>
      <c r="G1499" t="s"/>
      <c r="H1499" t="s"/>
      <c r="I1499" t="s"/>
      <c r="J1499" t="n">
        <v>-0.7717000000000001</v>
      </c>
      <c r="K1499" t="n">
        <v>0.325</v>
      </c>
      <c r="L1499" t="n">
        <v>0.675</v>
      </c>
      <c r="M1499" t="n">
        <v>0</v>
      </c>
    </row>
    <row r="1500" spans="1:13">
      <c r="A1500" s="1">
        <f>HYPERLINK("http://www.twitter.com/NathanBLawrence/status/992862485240778753", "992862485240778753")</f>
        <v/>
      </c>
      <c r="B1500" s="2" t="n">
        <v>43225.84996527778</v>
      </c>
      <c r="C1500" t="n">
        <v>0</v>
      </c>
      <c r="D1500" t="n">
        <v>3</v>
      </c>
      <c r="E1500" t="s">
        <v>1496</v>
      </c>
      <c r="F1500" t="s"/>
      <c r="G1500" t="s"/>
      <c r="H1500" t="s"/>
      <c r="I1500" t="s"/>
      <c r="J1500" t="n">
        <v>0</v>
      </c>
      <c r="K1500" t="n">
        <v>0</v>
      </c>
      <c r="L1500" t="n">
        <v>1</v>
      </c>
      <c r="M1500" t="n">
        <v>0</v>
      </c>
    </row>
    <row r="1501" spans="1:13">
      <c r="A1501" s="1">
        <f>HYPERLINK("http://www.twitter.com/NathanBLawrence/status/992862327149092865", "992862327149092865")</f>
        <v/>
      </c>
      <c r="B1501" s="2" t="n">
        <v>43225.84952546296</v>
      </c>
      <c r="C1501" t="n">
        <v>0</v>
      </c>
      <c r="D1501" t="n">
        <v>19</v>
      </c>
      <c r="E1501" t="s">
        <v>1497</v>
      </c>
      <c r="F1501">
        <f>HYPERLINK("http://pbs.twimg.com/media/DccL8dvXkAAY4G0.jpg", "http://pbs.twimg.com/media/DccL8dvXkAAY4G0.jpg")</f>
        <v/>
      </c>
      <c r="G1501" t="s"/>
      <c r="H1501" t="s"/>
      <c r="I1501" t="s"/>
      <c r="J1501" t="n">
        <v>-0.3853</v>
      </c>
      <c r="K1501" t="n">
        <v>0.116</v>
      </c>
      <c r="L1501" t="n">
        <v>0.884</v>
      </c>
      <c r="M1501" t="n">
        <v>0</v>
      </c>
    </row>
    <row r="1502" spans="1:13">
      <c r="A1502" s="1">
        <f>HYPERLINK("http://www.twitter.com/NathanBLawrence/status/992861914308009985", "992861914308009985")</f>
        <v/>
      </c>
      <c r="B1502" s="2" t="n">
        <v>43225.8483912037</v>
      </c>
      <c r="C1502" t="n">
        <v>0</v>
      </c>
      <c r="D1502" t="n">
        <v>15</v>
      </c>
      <c r="E1502" t="s">
        <v>1498</v>
      </c>
      <c r="F1502">
        <f>HYPERLINK("http://pbs.twimg.com/media/Dcc5D3PVMAApE-A.jpg", "http://pbs.twimg.com/media/Dcc5D3PVMAApE-A.jpg")</f>
        <v/>
      </c>
      <c r="G1502" t="s"/>
      <c r="H1502" t="s"/>
      <c r="I1502" t="s"/>
      <c r="J1502" t="n">
        <v>0.4588</v>
      </c>
      <c r="K1502" t="n">
        <v>0.058</v>
      </c>
      <c r="L1502" t="n">
        <v>0.796</v>
      </c>
      <c r="M1502" t="n">
        <v>0.146</v>
      </c>
    </row>
    <row r="1503" spans="1:13">
      <c r="A1503" s="1">
        <f>HYPERLINK("http://www.twitter.com/NathanBLawrence/status/992841899101904900", "992841899101904900")</f>
        <v/>
      </c>
      <c r="B1503" s="2" t="n">
        <v>43225.79315972222</v>
      </c>
      <c r="C1503" t="n">
        <v>0</v>
      </c>
      <c r="D1503" t="n">
        <v>1</v>
      </c>
      <c r="E1503" t="s">
        <v>1499</v>
      </c>
      <c r="F1503">
        <f>HYPERLINK("http://pbs.twimg.com/media/Dcc2M16XUAA8O6D.jpg", "http://pbs.twimg.com/media/Dcc2M16XUAA8O6D.jpg")</f>
        <v/>
      </c>
      <c r="G1503" t="s"/>
      <c r="H1503" t="s"/>
      <c r="I1503" t="s"/>
      <c r="J1503" t="n">
        <v>0</v>
      </c>
      <c r="K1503" t="n">
        <v>0</v>
      </c>
      <c r="L1503" t="n">
        <v>1</v>
      </c>
      <c r="M1503" t="n">
        <v>0</v>
      </c>
    </row>
    <row r="1504" spans="1:13">
      <c r="A1504" s="1">
        <f>HYPERLINK("http://www.twitter.com/NathanBLawrence/status/992841862166835200", "992841862166835200")</f>
        <v/>
      </c>
      <c r="B1504" s="2" t="n">
        <v>43225.79305555556</v>
      </c>
      <c r="C1504" t="n">
        <v>0</v>
      </c>
      <c r="D1504" t="n">
        <v>1</v>
      </c>
      <c r="E1504" t="s">
        <v>1500</v>
      </c>
      <c r="F1504" t="s"/>
      <c r="G1504" t="s"/>
      <c r="H1504" t="s"/>
      <c r="I1504" t="s"/>
      <c r="J1504" t="n">
        <v>0</v>
      </c>
      <c r="K1504" t="n">
        <v>0</v>
      </c>
      <c r="L1504" t="n">
        <v>1</v>
      </c>
      <c r="M1504" t="n">
        <v>0</v>
      </c>
    </row>
    <row r="1505" spans="1:13">
      <c r="A1505" s="1">
        <f>HYPERLINK("http://www.twitter.com/NathanBLawrence/status/992841849235820544", "992841849235820544")</f>
        <v/>
      </c>
      <c r="B1505" s="2" t="n">
        <v>43225.79302083333</v>
      </c>
      <c r="C1505" t="n">
        <v>0</v>
      </c>
      <c r="D1505" t="n">
        <v>1</v>
      </c>
      <c r="E1505" t="s">
        <v>1501</v>
      </c>
      <c r="F1505" t="s"/>
      <c r="G1505" t="s"/>
      <c r="H1505" t="s"/>
      <c r="I1505" t="s"/>
      <c r="J1505" t="n">
        <v>-0.1179</v>
      </c>
      <c r="K1505" t="n">
        <v>0.138</v>
      </c>
      <c r="L1505" t="n">
        <v>0.744</v>
      </c>
      <c r="M1505" t="n">
        <v>0.118</v>
      </c>
    </row>
    <row r="1506" spans="1:13">
      <c r="A1506" s="1">
        <f>HYPERLINK("http://www.twitter.com/NathanBLawrence/status/992821846826504197", "992821846826504197")</f>
        <v/>
      </c>
      <c r="B1506" s="2" t="n">
        <v>43225.73782407407</v>
      </c>
      <c r="C1506" t="n">
        <v>2</v>
      </c>
      <c r="D1506" t="n">
        <v>1</v>
      </c>
      <c r="E1506" t="s">
        <v>1502</v>
      </c>
      <c r="F1506">
        <f>HYPERLINK("http://pbs.twimg.com/media/Dcc2M16XUAA8O6D.jpg", "http://pbs.twimg.com/media/Dcc2M16XUAA8O6D.jpg")</f>
        <v/>
      </c>
      <c r="G1506" t="s"/>
      <c r="H1506" t="s"/>
      <c r="I1506" t="s"/>
      <c r="J1506" t="n">
        <v>0</v>
      </c>
      <c r="K1506" t="n">
        <v>0</v>
      </c>
      <c r="L1506" t="n">
        <v>1</v>
      </c>
      <c r="M1506" t="n">
        <v>0</v>
      </c>
    </row>
    <row r="1507" spans="1:13">
      <c r="A1507" s="1">
        <f>HYPERLINK("http://www.twitter.com/NathanBLawrence/status/992821502671294464", "992821502671294464")</f>
        <v/>
      </c>
      <c r="B1507" s="2" t="n">
        <v>43225.736875</v>
      </c>
      <c r="C1507" t="n">
        <v>2</v>
      </c>
      <c r="D1507" t="n">
        <v>1</v>
      </c>
      <c r="E1507" t="s">
        <v>1503</v>
      </c>
      <c r="F1507" t="s"/>
      <c r="G1507" t="s"/>
      <c r="H1507" t="s"/>
      <c r="I1507" t="s"/>
      <c r="J1507" t="n">
        <v>0</v>
      </c>
      <c r="K1507" t="n">
        <v>0</v>
      </c>
      <c r="L1507" t="n">
        <v>1</v>
      </c>
      <c r="M1507" t="n">
        <v>0</v>
      </c>
    </row>
    <row r="1508" spans="1:13">
      <c r="A1508" s="1">
        <f>HYPERLINK("http://www.twitter.com/NathanBLawrence/status/992821167579910144", "992821167579910144")</f>
        <v/>
      </c>
      <c r="B1508" s="2" t="n">
        <v>43225.73594907407</v>
      </c>
      <c r="C1508" t="n">
        <v>2</v>
      </c>
      <c r="D1508" t="n">
        <v>1</v>
      </c>
      <c r="E1508" t="s">
        <v>1504</v>
      </c>
      <c r="F1508" t="s"/>
      <c r="G1508" t="s"/>
      <c r="H1508" t="s"/>
      <c r="I1508" t="s"/>
      <c r="J1508" t="n">
        <v>-0.1179</v>
      </c>
      <c r="K1508" t="n">
        <v>0.122</v>
      </c>
      <c r="L1508" t="n">
        <v>0.773</v>
      </c>
      <c r="M1508" t="n">
        <v>0.104</v>
      </c>
    </row>
    <row r="1509" spans="1:13">
      <c r="A1509" s="1">
        <f>HYPERLINK("http://www.twitter.com/NathanBLawrence/status/992791167044653056", "992791167044653056")</f>
        <v/>
      </c>
      <c r="B1509" s="2" t="n">
        <v>43225.6531712963</v>
      </c>
      <c r="C1509" t="n">
        <v>1</v>
      </c>
      <c r="D1509" t="n">
        <v>0</v>
      </c>
      <c r="E1509" t="s">
        <v>1505</v>
      </c>
      <c r="F1509" t="s"/>
      <c r="G1509" t="s"/>
      <c r="H1509" t="s"/>
      <c r="I1509" t="s"/>
      <c r="J1509" t="n">
        <v>0</v>
      </c>
      <c r="K1509" t="n">
        <v>0</v>
      </c>
      <c r="L1509" t="n">
        <v>1</v>
      </c>
      <c r="M1509" t="n">
        <v>0</v>
      </c>
    </row>
    <row r="1510" spans="1:13">
      <c r="A1510" s="1">
        <f>HYPERLINK("http://www.twitter.com/NathanBLawrence/status/992791164024651776", "992791164024651776")</f>
        <v/>
      </c>
      <c r="B1510" s="2" t="n">
        <v>43225.65315972222</v>
      </c>
      <c r="C1510" t="n">
        <v>0</v>
      </c>
      <c r="D1510" t="n">
        <v>0</v>
      </c>
      <c r="E1510" t="s">
        <v>1506</v>
      </c>
      <c r="F1510" t="s"/>
      <c r="G1510" t="s"/>
      <c r="H1510" t="s"/>
      <c r="I1510" t="s"/>
      <c r="J1510" t="n">
        <v>0</v>
      </c>
      <c r="K1510" t="n">
        <v>0</v>
      </c>
      <c r="L1510" t="n">
        <v>1</v>
      </c>
      <c r="M1510" t="n">
        <v>0</v>
      </c>
    </row>
    <row r="1511" spans="1:13">
      <c r="A1511" s="1">
        <f>HYPERLINK("http://www.twitter.com/NathanBLawrence/status/992769404416004096", "992769404416004096")</f>
        <v/>
      </c>
      <c r="B1511" s="2" t="n">
        <v>43225.59311342592</v>
      </c>
      <c r="C1511" t="n">
        <v>0</v>
      </c>
      <c r="D1511" t="n">
        <v>84</v>
      </c>
      <c r="E1511" t="s">
        <v>1507</v>
      </c>
      <c r="F1511">
        <f>HYPERLINK("http://pbs.twimg.com/media/DcZjUELV4AAZPKz.jpg", "http://pbs.twimg.com/media/DcZjUELV4AAZPKz.jpg")</f>
        <v/>
      </c>
      <c r="G1511" t="s"/>
      <c r="H1511" t="s"/>
      <c r="I1511" t="s"/>
      <c r="J1511" t="n">
        <v>0.128</v>
      </c>
      <c r="K1511" t="n">
        <v>0</v>
      </c>
      <c r="L1511" t="n">
        <v>0.9409999999999999</v>
      </c>
      <c r="M1511" t="n">
        <v>0.059</v>
      </c>
    </row>
    <row r="1512" spans="1:13">
      <c r="A1512" s="1">
        <f>HYPERLINK("http://www.twitter.com/NathanBLawrence/status/992765713554268162", "992765713554268162")</f>
        <v/>
      </c>
      <c r="B1512" s="2" t="n">
        <v>43225.58292824074</v>
      </c>
      <c r="C1512" t="n">
        <v>0</v>
      </c>
      <c r="D1512" t="n">
        <v>1</v>
      </c>
      <c r="E1512" t="s">
        <v>1508</v>
      </c>
      <c r="F1512" t="s"/>
      <c r="G1512" t="s"/>
      <c r="H1512" t="s"/>
      <c r="I1512" t="s"/>
      <c r="J1512" t="n">
        <v>-0.1513</v>
      </c>
      <c r="K1512" t="n">
        <v>0.105</v>
      </c>
      <c r="L1512" t="n">
        <v>0.8159999999999999</v>
      </c>
      <c r="M1512" t="n">
        <v>0.079</v>
      </c>
    </row>
    <row r="1513" spans="1:13">
      <c r="A1513" s="1">
        <f>HYPERLINK("http://www.twitter.com/NathanBLawrence/status/992765656079757312", "992765656079757312")</f>
        <v/>
      </c>
      <c r="B1513" s="2" t="n">
        <v>43225.5827662037</v>
      </c>
      <c r="C1513" t="n">
        <v>0</v>
      </c>
      <c r="D1513" t="n">
        <v>4</v>
      </c>
      <c r="E1513" t="s">
        <v>1509</v>
      </c>
      <c r="F1513" t="s"/>
      <c r="G1513" t="s"/>
      <c r="H1513" t="s"/>
      <c r="I1513" t="s"/>
      <c r="J1513" t="n">
        <v>-0.4389</v>
      </c>
      <c r="K1513" t="n">
        <v>0.224</v>
      </c>
      <c r="L1513" t="n">
        <v>0.776</v>
      </c>
      <c r="M1513" t="n">
        <v>0</v>
      </c>
    </row>
    <row r="1514" spans="1:13">
      <c r="A1514" s="1">
        <f>HYPERLINK("http://www.twitter.com/NathanBLawrence/status/992765316311797760", "992765316311797760")</f>
        <v/>
      </c>
      <c r="B1514" s="2" t="n">
        <v>43225.5818287037</v>
      </c>
      <c r="C1514" t="n">
        <v>0</v>
      </c>
      <c r="D1514" t="n">
        <v>1</v>
      </c>
      <c r="E1514" t="s">
        <v>1510</v>
      </c>
      <c r="F1514" t="s"/>
      <c r="G1514" t="s"/>
      <c r="H1514" t="s"/>
      <c r="I1514" t="s"/>
      <c r="J1514" t="n">
        <v>0</v>
      </c>
      <c r="K1514" t="n">
        <v>0</v>
      </c>
      <c r="L1514" t="n">
        <v>1</v>
      </c>
      <c r="M1514" t="n">
        <v>0</v>
      </c>
    </row>
    <row r="1515" spans="1:13">
      <c r="A1515" s="1">
        <f>HYPERLINK("http://www.twitter.com/NathanBLawrence/status/992765281318723584", "992765281318723584")</f>
        <v/>
      </c>
      <c r="B1515" s="2" t="n">
        <v>43225.58173611111</v>
      </c>
      <c r="C1515" t="n">
        <v>0</v>
      </c>
      <c r="D1515" t="n">
        <v>4</v>
      </c>
      <c r="E1515" t="s">
        <v>1511</v>
      </c>
      <c r="F1515">
        <f>HYPERLINK("https://video.twimg.com/ext_tw_video/992636655591936001/pu/vid/320x180/EsGsAPq7sJ4dd-lu.mp4?tag=3", "https://video.twimg.com/ext_tw_video/992636655591936001/pu/vid/320x180/EsGsAPq7sJ4dd-lu.mp4?tag=3")</f>
        <v/>
      </c>
      <c r="G1515" t="s"/>
      <c r="H1515" t="s"/>
      <c r="I1515" t="s"/>
      <c r="J1515" t="n">
        <v>0</v>
      </c>
      <c r="K1515" t="n">
        <v>0</v>
      </c>
      <c r="L1515" t="n">
        <v>1</v>
      </c>
      <c r="M1515" t="n">
        <v>0</v>
      </c>
    </row>
    <row r="1516" spans="1:13">
      <c r="A1516" s="1">
        <f>HYPERLINK("http://www.twitter.com/NathanBLawrence/status/992765194815393793", "992765194815393793")</f>
        <v/>
      </c>
      <c r="B1516" s="2" t="n">
        <v>43225.58149305556</v>
      </c>
      <c r="C1516" t="n">
        <v>0</v>
      </c>
      <c r="D1516" t="n">
        <v>5</v>
      </c>
      <c r="E1516" t="s">
        <v>1512</v>
      </c>
      <c r="F1516">
        <f>HYPERLINK("https://video.twimg.com/ext_tw_video/992636064094441472/pu/vid/320x180/UykvA1IUqICNTnc8.mp4?tag=3", "https://video.twimg.com/ext_tw_video/992636064094441472/pu/vid/320x180/UykvA1IUqICNTnc8.mp4?tag=3")</f>
        <v/>
      </c>
      <c r="G1516" t="s"/>
      <c r="H1516" t="s"/>
      <c r="I1516" t="s"/>
      <c r="J1516" t="n">
        <v>0</v>
      </c>
      <c r="K1516" t="n">
        <v>0</v>
      </c>
      <c r="L1516" t="n">
        <v>1</v>
      </c>
      <c r="M1516" t="n">
        <v>0</v>
      </c>
    </row>
    <row r="1517" spans="1:13">
      <c r="A1517" s="1">
        <f>HYPERLINK("http://www.twitter.com/NathanBLawrence/status/992764991278407681", "992764991278407681")</f>
        <v/>
      </c>
      <c r="B1517" s="2" t="n">
        <v>43225.5809375</v>
      </c>
      <c r="C1517" t="n">
        <v>0</v>
      </c>
      <c r="D1517" t="n">
        <v>14</v>
      </c>
      <c r="E1517" t="s">
        <v>1513</v>
      </c>
      <c r="F1517">
        <f>HYPERLINK("https://video.twimg.com/ext_tw_video/992633729486016514/pu/vid/320x180/qygvyzKzs6dcXsVA.mp4?tag=3", "https://video.twimg.com/ext_tw_video/992633729486016514/pu/vid/320x180/qygvyzKzs6dcXsVA.mp4?tag=3")</f>
        <v/>
      </c>
      <c r="G1517" t="s"/>
      <c r="H1517" t="s"/>
      <c r="I1517" t="s"/>
      <c r="J1517" t="n">
        <v>-0.3612</v>
      </c>
      <c r="K1517" t="n">
        <v>0.102</v>
      </c>
      <c r="L1517" t="n">
        <v>0.898</v>
      </c>
      <c r="M1517" t="n">
        <v>0</v>
      </c>
    </row>
    <row r="1518" spans="1:13">
      <c r="A1518" s="1">
        <f>HYPERLINK("http://www.twitter.com/NathanBLawrence/status/992761519573274624", "992761519573274624")</f>
        <v/>
      </c>
      <c r="B1518" s="2" t="n">
        <v>43225.57135416667</v>
      </c>
      <c r="C1518" t="n">
        <v>0</v>
      </c>
      <c r="D1518" t="n">
        <v>1</v>
      </c>
      <c r="E1518" t="s">
        <v>1514</v>
      </c>
      <c r="F1518" t="s"/>
      <c r="G1518" t="s"/>
      <c r="H1518" t="s"/>
      <c r="I1518" t="s"/>
      <c r="J1518" t="n">
        <v>-0.2263</v>
      </c>
      <c r="K1518" t="n">
        <v>0.112</v>
      </c>
      <c r="L1518" t="n">
        <v>0.888</v>
      </c>
      <c r="M1518" t="n">
        <v>0</v>
      </c>
    </row>
    <row r="1519" spans="1:13">
      <c r="A1519" s="1">
        <f>HYPERLINK("http://www.twitter.com/NathanBLawrence/status/992761505388036096", "992761505388036096")</f>
        <v/>
      </c>
      <c r="B1519" s="2" t="n">
        <v>43225.57131944445</v>
      </c>
      <c r="C1519" t="n">
        <v>0</v>
      </c>
      <c r="D1519" t="n">
        <v>1</v>
      </c>
      <c r="E1519" t="s">
        <v>1515</v>
      </c>
      <c r="F1519" t="s"/>
      <c r="G1519" t="s"/>
      <c r="H1519" t="s"/>
      <c r="I1519" t="s"/>
      <c r="J1519" t="n">
        <v>-0.4404</v>
      </c>
      <c r="K1519" t="n">
        <v>0.162</v>
      </c>
      <c r="L1519" t="n">
        <v>0.838</v>
      </c>
      <c r="M1519" t="n">
        <v>0</v>
      </c>
    </row>
    <row r="1520" spans="1:13">
      <c r="A1520" s="1">
        <f>HYPERLINK("http://www.twitter.com/NathanBLawrence/status/992761214349561857", "992761214349561857")</f>
        <v/>
      </c>
      <c r="B1520" s="2" t="n">
        <v>43225.57050925926</v>
      </c>
      <c r="C1520" t="n">
        <v>0</v>
      </c>
      <c r="D1520" t="n">
        <v>0</v>
      </c>
      <c r="E1520" t="s">
        <v>1516</v>
      </c>
      <c r="F1520">
        <f>HYPERLINK("http://pbs.twimg.com/media/Dcb_D0EVwAA9JSR.jpg", "http://pbs.twimg.com/media/Dcb_D0EVwAA9JSR.jpg")</f>
        <v/>
      </c>
      <c r="G1520" t="s"/>
      <c r="H1520" t="s"/>
      <c r="I1520" t="s"/>
      <c r="J1520" t="n">
        <v>0.4877</v>
      </c>
      <c r="K1520" t="n">
        <v>0</v>
      </c>
      <c r="L1520" t="n">
        <v>0.851</v>
      </c>
      <c r="M1520" t="n">
        <v>0.149</v>
      </c>
    </row>
    <row r="1521" spans="1:13">
      <c r="A1521" s="1">
        <f>HYPERLINK("http://www.twitter.com/NathanBLawrence/status/992760147280908288", "992760147280908288")</f>
        <v/>
      </c>
      <c r="B1521" s="2" t="n">
        <v>43225.56756944444</v>
      </c>
      <c r="C1521" t="n">
        <v>0</v>
      </c>
      <c r="D1521" t="n">
        <v>0</v>
      </c>
      <c r="E1521" t="s">
        <v>1517</v>
      </c>
      <c r="F1521" t="s"/>
      <c r="G1521" t="s"/>
      <c r="H1521" t="s"/>
      <c r="I1521" t="s"/>
      <c r="J1521" t="n">
        <v>0.4019</v>
      </c>
      <c r="K1521" t="n">
        <v>0</v>
      </c>
      <c r="L1521" t="n">
        <v>0.787</v>
      </c>
      <c r="M1521" t="n">
        <v>0.213</v>
      </c>
    </row>
    <row r="1522" spans="1:13">
      <c r="A1522" s="1">
        <f>HYPERLINK("http://www.twitter.com/NathanBLawrence/status/992632828675358720", "992632828675358720")</f>
        <v/>
      </c>
      <c r="B1522" s="2" t="n">
        <v>43225.21623842593</v>
      </c>
      <c r="C1522" t="n">
        <v>0</v>
      </c>
      <c r="D1522" t="n">
        <v>0</v>
      </c>
      <c r="E1522" t="s">
        <v>1518</v>
      </c>
      <c r="F1522" t="s"/>
      <c r="G1522" t="s"/>
      <c r="H1522" t="s"/>
      <c r="I1522" t="s"/>
      <c r="J1522" t="n">
        <v>-0.4404</v>
      </c>
      <c r="K1522" t="n">
        <v>0.266</v>
      </c>
      <c r="L1522" t="n">
        <v>0.734</v>
      </c>
      <c r="M1522" t="n">
        <v>0</v>
      </c>
    </row>
    <row r="1523" spans="1:13">
      <c r="A1523" s="1">
        <f>HYPERLINK("http://www.twitter.com/NathanBLawrence/status/992622306521505792", "992622306521505792")</f>
        <v/>
      </c>
      <c r="B1523" s="2" t="n">
        <v>43225.18719907408</v>
      </c>
      <c r="C1523" t="n">
        <v>1</v>
      </c>
      <c r="D1523" t="n">
        <v>0</v>
      </c>
      <c r="E1523" t="s">
        <v>1519</v>
      </c>
      <c r="F1523" t="s"/>
      <c r="G1523" t="s"/>
      <c r="H1523" t="s"/>
      <c r="I1523" t="s"/>
      <c r="J1523" t="n">
        <v>0.5423</v>
      </c>
      <c r="K1523" t="n">
        <v>0</v>
      </c>
      <c r="L1523" t="n">
        <v>0.743</v>
      </c>
      <c r="M1523" t="n">
        <v>0.257</v>
      </c>
    </row>
    <row r="1524" spans="1:13">
      <c r="A1524" s="1">
        <f>HYPERLINK("http://www.twitter.com/NathanBLawrence/status/992622046592032768", "992622046592032768")</f>
        <v/>
      </c>
      <c r="B1524" s="2" t="n">
        <v>43225.18648148148</v>
      </c>
      <c r="C1524" t="n">
        <v>0</v>
      </c>
      <c r="D1524" t="n">
        <v>14</v>
      </c>
      <c r="E1524" t="s">
        <v>1520</v>
      </c>
      <c r="F1524">
        <f>HYPERLINK("http://pbs.twimg.com/media/DcZ_pJzWkAAwxe9.jpg", "http://pbs.twimg.com/media/DcZ_pJzWkAAwxe9.jpg")</f>
        <v/>
      </c>
      <c r="G1524" t="s"/>
      <c r="H1524" t="s"/>
      <c r="I1524" t="s"/>
      <c r="J1524" t="n">
        <v>0.5766</v>
      </c>
      <c r="K1524" t="n">
        <v>0.061</v>
      </c>
      <c r="L1524" t="n">
        <v>0.719</v>
      </c>
      <c r="M1524" t="n">
        <v>0.219</v>
      </c>
    </row>
    <row r="1525" spans="1:13">
      <c r="A1525" s="1">
        <f>HYPERLINK("http://www.twitter.com/NathanBLawrence/status/992621614499090432", "992621614499090432")</f>
        <v/>
      </c>
      <c r="B1525" s="2" t="n">
        <v>43225.18528935185</v>
      </c>
      <c r="C1525" t="n">
        <v>0</v>
      </c>
      <c r="D1525" t="n">
        <v>0</v>
      </c>
      <c r="E1525" t="s">
        <v>1521</v>
      </c>
      <c r="F1525" t="s"/>
      <c r="G1525" t="s"/>
      <c r="H1525" t="s"/>
      <c r="I1525" t="s"/>
      <c r="J1525" t="n">
        <v>-0.4767</v>
      </c>
      <c r="K1525" t="n">
        <v>0.151</v>
      </c>
      <c r="L1525" t="n">
        <v>0.782</v>
      </c>
      <c r="M1525" t="n">
        <v>0.067</v>
      </c>
    </row>
    <row r="1526" spans="1:13">
      <c r="A1526" s="1">
        <f>HYPERLINK("http://www.twitter.com/NathanBLawrence/status/992620824329846784", "992620824329846784")</f>
        <v/>
      </c>
      <c r="B1526" s="2" t="n">
        <v>43225.18311342593</v>
      </c>
      <c r="C1526" t="n">
        <v>0</v>
      </c>
      <c r="D1526" t="n">
        <v>5</v>
      </c>
      <c r="E1526" t="s">
        <v>1522</v>
      </c>
      <c r="F1526" t="s"/>
      <c r="G1526" t="s"/>
      <c r="H1526" t="s"/>
      <c r="I1526" t="s"/>
      <c r="J1526" t="n">
        <v>0.0772</v>
      </c>
      <c r="K1526" t="n">
        <v>0.08599999999999999</v>
      </c>
      <c r="L1526" t="n">
        <v>0.8159999999999999</v>
      </c>
      <c r="M1526" t="n">
        <v>0.098</v>
      </c>
    </row>
    <row r="1527" spans="1:13">
      <c r="A1527" s="1">
        <f>HYPERLINK("http://www.twitter.com/NathanBLawrence/status/992619717897736194", "992619717897736194")</f>
        <v/>
      </c>
      <c r="B1527" s="2" t="n">
        <v>43225.18005787037</v>
      </c>
      <c r="C1527" t="n">
        <v>0</v>
      </c>
      <c r="D1527" t="n">
        <v>0</v>
      </c>
      <c r="E1527" t="s">
        <v>1523</v>
      </c>
      <c r="F1527" t="s"/>
      <c r="G1527" t="s"/>
      <c r="H1527" t="s"/>
      <c r="I1527" t="s"/>
      <c r="J1527" t="n">
        <v>0</v>
      </c>
      <c r="K1527" t="n">
        <v>0</v>
      </c>
      <c r="L1527" t="n">
        <v>1</v>
      </c>
      <c r="M1527" t="n">
        <v>0</v>
      </c>
    </row>
    <row r="1528" spans="1:13">
      <c r="A1528" s="1">
        <f>HYPERLINK("http://www.twitter.com/NathanBLawrence/status/992619399596175360", "992619399596175360")</f>
        <v/>
      </c>
      <c r="B1528" s="2" t="n">
        <v>43225.17917824074</v>
      </c>
      <c r="C1528" t="n">
        <v>0</v>
      </c>
      <c r="D1528" t="n">
        <v>0</v>
      </c>
      <c r="E1528" t="s">
        <v>1524</v>
      </c>
      <c r="F1528" t="s"/>
      <c r="G1528" t="s"/>
      <c r="H1528" t="s"/>
      <c r="I1528" t="s"/>
      <c r="J1528" t="n">
        <v>-0.0772</v>
      </c>
      <c r="K1528" t="n">
        <v>0.206</v>
      </c>
      <c r="L1528" t="n">
        <v>0.794</v>
      </c>
      <c r="M1528" t="n">
        <v>0</v>
      </c>
    </row>
    <row r="1529" spans="1:13">
      <c r="A1529" s="1">
        <f>HYPERLINK("http://www.twitter.com/NathanBLawrence/status/992618894736216069", "992618894736216069")</f>
        <v/>
      </c>
      <c r="B1529" s="2" t="n">
        <v>43225.17778935185</v>
      </c>
      <c r="C1529" t="n">
        <v>0</v>
      </c>
      <c r="D1529" t="n">
        <v>0</v>
      </c>
      <c r="E1529" t="s">
        <v>1525</v>
      </c>
      <c r="F1529">
        <f>HYPERLINK("http://pbs.twimg.com/media/DcZ9ntjVMAASu4A.jpg", "http://pbs.twimg.com/media/DcZ9ntjVMAASu4A.jpg")</f>
        <v/>
      </c>
      <c r="G1529" t="s"/>
      <c r="H1529" t="s"/>
      <c r="I1529" t="s"/>
      <c r="J1529" t="n">
        <v>0.34</v>
      </c>
      <c r="K1529" t="n">
        <v>0</v>
      </c>
      <c r="L1529" t="n">
        <v>0.87</v>
      </c>
      <c r="M1529" t="n">
        <v>0.13</v>
      </c>
    </row>
    <row r="1530" spans="1:13">
      <c r="A1530" s="1">
        <f>HYPERLINK("http://www.twitter.com/NathanBLawrence/status/992617754120335363", "992617754120335363")</f>
        <v/>
      </c>
      <c r="B1530" s="2" t="n">
        <v>43225.1746412037</v>
      </c>
      <c r="C1530" t="n">
        <v>0</v>
      </c>
      <c r="D1530" t="n">
        <v>0</v>
      </c>
      <c r="E1530" t="s">
        <v>1526</v>
      </c>
      <c r="F1530" t="s"/>
      <c r="G1530" t="s"/>
      <c r="H1530" t="s"/>
      <c r="I1530" t="s"/>
      <c r="J1530" t="n">
        <v>-0.7321</v>
      </c>
      <c r="K1530" t="n">
        <v>0.192</v>
      </c>
      <c r="L1530" t="n">
        <v>0.736</v>
      </c>
      <c r="M1530" t="n">
        <v>0.07199999999999999</v>
      </c>
    </row>
    <row r="1531" spans="1:13">
      <c r="A1531" s="1">
        <f>HYPERLINK("http://www.twitter.com/NathanBLawrence/status/992617511228231680", "992617511228231680")</f>
        <v/>
      </c>
      <c r="B1531" s="2" t="n">
        <v>43225.17396990741</v>
      </c>
      <c r="C1531" t="n">
        <v>0</v>
      </c>
      <c r="D1531" t="n">
        <v>0</v>
      </c>
      <c r="E1531" t="s">
        <v>1527</v>
      </c>
      <c r="F1531" t="s"/>
      <c r="G1531" t="s"/>
      <c r="H1531" t="s"/>
      <c r="I1531" t="s"/>
      <c r="J1531" t="n">
        <v>0</v>
      </c>
      <c r="K1531" t="n">
        <v>0</v>
      </c>
      <c r="L1531" t="n">
        <v>1</v>
      </c>
      <c r="M1531" t="n">
        <v>0</v>
      </c>
    </row>
    <row r="1532" spans="1:13">
      <c r="A1532" s="1">
        <f>HYPERLINK("http://www.twitter.com/NathanBLawrence/status/992615246727704576", "992615246727704576")</f>
        <v/>
      </c>
      <c r="B1532" s="2" t="n">
        <v>43225.1677199074</v>
      </c>
      <c r="C1532" t="n">
        <v>0</v>
      </c>
      <c r="D1532" t="n">
        <v>0</v>
      </c>
      <c r="E1532" t="s">
        <v>1528</v>
      </c>
      <c r="F1532" t="s"/>
      <c r="G1532" t="s"/>
      <c r="H1532" t="s"/>
      <c r="I1532" t="s"/>
      <c r="J1532" t="n">
        <v>-0.7783</v>
      </c>
      <c r="K1532" t="n">
        <v>0.327</v>
      </c>
      <c r="L1532" t="n">
        <v>0.673</v>
      </c>
      <c r="M1532" t="n">
        <v>0</v>
      </c>
    </row>
    <row r="1533" spans="1:13">
      <c r="A1533" s="1">
        <f>HYPERLINK("http://www.twitter.com/NathanBLawrence/status/992615001583247360", "992615001583247360")</f>
        <v/>
      </c>
      <c r="B1533" s="2" t="n">
        <v>43225.16703703703</v>
      </c>
      <c r="C1533" t="n">
        <v>0</v>
      </c>
      <c r="D1533" t="n">
        <v>9</v>
      </c>
      <c r="E1533" t="s">
        <v>1529</v>
      </c>
      <c r="F1533" t="s"/>
      <c r="G1533" t="s"/>
      <c r="H1533" t="s"/>
      <c r="I1533" t="s"/>
      <c r="J1533" t="n">
        <v>0.1027</v>
      </c>
      <c r="K1533" t="n">
        <v>0.079</v>
      </c>
      <c r="L1533" t="n">
        <v>0.828</v>
      </c>
      <c r="M1533" t="n">
        <v>0.093</v>
      </c>
    </row>
    <row r="1534" spans="1:13">
      <c r="A1534" s="1">
        <f>HYPERLINK("http://www.twitter.com/NathanBLawrence/status/992614860969136129", "992614860969136129")</f>
        <v/>
      </c>
      <c r="B1534" s="2" t="n">
        <v>43225.16665509259</v>
      </c>
      <c r="C1534" t="n">
        <v>0</v>
      </c>
      <c r="D1534" t="n">
        <v>3</v>
      </c>
      <c r="E1534" t="s">
        <v>1530</v>
      </c>
      <c r="F1534" t="s"/>
      <c r="G1534" t="s"/>
      <c r="H1534" t="s"/>
      <c r="I1534" t="s"/>
      <c r="J1534" t="n">
        <v>0.6588000000000001</v>
      </c>
      <c r="K1534" t="n">
        <v>0</v>
      </c>
      <c r="L1534" t="n">
        <v>0.785</v>
      </c>
      <c r="M1534" t="n">
        <v>0.215</v>
      </c>
    </row>
    <row r="1535" spans="1:13">
      <c r="A1535" s="1">
        <f>HYPERLINK("http://www.twitter.com/NathanBLawrence/status/992614654315761664", "992614654315761664")</f>
        <v/>
      </c>
      <c r="B1535" s="2" t="n">
        <v>43225.16608796296</v>
      </c>
      <c r="C1535" t="n">
        <v>0</v>
      </c>
      <c r="D1535" t="n">
        <v>13</v>
      </c>
      <c r="E1535" t="s">
        <v>1531</v>
      </c>
      <c r="F1535" t="s"/>
      <c r="G1535" t="s"/>
      <c r="H1535" t="s"/>
      <c r="I1535" t="s"/>
      <c r="J1535" t="n">
        <v>0</v>
      </c>
      <c r="K1535" t="n">
        <v>0</v>
      </c>
      <c r="L1535" t="n">
        <v>1</v>
      </c>
      <c r="M1535" t="n">
        <v>0</v>
      </c>
    </row>
    <row r="1536" spans="1:13">
      <c r="A1536" s="1">
        <f>HYPERLINK("http://www.twitter.com/NathanBLawrence/status/992613844420882434", "992613844420882434")</f>
        <v/>
      </c>
      <c r="B1536" s="2" t="n">
        <v>43225.16385416667</v>
      </c>
      <c r="C1536" t="n">
        <v>0</v>
      </c>
      <c r="D1536" t="n">
        <v>0</v>
      </c>
      <c r="E1536" t="s">
        <v>1532</v>
      </c>
      <c r="F1536" t="s"/>
      <c r="G1536" t="s"/>
      <c r="H1536" t="s"/>
      <c r="I1536" t="s"/>
      <c r="J1536" t="n">
        <v>-0.168</v>
      </c>
      <c r="K1536" t="n">
        <v>0.122</v>
      </c>
      <c r="L1536" t="n">
        <v>0.783</v>
      </c>
      <c r="M1536" t="n">
        <v>0.095</v>
      </c>
    </row>
    <row r="1537" spans="1:13">
      <c r="A1537" s="1">
        <f>HYPERLINK("http://www.twitter.com/NathanBLawrence/status/992613590468300800", "992613590468300800")</f>
        <v/>
      </c>
      <c r="B1537" s="2" t="n">
        <v>43225.16314814815</v>
      </c>
      <c r="C1537" t="n">
        <v>1</v>
      </c>
      <c r="D1537" t="n">
        <v>1</v>
      </c>
      <c r="E1537" t="s">
        <v>1533</v>
      </c>
      <c r="F1537" t="s"/>
      <c r="G1537" t="s"/>
      <c r="H1537" t="s"/>
      <c r="I1537" t="s"/>
      <c r="J1537" t="n">
        <v>-0.802</v>
      </c>
      <c r="K1537" t="n">
        <v>0.265</v>
      </c>
      <c r="L1537" t="n">
        <v>0.675</v>
      </c>
      <c r="M1537" t="n">
        <v>0.06</v>
      </c>
    </row>
    <row r="1538" spans="1:13">
      <c r="A1538" s="1">
        <f>HYPERLINK("http://www.twitter.com/NathanBLawrence/status/992612673513836551", "992612673513836551")</f>
        <v/>
      </c>
      <c r="B1538" s="2" t="n">
        <v>43225.16061342593</v>
      </c>
      <c r="C1538" t="n">
        <v>0</v>
      </c>
      <c r="D1538" t="n">
        <v>0</v>
      </c>
      <c r="E1538" t="s">
        <v>1534</v>
      </c>
      <c r="F1538" t="s"/>
      <c r="G1538" t="s"/>
      <c r="H1538" t="s"/>
      <c r="I1538" t="s"/>
      <c r="J1538" t="n">
        <v>-0.8176</v>
      </c>
      <c r="K1538" t="n">
        <v>0.247</v>
      </c>
      <c r="L1538" t="n">
        <v>0.753</v>
      </c>
      <c r="M1538" t="n">
        <v>0</v>
      </c>
    </row>
    <row r="1539" spans="1:13">
      <c r="A1539" s="1">
        <f>HYPERLINK("http://www.twitter.com/NathanBLawrence/status/992611766222905344", "992611766222905344")</f>
        <v/>
      </c>
      <c r="B1539" s="2" t="n">
        <v>43225.15811342592</v>
      </c>
      <c r="C1539" t="n">
        <v>2</v>
      </c>
      <c r="D1539" t="n">
        <v>0</v>
      </c>
      <c r="E1539" t="s">
        <v>1535</v>
      </c>
      <c r="F1539" t="s"/>
      <c r="G1539" t="s"/>
      <c r="H1539" t="s"/>
      <c r="I1539" t="s"/>
      <c r="J1539" t="n">
        <v>0.5266999999999999</v>
      </c>
      <c r="K1539" t="n">
        <v>0.037</v>
      </c>
      <c r="L1539" t="n">
        <v>0.864</v>
      </c>
      <c r="M1539" t="n">
        <v>0.099</v>
      </c>
    </row>
    <row r="1540" spans="1:13">
      <c r="A1540" s="1">
        <f>HYPERLINK("http://www.twitter.com/NathanBLawrence/status/992611059969257472", "992611059969257472")</f>
        <v/>
      </c>
      <c r="B1540" s="2" t="n">
        <v>43225.15616898148</v>
      </c>
      <c r="C1540" t="n">
        <v>0</v>
      </c>
      <c r="D1540" t="n">
        <v>7</v>
      </c>
      <c r="E1540" t="s">
        <v>1536</v>
      </c>
      <c r="F1540" t="s"/>
      <c r="G1540" t="s"/>
      <c r="H1540" t="s"/>
      <c r="I1540" t="s"/>
      <c r="J1540" t="n">
        <v>-0.5423</v>
      </c>
      <c r="K1540" t="n">
        <v>0.149</v>
      </c>
      <c r="L1540" t="n">
        <v>0.851</v>
      </c>
      <c r="M1540" t="n">
        <v>0</v>
      </c>
    </row>
    <row r="1541" spans="1:13">
      <c r="A1541" s="1">
        <f>HYPERLINK("http://www.twitter.com/NathanBLawrence/status/992611023524978688", "992611023524978688")</f>
        <v/>
      </c>
      <c r="B1541" s="2" t="n">
        <v>43225.15606481482</v>
      </c>
      <c r="C1541" t="n">
        <v>0</v>
      </c>
      <c r="D1541" t="n">
        <v>3</v>
      </c>
      <c r="E1541" t="s">
        <v>1537</v>
      </c>
      <c r="F1541" t="s"/>
      <c r="G1541" t="s"/>
      <c r="H1541" t="s"/>
      <c r="I1541" t="s"/>
      <c r="J1541" t="n">
        <v>-0.3612</v>
      </c>
      <c r="K1541" t="n">
        <v>0.146</v>
      </c>
      <c r="L1541" t="n">
        <v>0.773</v>
      </c>
      <c r="M1541" t="n">
        <v>0.082</v>
      </c>
    </row>
    <row r="1542" spans="1:13">
      <c r="A1542" s="1">
        <f>HYPERLINK("http://www.twitter.com/NathanBLawrence/status/992609601517387776", "992609601517387776")</f>
        <v/>
      </c>
      <c r="B1542" s="2" t="n">
        <v>43225.1521412037</v>
      </c>
      <c r="C1542" t="n">
        <v>0</v>
      </c>
      <c r="D1542" t="n">
        <v>0</v>
      </c>
      <c r="E1542" t="s">
        <v>1538</v>
      </c>
      <c r="F1542" t="s"/>
      <c r="G1542" t="s"/>
      <c r="H1542" t="s"/>
      <c r="I1542" t="s"/>
      <c r="J1542" t="n">
        <v>0</v>
      </c>
      <c r="K1542" t="n">
        <v>0</v>
      </c>
      <c r="L1542" t="n">
        <v>1</v>
      </c>
      <c r="M1542" t="n">
        <v>0</v>
      </c>
    </row>
    <row r="1543" spans="1:13">
      <c r="A1543" s="1">
        <f>HYPERLINK("http://www.twitter.com/NathanBLawrence/status/992609124646039552", "992609124646039552")</f>
        <v/>
      </c>
      <c r="B1543" s="2" t="n">
        <v>43225.15082175926</v>
      </c>
      <c r="C1543" t="n">
        <v>0</v>
      </c>
      <c r="D1543" t="n">
        <v>0</v>
      </c>
      <c r="E1543" t="s">
        <v>1539</v>
      </c>
      <c r="F1543" t="s"/>
      <c r="G1543" t="s"/>
      <c r="H1543" t="s"/>
      <c r="I1543" t="s"/>
      <c r="J1543" t="n">
        <v>0.7476</v>
      </c>
      <c r="K1543" t="n">
        <v>0.055</v>
      </c>
      <c r="L1543" t="n">
        <v>0.771</v>
      </c>
      <c r="M1543" t="n">
        <v>0.174</v>
      </c>
    </row>
    <row r="1544" spans="1:13">
      <c r="A1544" s="1">
        <f>HYPERLINK("http://www.twitter.com/NathanBLawrence/status/992607237477748736", "992607237477748736")</f>
        <v/>
      </c>
      <c r="B1544" s="2" t="n">
        <v>43225.14561342593</v>
      </c>
      <c r="C1544" t="n">
        <v>2</v>
      </c>
      <c r="D1544" t="n">
        <v>1</v>
      </c>
      <c r="E1544" t="s">
        <v>1540</v>
      </c>
      <c r="F1544" t="s"/>
      <c r="G1544" t="s"/>
      <c r="H1544" t="s"/>
      <c r="I1544" t="s"/>
      <c r="J1544" t="n">
        <v>0.6597</v>
      </c>
      <c r="K1544" t="n">
        <v>0</v>
      </c>
      <c r="L1544" t="n">
        <v>0.822</v>
      </c>
      <c r="M1544" t="n">
        <v>0.178</v>
      </c>
    </row>
    <row r="1545" spans="1:13">
      <c r="A1545" s="1">
        <f>HYPERLINK("http://www.twitter.com/NathanBLawrence/status/992601025780559872", "992601025780559872")</f>
        <v/>
      </c>
      <c r="B1545" s="2" t="n">
        <v>43225.12847222222</v>
      </c>
      <c r="C1545" t="n">
        <v>5</v>
      </c>
      <c r="D1545" t="n">
        <v>1</v>
      </c>
      <c r="E1545" t="s">
        <v>1541</v>
      </c>
      <c r="F1545" t="s"/>
      <c r="G1545" t="s"/>
      <c r="H1545" t="s"/>
      <c r="I1545" t="s"/>
      <c r="J1545" t="n">
        <v>-0.85</v>
      </c>
      <c r="K1545" t="n">
        <v>0.184</v>
      </c>
      <c r="L1545" t="n">
        <v>0.8159999999999999</v>
      </c>
      <c r="M1545" t="n">
        <v>0</v>
      </c>
    </row>
    <row r="1546" spans="1:13">
      <c r="A1546" s="1">
        <f>HYPERLINK("http://www.twitter.com/NathanBLawrence/status/992599924104626176", "992599924104626176")</f>
        <v/>
      </c>
      <c r="B1546" s="2" t="n">
        <v>43225.12543981482</v>
      </c>
      <c r="C1546" t="n">
        <v>2</v>
      </c>
      <c r="D1546" t="n">
        <v>1</v>
      </c>
      <c r="E1546" t="s">
        <v>1542</v>
      </c>
      <c r="F1546" t="s"/>
      <c r="G1546" t="s"/>
      <c r="H1546" t="s"/>
      <c r="I1546" t="s"/>
      <c r="J1546" t="n">
        <v>-0.8006</v>
      </c>
      <c r="K1546" t="n">
        <v>0.173</v>
      </c>
      <c r="L1546" t="n">
        <v>0.827</v>
      </c>
      <c r="M1546" t="n">
        <v>0</v>
      </c>
    </row>
    <row r="1547" spans="1:13">
      <c r="A1547" s="1">
        <f>HYPERLINK("http://www.twitter.com/NathanBLawrence/status/992596077995003904", "992596077995003904")</f>
        <v/>
      </c>
      <c r="B1547" s="2" t="n">
        <v>43225.11482638889</v>
      </c>
      <c r="C1547" t="n">
        <v>0</v>
      </c>
      <c r="D1547" t="n">
        <v>2</v>
      </c>
      <c r="E1547" t="s">
        <v>1543</v>
      </c>
      <c r="F1547" t="s"/>
      <c r="G1547" t="s"/>
      <c r="H1547" t="s"/>
      <c r="I1547" t="s"/>
      <c r="J1547" t="n">
        <v>0</v>
      </c>
      <c r="K1547" t="n">
        <v>0</v>
      </c>
      <c r="L1547" t="n">
        <v>1</v>
      </c>
      <c r="M1547" t="n">
        <v>0</v>
      </c>
    </row>
    <row r="1548" spans="1:13">
      <c r="A1548" s="1">
        <f>HYPERLINK("http://www.twitter.com/NathanBLawrence/status/992579007790112768", "992579007790112768")</f>
        <v/>
      </c>
      <c r="B1548" s="2" t="n">
        <v>43225.06771990741</v>
      </c>
      <c r="C1548" t="n">
        <v>0</v>
      </c>
      <c r="D1548" t="n">
        <v>0</v>
      </c>
      <c r="E1548" t="s">
        <v>1544</v>
      </c>
      <c r="F1548" t="s"/>
      <c r="G1548" t="s"/>
      <c r="H1548" t="s"/>
      <c r="I1548" t="s"/>
      <c r="J1548" t="n">
        <v>-0.4767</v>
      </c>
      <c r="K1548" t="n">
        <v>0.4</v>
      </c>
      <c r="L1548" t="n">
        <v>0.414</v>
      </c>
      <c r="M1548" t="n">
        <v>0.186</v>
      </c>
    </row>
    <row r="1549" spans="1:13">
      <c r="A1549" s="1">
        <f>HYPERLINK("http://www.twitter.com/NathanBLawrence/status/992578546563461121", "992578546563461121")</f>
        <v/>
      </c>
      <c r="B1549" s="2" t="n">
        <v>43225.06644675926</v>
      </c>
      <c r="C1549" t="n">
        <v>0</v>
      </c>
      <c r="D1549" t="n">
        <v>0</v>
      </c>
      <c r="E1549" t="s">
        <v>1545</v>
      </c>
      <c r="F1549" t="s"/>
      <c r="G1549" t="s"/>
      <c r="H1549" t="s"/>
      <c r="I1549" t="s"/>
      <c r="J1549" t="n">
        <v>0.163</v>
      </c>
      <c r="K1549" t="n">
        <v>0.117</v>
      </c>
      <c r="L1549" t="n">
        <v>0.735</v>
      </c>
      <c r="M1549" t="n">
        <v>0.148</v>
      </c>
    </row>
    <row r="1550" spans="1:13">
      <c r="A1550" s="1">
        <f>HYPERLINK("http://www.twitter.com/NathanBLawrence/status/992567559798050816", "992567559798050816")</f>
        <v/>
      </c>
      <c r="B1550" s="2" t="n">
        <v>43225.03612268518</v>
      </c>
      <c r="C1550" t="n">
        <v>0</v>
      </c>
      <c r="D1550" t="n">
        <v>1</v>
      </c>
      <c r="E1550" t="s">
        <v>1546</v>
      </c>
      <c r="F1550" t="s"/>
      <c r="G1550" t="s"/>
      <c r="H1550" t="s"/>
      <c r="I1550" t="s"/>
      <c r="J1550" t="n">
        <v>0.4404</v>
      </c>
      <c r="K1550" t="n">
        <v>0</v>
      </c>
      <c r="L1550" t="n">
        <v>0.861</v>
      </c>
      <c r="M1550" t="n">
        <v>0.139</v>
      </c>
    </row>
    <row r="1551" spans="1:13">
      <c r="A1551" s="1">
        <f>HYPERLINK("http://www.twitter.com/NathanBLawrence/status/992567519012708354", "992567519012708354")</f>
        <v/>
      </c>
      <c r="B1551" s="2" t="n">
        <v>43225.03601851852</v>
      </c>
      <c r="C1551" t="n">
        <v>1</v>
      </c>
      <c r="D1551" t="n">
        <v>0</v>
      </c>
      <c r="E1551" t="s">
        <v>1547</v>
      </c>
      <c r="F1551" t="s"/>
      <c r="G1551" t="s"/>
      <c r="H1551" t="s"/>
      <c r="I1551" t="s"/>
      <c r="J1551" t="n">
        <v>0.2023</v>
      </c>
      <c r="K1551" t="n">
        <v>0.073</v>
      </c>
      <c r="L1551" t="n">
        <v>0.804</v>
      </c>
      <c r="M1551" t="n">
        <v>0.122</v>
      </c>
    </row>
    <row r="1552" spans="1:13">
      <c r="A1552" s="1">
        <f>HYPERLINK("http://www.twitter.com/NathanBLawrence/status/992566235668926469", "992566235668926469")</f>
        <v/>
      </c>
      <c r="B1552" s="2" t="n">
        <v>43225.03247685185</v>
      </c>
      <c r="C1552" t="n">
        <v>0</v>
      </c>
      <c r="D1552" t="n">
        <v>2</v>
      </c>
      <c r="E1552" t="s">
        <v>1548</v>
      </c>
      <c r="F1552" t="s"/>
      <c r="G1552" t="s"/>
      <c r="H1552" t="s"/>
      <c r="I1552" t="s"/>
      <c r="J1552" t="n">
        <v>-0.7405</v>
      </c>
      <c r="K1552" t="n">
        <v>0.299</v>
      </c>
      <c r="L1552" t="n">
        <v>0.5679999999999999</v>
      </c>
      <c r="M1552" t="n">
        <v>0.133</v>
      </c>
    </row>
    <row r="1553" spans="1:13">
      <c r="A1553" s="1">
        <f>HYPERLINK("http://www.twitter.com/NathanBLawrence/status/992566197538484224", "992566197538484224")</f>
        <v/>
      </c>
      <c r="B1553" s="2" t="n">
        <v>43225.03237268519</v>
      </c>
      <c r="C1553" t="n">
        <v>0</v>
      </c>
      <c r="D1553" t="n">
        <v>20</v>
      </c>
      <c r="E1553" t="s">
        <v>1549</v>
      </c>
      <c r="F1553" t="s"/>
      <c r="G1553" t="s"/>
      <c r="H1553" t="s"/>
      <c r="I1553" t="s"/>
      <c r="J1553" t="n">
        <v>-0.4215</v>
      </c>
      <c r="K1553" t="n">
        <v>0.203</v>
      </c>
      <c r="L1553" t="n">
        <v>0.797</v>
      </c>
      <c r="M1553" t="n">
        <v>0</v>
      </c>
    </row>
    <row r="1554" spans="1:13">
      <c r="A1554" s="1">
        <f>HYPERLINK("http://www.twitter.com/NathanBLawrence/status/992566140990828545", "992566140990828545")</f>
        <v/>
      </c>
      <c r="B1554" s="2" t="n">
        <v>43225.03221064815</v>
      </c>
      <c r="C1554" t="n">
        <v>0</v>
      </c>
      <c r="D1554" t="n">
        <v>1</v>
      </c>
      <c r="E1554" t="s">
        <v>1550</v>
      </c>
      <c r="F1554" t="s"/>
      <c r="G1554" t="s"/>
      <c r="H1554" t="s"/>
      <c r="I1554" t="s"/>
      <c r="J1554" t="n">
        <v>0</v>
      </c>
      <c r="K1554" t="n">
        <v>0</v>
      </c>
      <c r="L1554" t="n">
        <v>1</v>
      </c>
      <c r="M1554" t="n">
        <v>0</v>
      </c>
    </row>
    <row r="1555" spans="1:13">
      <c r="A1555" s="1">
        <f>HYPERLINK("http://www.twitter.com/NathanBLawrence/status/992566044656103424", "992566044656103424")</f>
        <v/>
      </c>
      <c r="B1555" s="2" t="n">
        <v>43225.03194444445</v>
      </c>
      <c r="C1555" t="n">
        <v>0</v>
      </c>
      <c r="D1555" t="n">
        <v>0</v>
      </c>
      <c r="E1555" t="s">
        <v>1551</v>
      </c>
      <c r="F1555" t="s"/>
      <c r="G1555" t="s"/>
      <c r="H1555" t="s"/>
      <c r="I1555" t="s"/>
      <c r="J1555" t="n">
        <v>-0.6808</v>
      </c>
      <c r="K1555" t="n">
        <v>0.203</v>
      </c>
      <c r="L1555" t="n">
        <v>0.797</v>
      </c>
      <c r="M1555" t="n">
        <v>0</v>
      </c>
    </row>
    <row r="1556" spans="1:13">
      <c r="A1556" s="1">
        <f>HYPERLINK("http://www.twitter.com/NathanBLawrence/status/992564956926218240", "992564956926218240")</f>
        <v/>
      </c>
      <c r="B1556" s="2" t="n">
        <v>43225.02894675926</v>
      </c>
      <c r="C1556" t="n">
        <v>3</v>
      </c>
      <c r="D1556" t="n">
        <v>2</v>
      </c>
      <c r="E1556" t="s">
        <v>1552</v>
      </c>
      <c r="F1556" t="s"/>
      <c r="G1556" t="s"/>
      <c r="H1556" t="s"/>
      <c r="I1556" t="s"/>
      <c r="J1556" t="n">
        <v>-0.5943000000000001</v>
      </c>
      <c r="K1556" t="n">
        <v>0.16</v>
      </c>
      <c r="L1556" t="n">
        <v>0.728</v>
      </c>
      <c r="M1556" t="n">
        <v>0.112</v>
      </c>
    </row>
    <row r="1557" spans="1:13">
      <c r="A1557" s="1">
        <f>HYPERLINK("http://www.twitter.com/NathanBLawrence/status/992561262704947200", "992561262704947200")</f>
        <v/>
      </c>
      <c r="B1557" s="2" t="n">
        <v>43225.01875</v>
      </c>
      <c r="C1557" t="n">
        <v>0</v>
      </c>
      <c r="D1557" t="n">
        <v>0</v>
      </c>
      <c r="E1557" t="s">
        <v>1553</v>
      </c>
      <c r="F1557" t="s"/>
      <c r="G1557" t="s"/>
      <c r="H1557" t="s"/>
      <c r="I1557" t="s"/>
      <c r="J1557" t="n">
        <v>0.5106000000000001</v>
      </c>
      <c r="K1557" t="n">
        <v>0.052</v>
      </c>
      <c r="L1557" t="n">
        <v>0.82</v>
      </c>
      <c r="M1557" t="n">
        <v>0.128</v>
      </c>
    </row>
    <row r="1558" spans="1:13">
      <c r="A1558" s="1">
        <f>HYPERLINK("http://www.twitter.com/NathanBLawrence/status/992557764617687040", "992557764617687040")</f>
        <v/>
      </c>
      <c r="B1558" s="2" t="n">
        <v>43225.00909722222</v>
      </c>
      <c r="C1558" t="n">
        <v>3</v>
      </c>
      <c r="D1558" t="n">
        <v>1</v>
      </c>
      <c r="E1558" t="s">
        <v>1554</v>
      </c>
      <c r="F1558" t="s"/>
      <c r="G1558" t="s"/>
      <c r="H1558" t="s"/>
      <c r="I1558" t="s"/>
      <c r="J1558" t="n">
        <v>0.6672</v>
      </c>
      <c r="K1558" t="n">
        <v>0.07199999999999999</v>
      </c>
      <c r="L1558" t="n">
        <v>0.76</v>
      </c>
      <c r="M1558" t="n">
        <v>0.169</v>
      </c>
    </row>
    <row r="1559" spans="1:13">
      <c r="A1559" s="1">
        <f>HYPERLINK("http://www.twitter.com/NathanBLawrence/status/992556461468286977", "992556461468286977")</f>
        <v/>
      </c>
      <c r="B1559" s="2" t="n">
        <v>43225.00549768518</v>
      </c>
      <c r="C1559" t="n">
        <v>1</v>
      </c>
      <c r="D1559" t="n">
        <v>0</v>
      </c>
      <c r="E1559" t="s">
        <v>1555</v>
      </c>
      <c r="F1559" t="s"/>
      <c r="G1559" t="s"/>
      <c r="H1559" t="s"/>
      <c r="I1559" t="s"/>
      <c r="J1559" t="n">
        <v>0</v>
      </c>
      <c r="K1559" t="n">
        <v>0</v>
      </c>
      <c r="L1559" t="n">
        <v>1</v>
      </c>
      <c r="M1559" t="n">
        <v>0</v>
      </c>
    </row>
    <row r="1560" spans="1:13">
      <c r="A1560" s="1">
        <f>HYPERLINK("http://www.twitter.com/NathanBLawrence/status/992556365158797313", "992556365158797313")</f>
        <v/>
      </c>
      <c r="B1560" s="2" t="n">
        <v>43225.00523148148</v>
      </c>
      <c r="C1560" t="n">
        <v>0</v>
      </c>
      <c r="D1560" t="n">
        <v>0</v>
      </c>
      <c r="E1560" t="s">
        <v>1556</v>
      </c>
      <c r="F1560" t="s"/>
      <c r="G1560" t="s"/>
      <c r="H1560" t="s"/>
      <c r="I1560" t="s"/>
      <c r="J1560" t="n">
        <v>-0.264</v>
      </c>
      <c r="K1560" t="n">
        <v>0.099</v>
      </c>
      <c r="L1560" t="n">
        <v>0.847</v>
      </c>
      <c r="M1560" t="n">
        <v>0.054</v>
      </c>
    </row>
    <row r="1561" spans="1:13">
      <c r="A1561" s="1">
        <f>HYPERLINK("http://www.twitter.com/NathanBLawrence/status/992555463475593216", "992555463475593216")</f>
        <v/>
      </c>
      <c r="B1561" s="2" t="n">
        <v>43225.00274305556</v>
      </c>
      <c r="C1561" t="n">
        <v>1</v>
      </c>
      <c r="D1561" t="n">
        <v>0</v>
      </c>
      <c r="E1561" t="s">
        <v>1557</v>
      </c>
      <c r="F1561" t="s"/>
      <c r="G1561" t="s"/>
      <c r="H1561" t="s"/>
      <c r="I1561" t="s"/>
      <c r="J1561" t="n">
        <v>0.6553</v>
      </c>
      <c r="K1561" t="n">
        <v>0</v>
      </c>
      <c r="L1561" t="n">
        <v>0.834</v>
      </c>
      <c r="M1561" t="n">
        <v>0.166</v>
      </c>
    </row>
    <row r="1562" spans="1:13">
      <c r="A1562" s="1">
        <f>HYPERLINK("http://www.twitter.com/NathanBLawrence/status/992553252620292097", "992553252620292097")</f>
        <v/>
      </c>
      <c r="B1562" s="2" t="n">
        <v>43224.99664351852</v>
      </c>
      <c r="C1562" t="n">
        <v>0</v>
      </c>
      <c r="D1562" t="n">
        <v>1</v>
      </c>
      <c r="E1562" t="s">
        <v>1558</v>
      </c>
      <c r="F1562" t="s"/>
      <c r="G1562" t="s"/>
      <c r="H1562" t="s"/>
      <c r="I1562" t="s"/>
      <c r="J1562" t="n">
        <v>0</v>
      </c>
      <c r="K1562" t="n">
        <v>0</v>
      </c>
      <c r="L1562" t="n">
        <v>1</v>
      </c>
      <c r="M1562" t="n">
        <v>0</v>
      </c>
    </row>
    <row r="1563" spans="1:13">
      <c r="A1563" s="1">
        <f>HYPERLINK("http://www.twitter.com/NathanBLawrence/status/992552980925833216", "992552980925833216")</f>
        <v/>
      </c>
      <c r="B1563" s="2" t="n">
        <v>43224.99590277778</v>
      </c>
      <c r="C1563" t="n">
        <v>0</v>
      </c>
      <c r="D1563" t="n">
        <v>0</v>
      </c>
      <c r="E1563" t="s">
        <v>1559</v>
      </c>
      <c r="F1563" t="s"/>
      <c r="G1563" t="s"/>
      <c r="H1563" t="s"/>
      <c r="I1563" t="s"/>
      <c r="J1563" t="n">
        <v>-0.6369</v>
      </c>
      <c r="K1563" t="n">
        <v>0.441</v>
      </c>
      <c r="L1563" t="n">
        <v>0.395</v>
      </c>
      <c r="M1563" t="n">
        <v>0.164</v>
      </c>
    </row>
    <row r="1564" spans="1:13">
      <c r="A1564" s="1">
        <f>HYPERLINK("http://www.twitter.com/NathanBLawrence/status/992552716982476802", "992552716982476802")</f>
        <v/>
      </c>
      <c r="B1564" s="2" t="n">
        <v>43224.99517361111</v>
      </c>
      <c r="C1564" t="n">
        <v>1</v>
      </c>
      <c r="D1564" t="n">
        <v>0</v>
      </c>
      <c r="E1564" t="s">
        <v>1560</v>
      </c>
      <c r="F1564" t="s"/>
      <c r="G1564" t="s"/>
      <c r="H1564" t="s"/>
      <c r="I1564" t="s"/>
      <c r="J1564" t="n">
        <v>-0.5423</v>
      </c>
      <c r="K1564" t="n">
        <v>0.149</v>
      </c>
      <c r="L1564" t="n">
        <v>0.851</v>
      </c>
      <c r="M1564" t="n">
        <v>0</v>
      </c>
    </row>
    <row r="1565" spans="1:13">
      <c r="A1565" s="1">
        <f>HYPERLINK("http://www.twitter.com/NathanBLawrence/status/992551985512497152", "992551985512497152")</f>
        <v/>
      </c>
      <c r="B1565" s="2" t="n">
        <v>43224.99314814815</v>
      </c>
      <c r="C1565" t="n">
        <v>0</v>
      </c>
      <c r="D1565" t="n">
        <v>1</v>
      </c>
      <c r="E1565" t="s">
        <v>1561</v>
      </c>
      <c r="F1565">
        <f>HYPERLINK("http://pbs.twimg.com/media/DcY-9y4UQAIyPBd.jpg", "http://pbs.twimg.com/media/DcY-9y4UQAIyPBd.jpg")</f>
        <v/>
      </c>
      <c r="G1565" t="s"/>
      <c r="H1565" t="s"/>
      <c r="I1565" t="s"/>
      <c r="J1565" t="n">
        <v>-0.6908</v>
      </c>
      <c r="K1565" t="n">
        <v>0.206</v>
      </c>
      <c r="L1565" t="n">
        <v>0.794</v>
      </c>
      <c r="M1565" t="n">
        <v>0</v>
      </c>
    </row>
    <row r="1566" spans="1:13">
      <c r="A1566" s="1">
        <f>HYPERLINK("http://www.twitter.com/NathanBLawrence/status/992551928419770368", "992551928419770368")</f>
        <v/>
      </c>
      <c r="B1566" s="2" t="n">
        <v>43224.99299768519</v>
      </c>
      <c r="C1566" t="n">
        <v>0</v>
      </c>
      <c r="D1566" t="n">
        <v>1</v>
      </c>
      <c r="E1566" t="s">
        <v>1562</v>
      </c>
      <c r="F1566" t="s"/>
      <c r="G1566" t="s"/>
      <c r="H1566" t="s"/>
      <c r="I1566" t="s"/>
      <c r="J1566" t="n">
        <v>0</v>
      </c>
      <c r="K1566" t="n">
        <v>0</v>
      </c>
      <c r="L1566" t="n">
        <v>1</v>
      </c>
      <c r="M1566" t="n">
        <v>0</v>
      </c>
    </row>
    <row r="1567" spans="1:13">
      <c r="A1567" s="1">
        <f>HYPERLINK("http://www.twitter.com/NathanBLawrence/status/992551814695407616", "992551814695407616")</f>
        <v/>
      </c>
      <c r="B1567" s="2" t="n">
        <v>43224.99268518519</v>
      </c>
      <c r="C1567" t="n">
        <v>3</v>
      </c>
      <c r="D1567" t="n">
        <v>0</v>
      </c>
      <c r="E1567" t="s">
        <v>1563</v>
      </c>
      <c r="F1567" t="s"/>
      <c r="G1567" t="s"/>
      <c r="H1567" t="s"/>
      <c r="I1567" t="s"/>
      <c r="J1567" t="n">
        <v>0.4215</v>
      </c>
      <c r="K1567" t="n">
        <v>0</v>
      </c>
      <c r="L1567" t="n">
        <v>0.907</v>
      </c>
      <c r="M1567" t="n">
        <v>0.093</v>
      </c>
    </row>
    <row r="1568" spans="1:13">
      <c r="A1568" s="1">
        <f>HYPERLINK("http://www.twitter.com/NathanBLawrence/status/992550615791304704", "992550615791304704")</f>
        <v/>
      </c>
      <c r="B1568" s="2" t="n">
        <v>43224.989375</v>
      </c>
      <c r="C1568" t="n">
        <v>0</v>
      </c>
      <c r="D1568" t="n">
        <v>0</v>
      </c>
      <c r="E1568" t="s">
        <v>1564</v>
      </c>
      <c r="F1568" t="s"/>
      <c r="G1568" t="s"/>
      <c r="H1568" t="s"/>
      <c r="I1568" t="s"/>
      <c r="J1568" t="n">
        <v>0</v>
      </c>
      <c r="K1568" t="n">
        <v>0</v>
      </c>
      <c r="L1568" t="n">
        <v>1</v>
      </c>
      <c r="M1568" t="n">
        <v>0</v>
      </c>
    </row>
    <row r="1569" spans="1:13">
      <c r="A1569" s="1">
        <f>HYPERLINK("http://www.twitter.com/NathanBLawrence/status/992550005218205696", "992550005218205696")</f>
        <v/>
      </c>
      <c r="B1569" s="2" t="n">
        <v>43224.98768518519</v>
      </c>
      <c r="C1569" t="n">
        <v>1</v>
      </c>
      <c r="D1569" t="n">
        <v>1</v>
      </c>
      <c r="E1569" t="s">
        <v>1565</v>
      </c>
      <c r="F1569">
        <f>HYPERLINK("http://pbs.twimg.com/media/DcY-9y4UQAIyPBd.jpg", "http://pbs.twimg.com/media/DcY-9y4UQAIyPBd.jpg")</f>
        <v/>
      </c>
      <c r="G1569" t="s"/>
      <c r="H1569" t="s"/>
      <c r="I1569" t="s"/>
      <c r="J1569" t="n">
        <v>-0.8604000000000001</v>
      </c>
      <c r="K1569" t="n">
        <v>0.187</v>
      </c>
      <c r="L1569" t="n">
        <v>0.775</v>
      </c>
      <c r="M1569" t="n">
        <v>0.039</v>
      </c>
    </row>
    <row r="1570" spans="1:13">
      <c r="A1570" s="1">
        <f>HYPERLINK("http://www.twitter.com/NathanBLawrence/status/992548282411995138", "992548282411995138")</f>
        <v/>
      </c>
      <c r="B1570" s="2" t="n">
        <v>43224.98292824074</v>
      </c>
      <c r="C1570" t="n">
        <v>0</v>
      </c>
      <c r="D1570" t="n">
        <v>0</v>
      </c>
      <c r="E1570" t="s">
        <v>1566</v>
      </c>
      <c r="F1570" t="s"/>
      <c r="G1570" t="s"/>
      <c r="H1570" t="s"/>
      <c r="I1570" t="s"/>
      <c r="J1570" t="n">
        <v>0.7351</v>
      </c>
      <c r="K1570" t="n">
        <v>0</v>
      </c>
      <c r="L1570" t="n">
        <v>0.455</v>
      </c>
      <c r="M1570" t="n">
        <v>0.545</v>
      </c>
    </row>
    <row r="1571" spans="1:13">
      <c r="A1571" s="1">
        <f>HYPERLINK("http://www.twitter.com/NathanBLawrence/status/992548153068015617", "992548153068015617")</f>
        <v/>
      </c>
      <c r="B1571" s="2" t="n">
        <v>43224.98258101852</v>
      </c>
      <c r="C1571" t="n">
        <v>0</v>
      </c>
      <c r="D1571" t="n">
        <v>1</v>
      </c>
      <c r="E1571" t="s">
        <v>1567</v>
      </c>
      <c r="F1571" t="s"/>
      <c r="G1571" t="s"/>
      <c r="H1571" t="s"/>
      <c r="I1571" t="s"/>
      <c r="J1571" t="n">
        <v>0</v>
      </c>
      <c r="K1571" t="n">
        <v>0</v>
      </c>
      <c r="L1571" t="n">
        <v>1</v>
      </c>
      <c r="M1571" t="n">
        <v>0</v>
      </c>
    </row>
    <row r="1572" spans="1:13">
      <c r="A1572" s="1">
        <f>HYPERLINK("http://www.twitter.com/NathanBLawrence/status/992547069624799233", "992547069624799233")</f>
        <v/>
      </c>
      <c r="B1572" s="2" t="n">
        <v>43224.97958333333</v>
      </c>
      <c r="C1572" t="n">
        <v>0</v>
      </c>
      <c r="D1572" t="n">
        <v>1</v>
      </c>
      <c r="E1572" t="s">
        <v>1568</v>
      </c>
      <c r="F1572" t="s"/>
      <c r="G1572" t="s"/>
      <c r="H1572" t="s"/>
      <c r="I1572" t="s"/>
      <c r="J1572" t="n">
        <v>0.4215</v>
      </c>
      <c r="K1572" t="n">
        <v>0</v>
      </c>
      <c r="L1572" t="n">
        <v>0.859</v>
      </c>
      <c r="M1572" t="n">
        <v>0.141</v>
      </c>
    </row>
    <row r="1573" spans="1:13">
      <c r="A1573" s="1">
        <f>HYPERLINK("http://www.twitter.com/NathanBLawrence/status/992546915727347712", "992546915727347712")</f>
        <v/>
      </c>
      <c r="B1573" s="2" t="n">
        <v>43224.97915509259</v>
      </c>
      <c r="C1573" t="n">
        <v>1</v>
      </c>
      <c r="D1573" t="n">
        <v>0</v>
      </c>
      <c r="E1573" t="s">
        <v>1569</v>
      </c>
      <c r="F1573" t="s"/>
      <c r="G1573" t="s"/>
      <c r="H1573" t="s"/>
      <c r="I1573" t="s"/>
      <c r="J1573" t="n">
        <v>0.4215</v>
      </c>
      <c r="K1573" t="n">
        <v>0</v>
      </c>
      <c r="L1573" t="n">
        <v>0.924</v>
      </c>
      <c r="M1573" t="n">
        <v>0.076</v>
      </c>
    </row>
    <row r="1574" spans="1:13">
      <c r="A1574" s="1">
        <f>HYPERLINK("http://www.twitter.com/NathanBLawrence/status/992545570303676416", "992545570303676416")</f>
        <v/>
      </c>
      <c r="B1574" s="2" t="n">
        <v>43224.97545138889</v>
      </c>
      <c r="C1574" t="n">
        <v>5</v>
      </c>
      <c r="D1574" t="n">
        <v>2</v>
      </c>
      <c r="E1574" t="s">
        <v>1570</v>
      </c>
      <c r="F1574" t="s"/>
      <c r="G1574" t="s"/>
      <c r="H1574" t="s"/>
      <c r="I1574" t="s"/>
      <c r="J1574" t="n">
        <v>0.7115</v>
      </c>
      <c r="K1574" t="n">
        <v>0.154</v>
      </c>
      <c r="L1574" t="n">
        <v>0.611</v>
      </c>
      <c r="M1574" t="n">
        <v>0.235</v>
      </c>
    </row>
    <row r="1575" spans="1:13">
      <c r="A1575" s="1">
        <f>HYPERLINK("http://www.twitter.com/NathanBLawrence/status/992544372951576576", "992544372951576576")</f>
        <v/>
      </c>
      <c r="B1575" s="2" t="n">
        <v>43224.9721412037</v>
      </c>
      <c r="C1575" t="n">
        <v>3</v>
      </c>
      <c r="D1575" t="n">
        <v>0</v>
      </c>
      <c r="E1575" t="s">
        <v>1571</v>
      </c>
      <c r="F1575" t="s"/>
      <c r="G1575" t="s"/>
      <c r="H1575" t="s"/>
      <c r="I1575" t="s"/>
      <c r="J1575" t="n">
        <v>-0.6808</v>
      </c>
      <c r="K1575" t="n">
        <v>0.524</v>
      </c>
      <c r="L1575" t="n">
        <v>0.476</v>
      </c>
      <c r="M1575" t="n">
        <v>0</v>
      </c>
    </row>
    <row r="1576" spans="1:13">
      <c r="A1576" s="1">
        <f>HYPERLINK("http://www.twitter.com/NathanBLawrence/status/992543817017577472", "992543817017577472")</f>
        <v/>
      </c>
      <c r="B1576" s="2" t="n">
        <v>43224.97061342592</v>
      </c>
      <c r="C1576" t="n">
        <v>0</v>
      </c>
      <c r="D1576" t="n">
        <v>0</v>
      </c>
      <c r="E1576" t="s">
        <v>1572</v>
      </c>
      <c r="F1576" t="s"/>
      <c r="G1576" t="s"/>
      <c r="H1576" t="s"/>
      <c r="I1576" t="s"/>
      <c r="J1576" t="n">
        <v>0</v>
      </c>
      <c r="K1576" t="n">
        <v>0</v>
      </c>
      <c r="L1576" t="n">
        <v>1</v>
      </c>
      <c r="M1576" t="n">
        <v>0</v>
      </c>
    </row>
    <row r="1577" spans="1:13">
      <c r="A1577" s="1">
        <f>HYPERLINK("http://www.twitter.com/NathanBLawrence/status/992543766320992256", "992543766320992256")</f>
        <v/>
      </c>
      <c r="B1577" s="2" t="n">
        <v>43224.97047453704</v>
      </c>
      <c r="C1577" t="n">
        <v>0</v>
      </c>
      <c r="D1577" t="n">
        <v>1</v>
      </c>
      <c r="E1577" t="s">
        <v>1573</v>
      </c>
      <c r="F1577" t="s"/>
      <c r="G1577" t="s"/>
      <c r="H1577" t="s"/>
      <c r="I1577" t="s"/>
      <c r="J1577" t="n">
        <v>0.6542</v>
      </c>
      <c r="K1577" t="n">
        <v>0</v>
      </c>
      <c r="L1577" t="n">
        <v>0.761</v>
      </c>
      <c r="M1577" t="n">
        <v>0.239</v>
      </c>
    </row>
    <row r="1578" spans="1:13">
      <c r="A1578" s="1">
        <f>HYPERLINK("http://www.twitter.com/NathanBLawrence/status/992543717952278530", "992543717952278530")</f>
        <v/>
      </c>
      <c r="B1578" s="2" t="n">
        <v>43224.97033564815</v>
      </c>
      <c r="C1578" t="n">
        <v>0</v>
      </c>
      <c r="D1578" t="n">
        <v>0</v>
      </c>
      <c r="E1578" t="s">
        <v>1574</v>
      </c>
      <c r="F1578" t="s"/>
      <c r="G1578" t="s"/>
      <c r="H1578" t="s"/>
      <c r="I1578" t="s"/>
      <c r="J1578" t="n">
        <v>0</v>
      </c>
      <c r="K1578" t="n">
        <v>0</v>
      </c>
      <c r="L1578" t="n">
        <v>1</v>
      </c>
      <c r="M1578" t="n">
        <v>0</v>
      </c>
    </row>
    <row r="1579" spans="1:13">
      <c r="A1579" s="1">
        <f>HYPERLINK("http://www.twitter.com/NathanBLawrence/status/992543610146033665", "992543610146033665")</f>
        <v/>
      </c>
      <c r="B1579" s="2" t="n">
        <v>43224.97003472222</v>
      </c>
      <c r="C1579" t="n">
        <v>0</v>
      </c>
      <c r="D1579" t="n">
        <v>6</v>
      </c>
      <c r="E1579" t="s">
        <v>1575</v>
      </c>
      <c r="F1579" t="s"/>
      <c r="G1579" t="s"/>
      <c r="H1579" t="s"/>
      <c r="I1579" t="s"/>
      <c r="J1579" t="n">
        <v>0.6597</v>
      </c>
      <c r="K1579" t="n">
        <v>0</v>
      </c>
      <c r="L1579" t="n">
        <v>0.795</v>
      </c>
      <c r="M1579" t="n">
        <v>0.205</v>
      </c>
    </row>
    <row r="1580" spans="1:13">
      <c r="A1580" s="1">
        <f>HYPERLINK("http://www.twitter.com/NathanBLawrence/status/992543187628634112", "992543187628634112")</f>
        <v/>
      </c>
      <c r="B1580" s="2" t="n">
        <v>43224.96887731482</v>
      </c>
      <c r="C1580" t="n">
        <v>0</v>
      </c>
      <c r="D1580" t="n">
        <v>0</v>
      </c>
      <c r="E1580" t="s">
        <v>1576</v>
      </c>
      <c r="F1580" t="s"/>
      <c r="G1580" t="s"/>
      <c r="H1580" t="s"/>
      <c r="I1580" t="s"/>
      <c r="J1580" t="n">
        <v>-0.0026</v>
      </c>
      <c r="K1580" t="n">
        <v>0.16</v>
      </c>
      <c r="L1580" t="n">
        <v>0.681</v>
      </c>
      <c r="M1580" t="n">
        <v>0.159</v>
      </c>
    </row>
    <row r="1581" spans="1:13">
      <c r="A1581" s="1">
        <f>HYPERLINK("http://www.twitter.com/NathanBLawrence/status/992541214418391043", "992541214418391043")</f>
        <v/>
      </c>
      <c r="B1581" s="2" t="n">
        <v>43224.96342592593</v>
      </c>
      <c r="C1581" t="n">
        <v>0</v>
      </c>
      <c r="D1581" t="n">
        <v>0</v>
      </c>
      <c r="E1581" t="s">
        <v>1577</v>
      </c>
      <c r="F1581" t="s"/>
      <c r="G1581" t="s"/>
      <c r="H1581" t="s"/>
      <c r="I1581" t="s"/>
      <c r="J1581" t="n">
        <v>0</v>
      </c>
      <c r="K1581" t="n">
        <v>0</v>
      </c>
      <c r="L1581" t="n">
        <v>1</v>
      </c>
      <c r="M1581" t="n">
        <v>0</v>
      </c>
    </row>
    <row r="1582" spans="1:13">
      <c r="A1582" s="1">
        <f>HYPERLINK("http://www.twitter.com/NathanBLawrence/status/992540128328417281", "992540128328417281")</f>
        <v/>
      </c>
      <c r="B1582" s="2" t="n">
        <v>43224.96042824074</v>
      </c>
      <c r="C1582" t="n">
        <v>0</v>
      </c>
      <c r="D1582" t="n">
        <v>0</v>
      </c>
      <c r="E1582" t="s">
        <v>1578</v>
      </c>
      <c r="F1582" t="s"/>
      <c r="G1582" t="s"/>
      <c r="H1582" t="s"/>
      <c r="I1582" t="s"/>
      <c r="J1582" t="n">
        <v>0</v>
      </c>
      <c r="K1582" t="n">
        <v>0</v>
      </c>
      <c r="L1582" t="n">
        <v>1</v>
      </c>
      <c r="M1582" t="n">
        <v>0</v>
      </c>
    </row>
    <row r="1583" spans="1:13">
      <c r="A1583" s="1">
        <f>HYPERLINK("http://www.twitter.com/NathanBLawrence/status/992539067169607681", "992539067169607681")</f>
        <v/>
      </c>
      <c r="B1583" s="2" t="n">
        <v>43224.9575</v>
      </c>
      <c r="C1583" t="n">
        <v>0</v>
      </c>
      <c r="D1583" t="n">
        <v>4</v>
      </c>
      <c r="E1583" t="s">
        <v>1579</v>
      </c>
      <c r="F1583" t="s"/>
      <c r="G1583" t="s"/>
      <c r="H1583" t="s"/>
      <c r="I1583" t="s"/>
      <c r="J1583" t="n">
        <v>0</v>
      </c>
      <c r="K1583" t="n">
        <v>0</v>
      </c>
      <c r="L1583" t="n">
        <v>1</v>
      </c>
      <c r="M1583" t="n">
        <v>0</v>
      </c>
    </row>
    <row r="1584" spans="1:13">
      <c r="A1584" s="1">
        <f>HYPERLINK("http://www.twitter.com/NathanBLawrence/status/992538999339278336", "992538999339278336")</f>
        <v/>
      </c>
      <c r="B1584" s="2" t="n">
        <v>43224.95731481481</v>
      </c>
      <c r="C1584" t="n">
        <v>0</v>
      </c>
      <c r="D1584" t="n">
        <v>0</v>
      </c>
      <c r="E1584" t="s">
        <v>1580</v>
      </c>
      <c r="F1584" t="s"/>
      <c r="G1584" t="s"/>
      <c r="H1584" t="s"/>
      <c r="I1584" t="s"/>
      <c r="J1584" t="n">
        <v>-0.9201</v>
      </c>
      <c r="K1584" t="n">
        <v>0.281</v>
      </c>
      <c r="L1584" t="n">
        <v>0.719</v>
      </c>
      <c r="M1584" t="n">
        <v>0</v>
      </c>
    </row>
    <row r="1585" spans="1:13">
      <c r="A1585" s="1">
        <f>HYPERLINK("http://www.twitter.com/NathanBLawrence/status/992537288457490432", "992537288457490432")</f>
        <v/>
      </c>
      <c r="B1585" s="2" t="n">
        <v>43224.95259259259</v>
      </c>
      <c r="C1585" t="n">
        <v>0</v>
      </c>
      <c r="D1585" t="n">
        <v>1</v>
      </c>
      <c r="E1585" t="s">
        <v>1581</v>
      </c>
      <c r="F1585" t="s"/>
      <c r="G1585" t="s"/>
      <c r="H1585" t="s"/>
      <c r="I1585" t="s"/>
      <c r="J1585" t="n">
        <v>0</v>
      </c>
      <c r="K1585" t="n">
        <v>0</v>
      </c>
      <c r="L1585" t="n">
        <v>1</v>
      </c>
      <c r="M1585" t="n">
        <v>0</v>
      </c>
    </row>
    <row r="1586" spans="1:13">
      <c r="A1586" s="1">
        <f>HYPERLINK("http://www.twitter.com/NathanBLawrence/status/992537237958090752", "992537237958090752")</f>
        <v/>
      </c>
      <c r="B1586" s="2" t="n">
        <v>43224.95245370371</v>
      </c>
      <c r="C1586" t="n">
        <v>8</v>
      </c>
      <c r="D1586" t="n">
        <v>4</v>
      </c>
      <c r="E1586" t="s">
        <v>1582</v>
      </c>
      <c r="F1586" t="s"/>
      <c r="G1586" t="s"/>
      <c r="H1586" t="s"/>
      <c r="I1586" t="s"/>
      <c r="J1586" t="n">
        <v>0.5279</v>
      </c>
      <c r="K1586" t="n">
        <v>0</v>
      </c>
      <c r="L1586" t="n">
        <v>0.917</v>
      </c>
      <c r="M1586" t="n">
        <v>0.083</v>
      </c>
    </row>
    <row r="1587" spans="1:13">
      <c r="A1587" s="1">
        <f>HYPERLINK("http://www.twitter.com/NathanBLawrence/status/992534966797062144", "992534966797062144")</f>
        <v/>
      </c>
      <c r="B1587" s="2" t="n">
        <v>43224.94619212963</v>
      </c>
      <c r="C1587" t="n">
        <v>0</v>
      </c>
      <c r="D1587" t="n">
        <v>24</v>
      </c>
      <c r="E1587" t="s">
        <v>1583</v>
      </c>
      <c r="F1587" t="s"/>
      <c r="G1587" t="s"/>
      <c r="H1587" t="s"/>
      <c r="I1587" t="s"/>
      <c r="J1587" t="n">
        <v>0.2023</v>
      </c>
      <c r="K1587" t="n">
        <v>0.081</v>
      </c>
      <c r="L1587" t="n">
        <v>0.769</v>
      </c>
      <c r="M1587" t="n">
        <v>0.15</v>
      </c>
    </row>
    <row r="1588" spans="1:13">
      <c r="A1588" s="1">
        <f>HYPERLINK("http://www.twitter.com/NathanBLawrence/status/992531525546717186", "992531525546717186")</f>
        <v/>
      </c>
      <c r="B1588" s="2" t="n">
        <v>43224.93668981481</v>
      </c>
      <c r="C1588" t="n">
        <v>0</v>
      </c>
      <c r="D1588" t="n">
        <v>0</v>
      </c>
      <c r="E1588" t="s">
        <v>1584</v>
      </c>
      <c r="F1588" t="s"/>
      <c r="G1588" t="s"/>
      <c r="H1588" t="s"/>
      <c r="I1588" t="s"/>
      <c r="J1588" t="n">
        <v>0.6124000000000001</v>
      </c>
      <c r="K1588" t="n">
        <v>0</v>
      </c>
      <c r="L1588" t="n">
        <v>0.75</v>
      </c>
      <c r="M1588" t="n">
        <v>0.25</v>
      </c>
    </row>
    <row r="1589" spans="1:13">
      <c r="A1589" s="1">
        <f>HYPERLINK("http://www.twitter.com/NathanBLawrence/status/992531055168155653", "992531055168155653")</f>
        <v/>
      </c>
      <c r="B1589" s="2" t="n">
        <v>43224.93539351852</v>
      </c>
      <c r="C1589" t="n">
        <v>0</v>
      </c>
      <c r="D1589" t="n">
        <v>0</v>
      </c>
      <c r="E1589" t="s">
        <v>1585</v>
      </c>
      <c r="F1589" t="s"/>
      <c r="G1589" t="s"/>
      <c r="H1589" t="s"/>
      <c r="I1589" t="s"/>
      <c r="J1589" t="n">
        <v>0.0258</v>
      </c>
      <c r="K1589" t="n">
        <v>0.137</v>
      </c>
      <c r="L1589" t="n">
        <v>0.742</v>
      </c>
      <c r="M1589" t="n">
        <v>0.121</v>
      </c>
    </row>
    <row r="1590" spans="1:13">
      <c r="A1590" s="1">
        <f>HYPERLINK("http://www.twitter.com/NathanBLawrence/status/992529359331381249", "992529359331381249")</f>
        <v/>
      </c>
      <c r="B1590" s="2" t="n">
        <v>43224.93071759259</v>
      </c>
      <c r="C1590" t="n">
        <v>0</v>
      </c>
      <c r="D1590" t="n">
        <v>1</v>
      </c>
      <c r="E1590" t="s">
        <v>1581</v>
      </c>
      <c r="F1590" t="s"/>
      <c r="G1590" t="s"/>
      <c r="H1590" t="s"/>
      <c r="I1590" t="s"/>
      <c r="J1590" t="n">
        <v>0</v>
      </c>
      <c r="K1590" t="n">
        <v>0</v>
      </c>
      <c r="L1590" t="n">
        <v>1</v>
      </c>
      <c r="M1590" t="n">
        <v>0</v>
      </c>
    </row>
    <row r="1591" spans="1:13">
      <c r="A1591" s="1">
        <f>HYPERLINK("http://www.twitter.com/NathanBLawrence/status/992529273331306497", "992529273331306497")</f>
        <v/>
      </c>
      <c r="B1591" s="2" t="n">
        <v>43224.93047453704</v>
      </c>
      <c r="C1591" t="n">
        <v>0</v>
      </c>
      <c r="D1591" t="n">
        <v>0</v>
      </c>
      <c r="E1591" t="s">
        <v>1586</v>
      </c>
      <c r="F1591" t="s"/>
      <c r="G1591" t="s"/>
      <c r="H1591" t="s"/>
      <c r="I1591" t="s"/>
      <c r="J1591" t="n">
        <v>-0.3862</v>
      </c>
      <c r="K1591" t="n">
        <v>0.078</v>
      </c>
      <c r="L1591" t="n">
        <v>0.922</v>
      </c>
      <c r="M1591" t="n">
        <v>0</v>
      </c>
    </row>
    <row r="1592" spans="1:13">
      <c r="A1592" s="1">
        <f>HYPERLINK("http://www.twitter.com/NathanBLawrence/status/992527729085042688", "992527729085042688")</f>
        <v/>
      </c>
      <c r="B1592" s="2" t="n">
        <v>43224.92621527778</v>
      </c>
      <c r="C1592" t="n">
        <v>0</v>
      </c>
      <c r="D1592" t="n">
        <v>4</v>
      </c>
      <c r="E1592" t="s">
        <v>1587</v>
      </c>
      <c r="F1592" t="s"/>
      <c r="G1592" t="s"/>
      <c r="H1592" t="s"/>
      <c r="I1592" t="s"/>
      <c r="J1592" t="n">
        <v>0</v>
      </c>
      <c r="K1592" t="n">
        <v>0</v>
      </c>
      <c r="L1592" t="n">
        <v>1</v>
      </c>
      <c r="M1592" t="n">
        <v>0</v>
      </c>
    </row>
    <row r="1593" spans="1:13">
      <c r="A1593" s="1">
        <f>HYPERLINK("http://www.twitter.com/NathanBLawrence/status/992527629596221440", "992527629596221440")</f>
        <v/>
      </c>
      <c r="B1593" s="2" t="n">
        <v>43224.9259375</v>
      </c>
      <c r="C1593" t="n">
        <v>1</v>
      </c>
      <c r="D1593" t="n">
        <v>0</v>
      </c>
      <c r="E1593" t="s">
        <v>1588</v>
      </c>
      <c r="F1593" t="s"/>
      <c r="G1593" t="s"/>
      <c r="H1593" t="s"/>
      <c r="I1593" t="s"/>
      <c r="J1593" t="n">
        <v>0.3612</v>
      </c>
      <c r="K1593" t="n">
        <v>0.028</v>
      </c>
      <c r="L1593" t="n">
        <v>0.915</v>
      </c>
      <c r="M1593" t="n">
        <v>0.058</v>
      </c>
    </row>
    <row r="1594" spans="1:13">
      <c r="A1594" s="1">
        <f>HYPERLINK("http://www.twitter.com/NathanBLawrence/status/992527036978814976", "992527036978814976")</f>
        <v/>
      </c>
      <c r="B1594" s="2" t="n">
        <v>43224.92430555556</v>
      </c>
      <c r="C1594" t="n">
        <v>1</v>
      </c>
      <c r="D1594" t="n">
        <v>0</v>
      </c>
      <c r="E1594" t="s">
        <v>1589</v>
      </c>
      <c r="F1594" t="s"/>
      <c r="G1594" t="s"/>
      <c r="H1594" t="s"/>
      <c r="I1594" t="s"/>
      <c r="J1594" t="n">
        <v>0.802</v>
      </c>
      <c r="K1594" t="n">
        <v>0.068</v>
      </c>
      <c r="L1594" t="n">
        <v>0.6840000000000001</v>
      </c>
      <c r="M1594" t="n">
        <v>0.247</v>
      </c>
    </row>
    <row r="1595" spans="1:13">
      <c r="A1595" s="1">
        <f>HYPERLINK("http://www.twitter.com/NathanBLawrence/status/992526103410507776", "992526103410507776")</f>
        <v/>
      </c>
      <c r="B1595" s="2" t="n">
        <v>43224.92172453704</v>
      </c>
      <c r="C1595" t="n">
        <v>0</v>
      </c>
      <c r="D1595" t="n">
        <v>0</v>
      </c>
      <c r="E1595" t="s">
        <v>1590</v>
      </c>
      <c r="F1595" t="s"/>
      <c r="G1595" t="s"/>
      <c r="H1595" t="s"/>
      <c r="I1595" t="s"/>
      <c r="J1595" t="n">
        <v>0.8442</v>
      </c>
      <c r="K1595" t="n">
        <v>0.06900000000000001</v>
      </c>
      <c r="L1595" t="n">
        <v>0.737</v>
      </c>
      <c r="M1595" t="n">
        <v>0.194</v>
      </c>
    </row>
    <row r="1596" spans="1:13">
      <c r="A1596" s="1">
        <f>HYPERLINK("http://www.twitter.com/NathanBLawrence/status/992524333972119552", "992524333972119552")</f>
        <v/>
      </c>
      <c r="B1596" s="2" t="n">
        <v>43224.91685185185</v>
      </c>
      <c r="C1596" t="n">
        <v>0</v>
      </c>
      <c r="D1596" t="n">
        <v>0</v>
      </c>
      <c r="E1596" t="s">
        <v>1591</v>
      </c>
      <c r="F1596" t="s"/>
      <c r="G1596" t="s"/>
      <c r="H1596" t="s"/>
      <c r="I1596" t="s"/>
      <c r="J1596" t="n">
        <v>0.296</v>
      </c>
      <c r="K1596" t="n">
        <v>0</v>
      </c>
      <c r="L1596" t="n">
        <v>0.864</v>
      </c>
      <c r="M1596" t="n">
        <v>0.136</v>
      </c>
    </row>
    <row r="1597" spans="1:13">
      <c r="A1597" s="1">
        <f>HYPERLINK("http://www.twitter.com/NathanBLawrence/status/992513378601062400", "992513378601062400")</f>
        <v/>
      </c>
      <c r="B1597" s="2" t="n">
        <v>43224.88662037037</v>
      </c>
      <c r="C1597" t="n">
        <v>0</v>
      </c>
      <c r="D1597" t="n">
        <v>0</v>
      </c>
      <c r="E1597" t="s">
        <v>1592</v>
      </c>
      <c r="F1597" t="s"/>
      <c r="G1597" t="s"/>
      <c r="H1597" t="s"/>
      <c r="I1597" t="s"/>
      <c r="J1597" t="n">
        <v>-0.6899999999999999</v>
      </c>
      <c r="K1597" t="n">
        <v>0.149</v>
      </c>
      <c r="L1597" t="n">
        <v>0.8129999999999999</v>
      </c>
      <c r="M1597" t="n">
        <v>0.039</v>
      </c>
    </row>
    <row r="1598" spans="1:13">
      <c r="A1598" s="1">
        <f>HYPERLINK("http://www.twitter.com/NathanBLawrence/status/992506870614110209", "992506870614110209")</f>
        <v/>
      </c>
      <c r="B1598" s="2" t="n">
        <v>43224.86865740741</v>
      </c>
      <c r="C1598" t="n">
        <v>0</v>
      </c>
      <c r="D1598" t="n">
        <v>0</v>
      </c>
      <c r="E1598" t="s">
        <v>1593</v>
      </c>
      <c r="F1598" t="s"/>
      <c r="G1598" t="s"/>
      <c r="H1598" t="s"/>
      <c r="I1598" t="s"/>
      <c r="J1598" t="n">
        <v>0.1027</v>
      </c>
      <c r="K1598" t="n">
        <v>0.059</v>
      </c>
      <c r="L1598" t="n">
        <v>0.849</v>
      </c>
      <c r="M1598" t="n">
        <v>0.092</v>
      </c>
    </row>
    <row r="1599" spans="1:13">
      <c r="A1599" s="1">
        <f>HYPERLINK("http://www.twitter.com/NathanBLawrence/status/992505886080995329", "992505886080995329")</f>
        <v/>
      </c>
      <c r="B1599" s="2" t="n">
        <v>43224.8659375</v>
      </c>
      <c r="C1599" t="n">
        <v>1</v>
      </c>
      <c r="D1599" t="n">
        <v>0</v>
      </c>
      <c r="E1599" t="s">
        <v>1594</v>
      </c>
      <c r="F1599" t="s"/>
      <c r="G1599" t="s"/>
      <c r="H1599" t="s"/>
      <c r="I1599" t="s"/>
      <c r="J1599" t="n">
        <v>-0.5613</v>
      </c>
      <c r="K1599" t="n">
        <v>0.154</v>
      </c>
      <c r="L1599" t="n">
        <v>0.778</v>
      </c>
      <c r="M1599" t="n">
        <v>0.068</v>
      </c>
    </row>
    <row r="1600" spans="1:13">
      <c r="A1600" s="1">
        <f>HYPERLINK("http://www.twitter.com/NathanBLawrence/status/992504908048949249", "992504908048949249")</f>
        <v/>
      </c>
      <c r="B1600" s="2" t="n">
        <v>43224.86324074074</v>
      </c>
      <c r="C1600" t="n">
        <v>0</v>
      </c>
      <c r="D1600" t="n">
        <v>0</v>
      </c>
      <c r="E1600" t="s">
        <v>1595</v>
      </c>
      <c r="F1600" t="s"/>
      <c r="G1600" t="s"/>
      <c r="H1600" t="s"/>
      <c r="I1600" t="s"/>
      <c r="J1600" t="n">
        <v>-0.9388</v>
      </c>
      <c r="K1600" t="n">
        <v>0.349</v>
      </c>
      <c r="L1600" t="n">
        <v>0.651</v>
      </c>
      <c r="M1600" t="n">
        <v>0</v>
      </c>
    </row>
    <row r="1601" spans="1:13">
      <c r="A1601" s="1">
        <f>HYPERLINK("http://www.twitter.com/NathanBLawrence/status/992465313991192576", "992465313991192576")</f>
        <v/>
      </c>
      <c r="B1601" s="2" t="n">
        <v>43224.75398148148</v>
      </c>
      <c r="C1601" t="n">
        <v>1</v>
      </c>
      <c r="D1601" t="n">
        <v>1</v>
      </c>
      <c r="E1601" t="s">
        <v>1596</v>
      </c>
      <c r="F1601" t="s"/>
      <c r="G1601" t="s"/>
      <c r="H1601" t="s"/>
      <c r="I1601" t="s"/>
      <c r="J1601" t="n">
        <v>0.2732</v>
      </c>
      <c r="K1601" t="n">
        <v>0</v>
      </c>
      <c r="L1601" t="n">
        <v>0.769</v>
      </c>
      <c r="M1601" t="n">
        <v>0.231</v>
      </c>
    </row>
    <row r="1602" spans="1:13">
      <c r="A1602" s="1">
        <f>HYPERLINK("http://www.twitter.com/NathanBLawrence/status/992465124890939394", "992465124890939394")</f>
        <v/>
      </c>
      <c r="B1602" s="2" t="n">
        <v>43224.75346064815</v>
      </c>
      <c r="C1602" t="n">
        <v>0</v>
      </c>
      <c r="D1602" t="n">
        <v>2</v>
      </c>
      <c r="E1602" t="s">
        <v>1597</v>
      </c>
      <c r="F1602" t="s"/>
      <c r="G1602" t="s"/>
      <c r="H1602" t="s"/>
      <c r="I1602" t="s"/>
      <c r="J1602" t="n">
        <v>0</v>
      </c>
      <c r="K1602" t="n">
        <v>0</v>
      </c>
      <c r="L1602" t="n">
        <v>1</v>
      </c>
      <c r="M1602" t="n">
        <v>0</v>
      </c>
    </row>
    <row r="1603" spans="1:13">
      <c r="A1603" s="1">
        <f>HYPERLINK("http://www.twitter.com/NathanBLawrence/status/992464945404096513", "992464945404096513")</f>
        <v/>
      </c>
      <c r="B1603" s="2" t="n">
        <v>43224.75296296296</v>
      </c>
      <c r="C1603" t="n">
        <v>1</v>
      </c>
      <c r="D1603" t="n">
        <v>1</v>
      </c>
      <c r="E1603" t="s">
        <v>1598</v>
      </c>
      <c r="F1603" t="s"/>
      <c r="G1603" t="s"/>
      <c r="H1603" t="s"/>
      <c r="I1603" t="s"/>
      <c r="J1603" t="n">
        <v>-0.3624</v>
      </c>
      <c r="K1603" t="n">
        <v>0.181</v>
      </c>
      <c r="L1603" t="n">
        <v>0.664</v>
      </c>
      <c r="M1603" t="n">
        <v>0.155</v>
      </c>
    </row>
    <row r="1604" spans="1:13">
      <c r="A1604" s="1">
        <f>HYPERLINK("http://www.twitter.com/NathanBLawrence/status/992459693258891265", "992459693258891265")</f>
        <v/>
      </c>
      <c r="B1604" s="2" t="n">
        <v>43224.73847222222</v>
      </c>
      <c r="C1604" t="n">
        <v>6</v>
      </c>
      <c r="D1604" t="n">
        <v>3</v>
      </c>
      <c r="E1604" t="s">
        <v>1599</v>
      </c>
      <c r="F1604" t="s"/>
      <c r="G1604" t="s"/>
      <c r="H1604" t="s"/>
      <c r="I1604" t="s"/>
      <c r="J1604" t="n">
        <v>-0.128</v>
      </c>
      <c r="K1604" t="n">
        <v>0.18</v>
      </c>
      <c r="L1604" t="n">
        <v>0.669</v>
      </c>
      <c r="M1604" t="n">
        <v>0.151</v>
      </c>
    </row>
    <row r="1605" spans="1:13">
      <c r="A1605" s="1">
        <f>HYPERLINK("http://www.twitter.com/NathanBLawrence/status/992457775270817794", "992457775270817794")</f>
        <v/>
      </c>
      <c r="B1605" s="2" t="n">
        <v>43224.73318287037</v>
      </c>
      <c r="C1605" t="n">
        <v>0</v>
      </c>
      <c r="D1605" t="n">
        <v>18</v>
      </c>
      <c r="E1605" t="s">
        <v>1600</v>
      </c>
      <c r="F1605">
        <f>HYPERLINK("http://pbs.twimg.com/media/DcXE80FVwAASMmt.jpg", "http://pbs.twimg.com/media/DcXE80FVwAASMmt.jpg")</f>
        <v/>
      </c>
      <c r="G1605">
        <f>HYPERLINK("http://pbs.twimg.com/media/DcXE80FVAAA63iU.jpg", "http://pbs.twimg.com/media/DcXE80FVAAA63iU.jpg")</f>
        <v/>
      </c>
      <c r="H1605">
        <f>HYPERLINK("http://pbs.twimg.com/media/DcXE80MVAAI3pxA.jpg", "http://pbs.twimg.com/media/DcXE80MVAAI3pxA.jpg")</f>
        <v/>
      </c>
      <c r="I1605" t="s"/>
      <c r="J1605" t="n">
        <v>0</v>
      </c>
      <c r="K1605" t="n">
        <v>0</v>
      </c>
      <c r="L1605" t="n">
        <v>1</v>
      </c>
      <c r="M1605" t="n">
        <v>0</v>
      </c>
    </row>
    <row r="1606" spans="1:13">
      <c r="A1606" s="1">
        <f>HYPERLINK("http://www.twitter.com/NathanBLawrence/status/992428726163034113", "992428726163034113")</f>
        <v/>
      </c>
      <c r="B1606" s="2" t="n">
        <v>43224.65302083334</v>
      </c>
      <c r="C1606" t="n">
        <v>1</v>
      </c>
      <c r="D1606" t="n">
        <v>0</v>
      </c>
      <c r="E1606" t="s">
        <v>1601</v>
      </c>
      <c r="F1606" t="s"/>
      <c r="G1606" t="s"/>
      <c r="H1606" t="s"/>
      <c r="I1606" t="s"/>
      <c r="J1606" t="n">
        <v>0.8574000000000001</v>
      </c>
      <c r="K1606" t="n">
        <v>0</v>
      </c>
      <c r="L1606" t="n">
        <v>0.733</v>
      </c>
      <c r="M1606" t="n">
        <v>0.267</v>
      </c>
    </row>
    <row r="1607" spans="1:13">
      <c r="A1607" s="1">
        <f>HYPERLINK("http://www.twitter.com/NathanBLawrence/status/992411395101687808", "992411395101687808")</f>
        <v/>
      </c>
      <c r="B1607" s="2" t="n">
        <v>43224.60519675926</v>
      </c>
      <c r="C1607" t="n">
        <v>0</v>
      </c>
      <c r="D1607" t="n">
        <v>0</v>
      </c>
      <c r="E1607" t="s">
        <v>1602</v>
      </c>
      <c r="F1607" t="s"/>
      <c r="G1607" t="s"/>
      <c r="H1607" t="s"/>
      <c r="I1607" t="s"/>
      <c r="J1607" t="n">
        <v>-0.3976</v>
      </c>
      <c r="K1607" t="n">
        <v>0.182</v>
      </c>
      <c r="L1607" t="n">
        <v>0.8179999999999999</v>
      </c>
      <c r="M1607" t="n">
        <v>0</v>
      </c>
    </row>
    <row r="1608" spans="1:13">
      <c r="A1608" s="1">
        <f>HYPERLINK("http://www.twitter.com/NathanBLawrence/status/992411106445529088", "992411106445529088")</f>
        <v/>
      </c>
      <c r="B1608" s="2" t="n">
        <v>43224.60439814815</v>
      </c>
      <c r="C1608" t="n">
        <v>0</v>
      </c>
      <c r="D1608" t="n">
        <v>0</v>
      </c>
      <c r="E1608" t="s">
        <v>1603</v>
      </c>
      <c r="F1608" t="s"/>
      <c r="G1608" t="s"/>
      <c r="H1608" t="s"/>
      <c r="I1608" t="s"/>
      <c r="J1608" t="n">
        <v>-0.34</v>
      </c>
      <c r="K1608" t="n">
        <v>0.211</v>
      </c>
      <c r="L1608" t="n">
        <v>0.789</v>
      </c>
      <c r="M1608" t="n">
        <v>0</v>
      </c>
    </row>
    <row r="1609" spans="1:13">
      <c r="A1609" s="1">
        <f>HYPERLINK("http://www.twitter.com/NathanBLawrence/status/992386971346579457", "992386971346579457")</f>
        <v/>
      </c>
      <c r="B1609" s="2" t="n">
        <v>43224.53780092593</v>
      </c>
      <c r="C1609" t="n">
        <v>0</v>
      </c>
      <c r="D1609" t="n">
        <v>3</v>
      </c>
      <c r="E1609" t="s">
        <v>1604</v>
      </c>
      <c r="F1609" t="s"/>
      <c r="G1609" t="s"/>
      <c r="H1609" t="s"/>
      <c r="I1609" t="s"/>
      <c r="J1609" t="n">
        <v>0</v>
      </c>
      <c r="K1609" t="n">
        <v>0</v>
      </c>
      <c r="L1609" t="n">
        <v>1</v>
      </c>
      <c r="M1609" t="n">
        <v>0</v>
      </c>
    </row>
    <row r="1610" spans="1:13">
      <c r="A1610" s="1">
        <f>HYPERLINK("http://www.twitter.com/NathanBLawrence/status/992386874202316800", "992386874202316800")</f>
        <v/>
      </c>
      <c r="B1610" s="2" t="n">
        <v>43224.53753472222</v>
      </c>
      <c r="C1610" t="n">
        <v>0</v>
      </c>
      <c r="D1610" t="n">
        <v>5</v>
      </c>
      <c r="E1610" t="s">
        <v>1605</v>
      </c>
      <c r="F1610" t="s"/>
      <c r="G1610" t="s"/>
      <c r="H1610" t="s"/>
      <c r="I1610" t="s"/>
      <c r="J1610" t="n">
        <v>0.4382</v>
      </c>
      <c r="K1610" t="n">
        <v>0.128</v>
      </c>
      <c r="L1610" t="n">
        <v>0.605</v>
      </c>
      <c r="M1610" t="n">
        <v>0.267</v>
      </c>
    </row>
    <row r="1611" spans="1:13">
      <c r="A1611" s="1">
        <f>HYPERLINK("http://www.twitter.com/NathanBLawrence/status/992386676889616390", "992386676889616390")</f>
        <v/>
      </c>
      <c r="B1611" s="2" t="n">
        <v>43224.53699074074</v>
      </c>
      <c r="C1611" t="n">
        <v>0</v>
      </c>
      <c r="D1611" t="n">
        <v>2</v>
      </c>
      <c r="E1611" t="s">
        <v>1606</v>
      </c>
      <c r="F1611" t="s"/>
      <c r="G1611" t="s"/>
      <c r="H1611" t="s"/>
      <c r="I1611" t="s"/>
      <c r="J1611" t="n">
        <v>-0.0516</v>
      </c>
      <c r="K1611" t="n">
        <v>0.157</v>
      </c>
      <c r="L1611" t="n">
        <v>0.696</v>
      </c>
      <c r="M1611" t="n">
        <v>0.148</v>
      </c>
    </row>
    <row r="1612" spans="1:13">
      <c r="A1612" s="1">
        <f>HYPERLINK("http://www.twitter.com/NathanBLawrence/status/992386057877540864", "992386057877540864")</f>
        <v/>
      </c>
      <c r="B1612" s="2" t="n">
        <v>43224.53527777778</v>
      </c>
      <c r="C1612" t="n">
        <v>0</v>
      </c>
      <c r="D1612" t="n">
        <v>9</v>
      </c>
      <c r="E1612" t="s">
        <v>1607</v>
      </c>
      <c r="F1612" t="s"/>
      <c r="G1612" t="s"/>
      <c r="H1612" t="s"/>
      <c r="I1612" t="s"/>
      <c r="J1612" t="n">
        <v>0.3612</v>
      </c>
      <c r="K1612" t="n">
        <v>0</v>
      </c>
      <c r="L1612" t="n">
        <v>0.889</v>
      </c>
      <c r="M1612" t="n">
        <v>0.111</v>
      </c>
    </row>
    <row r="1613" spans="1:13">
      <c r="A1613" s="1">
        <f>HYPERLINK("http://www.twitter.com/NathanBLawrence/status/992370732897374208", "992370732897374208")</f>
        <v/>
      </c>
      <c r="B1613" s="2" t="n">
        <v>43224.49298611111</v>
      </c>
      <c r="C1613" t="n">
        <v>0</v>
      </c>
      <c r="D1613" t="n">
        <v>3</v>
      </c>
      <c r="E1613" t="s">
        <v>1608</v>
      </c>
      <c r="F1613">
        <f>HYPERLINK("http://pbs.twimg.com/media/DcOftzYWsAAhlu-.jpg", "http://pbs.twimg.com/media/DcOftzYWsAAhlu-.jpg")</f>
        <v/>
      </c>
      <c r="G1613" t="s"/>
      <c r="H1613" t="s"/>
      <c r="I1613" t="s"/>
      <c r="J1613" t="n">
        <v>0</v>
      </c>
      <c r="K1613" t="n">
        <v>0</v>
      </c>
      <c r="L1613" t="n">
        <v>1</v>
      </c>
      <c r="M1613" t="n">
        <v>0</v>
      </c>
    </row>
    <row r="1614" spans="1:13">
      <c r="A1614" s="1">
        <f>HYPERLINK("http://www.twitter.com/NathanBLawrence/status/992265419472781312", "992265419472781312")</f>
        <v/>
      </c>
      <c r="B1614" s="2" t="n">
        <v>43224.20238425926</v>
      </c>
      <c r="C1614" t="n">
        <v>0</v>
      </c>
      <c r="D1614" t="n">
        <v>1</v>
      </c>
      <c r="E1614" t="s">
        <v>1609</v>
      </c>
      <c r="F1614" t="s"/>
      <c r="G1614" t="s"/>
      <c r="H1614" t="s"/>
      <c r="I1614" t="s"/>
      <c r="J1614" t="n">
        <v>0.0772</v>
      </c>
      <c r="K1614" t="n">
        <v>0.167</v>
      </c>
      <c r="L1614" t="n">
        <v>0.651</v>
      </c>
      <c r="M1614" t="n">
        <v>0.181</v>
      </c>
    </row>
    <row r="1615" spans="1:13">
      <c r="A1615" s="1">
        <f>HYPERLINK("http://www.twitter.com/NathanBLawrence/status/992265390326669312", "992265390326669312")</f>
        <v/>
      </c>
      <c r="B1615" s="2" t="n">
        <v>43224.20230324074</v>
      </c>
      <c r="C1615" t="n">
        <v>0</v>
      </c>
      <c r="D1615" t="n">
        <v>2</v>
      </c>
      <c r="E1615" t="s">
        <v>1610</v>
      </c>
      <c r="F1615" t="s"/>
      <c r="G1615" t="s"/>
      <c r="H1615" t="s"/>
      <c r="I1615" t="s"/>
      <c r="J1615" t="n">
        <v>0.7574</v>
      </c>
      <c r="K1615" t="n">
        <v>0</v>
      </c>
      <c r="L1615" t="n">
        <v>0.735</v>
      </c>
      <c r="M1615" t="n">
        <v>0.265</v>
      </c>
    </row>
    <row r="1616" spans="1:13">
      <c r="A1616" s="1">
        <f>HYPERLINK("http://www.twitter.com/NathanBLawrence/status/992263244776591360", "992263244776591360")</f>
        <v/>
      </c>
      <c r="B1616" s="2" t="n">
        <v>43224.19637731482</v>
      </c>
      <c r="C1616" t="n">
        <v>0</v>
      </c>
      <c r="D1616" t="n">
        <v>0</v>
      </c>
      <c r="E1616" t="s">
        <v>1611</v>
      </c>
      <c r="F1616" t="s"/>
      <c r="G1616" t="s"/>
      <c r="H1616" t="s"/>
      <c r="I1616" t="s"/>
      <c r="J1616" t="n">
        <v>0</v>
      </c>
      <c r="K1616" t="n">
        <v>0</v>
      </c>
      <c r="L1616" t="n">
        <v>1</v>
      </c>
      <c r="M1616" t="n">
        <v>0</v>
      </c>
    </row>
    <row r="1617" spans="1:13">
      <c r="A1617" s="1">
        <f>HYPERLINK("http://www.twitter.com/NathanBLawrence/status/992258726286389248", "992258726286389248")</f>
        <v/>
      </c>
      <c r="B1617" s="2" t="n">
        <v>43224.18391203704</v>
      </c>
      <c r="C1617" t="n">
        <v>4</v>
      </c>
      <c r="D1617" t="n">
        <v>2</v>
      </c>
      <c r="E1617" t="s">
        <v>1612</v>
      </c>
      <c r="F1617" t="s"/>
      <c r="G1617" t="s"/>
      <c r="H1617" t="s"/>
      <c r="I1617" t="s"/>
      <c r="J1617" t="n">
        <v>0.7816</v>
      </c>
      <c r="K1617" t="n">
        <v>0</v>
      </c>
      <c r="L1617" t="n">
        <v>0.828</v>
      </c>
      <c r="M1617" t="n">
        <v>0.172</v>
      </c>
    </row>
    <row r="1618" spans="1:13">
      <c r="A1618" s="1">
        <f>HYPERLINK("http://www.twitter.com/NathanBLawrence/status/992257705023651841", "992257705023651841")</f>
        <v/>
      </c>
      <c r="B1618" s="2" t="n">
        <v>43224.18108796296</v>
      </c>
      <c r="C1618" t="n">
        <v>1</v>
      </c>
      <c r="D1618" t="n">
        <v>1</v>
      </c>
      <c r="E1618" t="s">
        <v>1613</v>
      </c>
      <c r="F1618" t="s"/>
      <c r="G1618" t="s"/>
      <c r="H1618" t="s"/>
      <c r="I1618" t="s"/>
      <c r="J1618" t="n">
        <v>0.0772</v>
      </c>
      <c r="K1618" t="n">
        <v>0.185</v>
      </c>
      <c r="L1618" t="n">
        <v>0.615</v>
      </c>
      <c r="M1618" t="n">
        <v>0.2</v>
      </c>
    </row>
    <row r="1619" spans="1:13">
      <c r="A1619" s="1">
        <f>HYPERLINK("http://www.twitter.com/NathanBLawrence/status/992254419533119491", "992254419533119491")</f>
        <v/>
      </c>
      <c r="B1619" s="2" t="n">
        <v>43224.17202546296</v>
      </c>
      <c r="C1619" t="n">
        <v>0</v>
      </c>
      <c r="D1619" t="n">
        <v>30</v>
      </c>
      <c r="E1619" t="s">
        <v>1614</v>
      </c>
      <c r="F1619" t="s"/>
      <c r="G1619" t="s"/>
      <c r="H1619" t="s"/>
      <c r="I1619" t="s"/>
      <c r="J1619" t="n">
        <v>-0.6115</v>
      </c>
      <c r="K1619" t="n">
        <v>0.16</v>
      </c>
      <c r="L1619" t="n">
        <v>0.84</v>
      </c>
      <c r="M1619" t="n">
        <v>0</v>
      </c>
    </row>
    <row r="1620" spans="1:13">
      <c r="A1620" s="1">
        <f>HYPERLINK("http://www.twitter.com/NathanBLawrence/status/992252945835081730", "992252945835081730")</f>
        <v/>
      </c>
      <c r="B1620" s="2" t="n">
        <v>43224.16796296297</v>
      </c>
      <c r="C1620" t="n">
        <v>0</v>
      </c>
      <c r="D1620" t="n">
        <v>0</v>
      </c>
      <c r="E1620" t="s">
        <v>1615</v>
      </c>
      <c r="F1620" t="s"/>
      <c r="G1620" t="s"/>
      <c r="H1620" t="s"/>
      <c r="I1620" t="s"/>
      <c r="J1620" t="n">
        <v>0.6966</v>
      </c>
      <c r="K1620" t="n">
        <v>0</v>
      </c>
      <c r="L1620" t="n">
        <v>0.891</v>
      </c>
      <c r="M1620" t="n">
        <v>0.109</v>
      </c>
    </row>
    <row r="1621" spans="1:13">
      <c r="A1621" s="1">
        <f>HYPERLINK("http://www.twitter.com/NathanBLawrence/status/992251386682208256", "992251386682208256")</f>
        <v/>
      </c>
      <c r="B1621" s="2" t="n">
        <v>43224.16365740741</v>
      </c>
      <c r="C1621" t="n">
        <v>0</v>
      </c>
      <c r="D1621" t="n">
        <v>0</v>
      </c>
      <c r="E1621" t="s">
        <v>1616</v>
      </c>
      <c r="F1621" t="s"/>
      <c r="G1621" t="s"/>
      <c r="H1621" t="s"/>
      <c r="I1621" t="s"/>
      <c r="J1621" t="n">
        <v>0.5913</v>
      </c>
      <c r="K1621" t="n">
        <v>0</v>
      </c>
      <c r="L1621" t="n">
        <v>0.869</v>
      </c>
      <c r="M1621" t="n">
        <v>0.131</v>
      </c>
    </row>
    <row r="1622" spans="1:13">
      <c r="A1622" s="1">
        <f>HYPERLINK("http://www.twitter.com/NathanBLawrence/status/992243158233829376", "992243158233829376")</f>
        <v/>
      </c>
      <c r="B1622" s="2" t="n">
        <v>43224.14094907408</v>
      </c>
      <c r="C1622" t="n">
        <v>0</v>
      </c>
      <c r="D1622" t="n">
        <v>0</v>
      </c>
      <c r="E1622" t="s">
        <v>1617</v>
      </c>
      <c r="F1622" t="s"/>
      <c r="G1622" t="s"/>
      <c r="H1622" t="s"/>
      <c r="I1622" t="s"/>
      <c r="J1622" t="n">
        <v>-0.3736</v>
      </c>
      <c r="K1622" t="n">
        <v>0.066</v>
      </c>
      <c r="L1622" t="n">
        <v>0.9340000000000001</v>
      </c>
      <c r="M1622" t="n">
        <v>0</v>
      </c>
    </row>
    <row r="1623" spans="1:13">
      <c r="A1623" s="1">
        <f>HYPERLINK("http://www.twitter.com/NathanBLawrence/status/992241912101781507", "992241912101781507")</f>
        <v/>
      </c>
      <c r="B1623" s="2" t="n">
        <v>43224.13751157407</v>
      </c>
      <c r="C1623" t="n">
        <v>1</v>
      </c>
      <c r="D1623" t="n">
        <v>0</v>
      </c>
      <c r="E1623" t="s">
        <v>1618</v>
      </c>
      <c r="F1623" t="s"/>
      <c r="G1623" t="s"/>
      <c r="H1623" t="s"/>
      <c r="I1623" t="s"/>
      <c r="J1623" t="n">
        <v>0.163</v>
      </c>
      <c r="K1623" t="n">
        <v>0.082</v>
      </c>
      <c r="L1623" t="n">
        <v>0.821</v>
      </c>
      <c r="M1623" t="n">
        <v>0.097</v>
      </c>
    </row>
    <row r="1624" spans="1:13">
      <c r="A1624" s="1">
        <f>HYPERLINK("http://www.twitter.com/NathanBLawrence/status/992166753135480832", "992166753135480832")</f>
        <v/>
      </c>
      <c r="B1624" s="2" t="n">
        <v>43223.93011574074</v>
      </c>
      <c r="C1624" t="n">
        <v>1</v>
      </c>
      <c r="D1624" t="n">
        <v>0</v>
      </c>
      <c r="E1624" t="s">
        <v>1619</v>
      </c>
      <c r="F1624" t="s"/>
      <c r="G1624" t="s"/>
      <c r="H1624" t="s"/>
      <c r="I1624" t="s"/>
      <c r="J1624" t="n">
        <v>-0.8401999999999999</v>
      </c>
      <c r="K1624" t="n">
        <v>0.176</v>
      </c>
      <c r="L1624" t="n">
        <v>0.824</v>
      </c>
      <c r="M1624" t="n">
        <v>0</v>
      </c>
    </row>
    <row r="1625" spans="1:13">
      <c r="A1625" s="1">
        <f>HYPERLINK("http://www.twitter.com/NathanBLawrence/status/992165832720633856", "992165832720633856")</f>
        <v/>
      </c>
      <c r="B1625" s="2" t="n">
        <v>43223.92756944444</v>
      </c>
      <c r="C1625" t="n">
        <v>0</v>
      </c>
      <c r="D1625" t="n">
        <v>5</v>
      </c>
      <c r="E1625" t="s">
        <v>1620</v>
      </c>
      <c r="F1625" t="s"/>
      <c r="G1625" t="s"/>
      <c r="H1625" t="s"/>
      <c r="I1625" t="s"/>
      <c r="J1625" t="n">
        <v>-0.2942</v>
      </c>
      <c r="K1625" t="n">
        <v>0.095</v>
      </c>
      <c r="L1625" t="n">
        <v>0.905</v>
      </c>
      <c r="M1625" t="n">
        <v>0</v>
      </c>
    </row>
    <row r="1626" spans="1:13">
      <c r="A1626" s="1">
        <f>HYPERLINK("http://www.twitter.com/NathanBLawrence/status/991899225255501824", "991899225255501824")</f>
        <v/>
      </c>
      <c r="B1626" s="2" t="n">
        <v>43223.191875</v>
      </c>
      <c r="C1626" t="n">
        <v>0</v>
      </c>
      <c r="D1626" t="n">
        <v>2</v>
      </c>
      <c r="E1626" t="s">
        <v>1621</v>
      </c>
      <c r="F1626" t="s"/>
      <c r="G1626" t="s"/>
      <c r="H1626" t="s"/>
      <c r="I1626" t="s"/>
      <c r="J1626" t="n">
        <v>0</v>
      </c>
      <c r="K1626" t="n">
        <v>0</v>
      </c>
      <c r="L1626" t="n">
        <v>1</v>
      </c>
      <c r="M1626" t="n">
        <v>0</v>
      </c>
    </row>
    <row r="1627" spans="1:13">
      <c r="A1627" s="1">
        <f>HYPERLINK("http://www.twitter.com/NathanBLawrence/status/991898711671365632", "991898711671365632")</f>
        <v/>
      </c>
      <c r="B1627" s="2" t="n">
        <v>43223.19046296296</v>
      </c>
      <c r="C1627" t="n">
        <v>0</v>
      </c>
      <c r="D1627" t="n">
        <v>1</v>
      </c>
      <c r="E1627" t="s">
        <v>1622</v>
      </c>
      <c r="F1627" t="s"/>
      <c r="G1627" t="s"/>
      <c r="H1627" t="s"/>
      <c r="I1627" t="s"/>
      <c r="J1627" t="n">
        <v>-0.5719</v>
      </c>
      <c r="K1627" t="n">
        <v>0.198</v>
      </c>
      <c r="L1627" t="n">
        <v>0.802</v>
      </c>
      <c r="M1627" t="n">
        <v>0</v>
      </c>
    </row>
    <row r="1628" spans="1:13">
      <c r="A1628" s="1">
        <f>HYPERLINK("http://www.twitter.com/NathanBLawrence/status/991898104453566464", "991898104453566464")</f>
        <v/>
      </c>
      <c r="B1628" s="2" t="n">
        <v>43223.18878472222</v>
      </c>
      <c r="C1628" t="n">
        <v>2</v>
      </c>
      <c r="D1628" t="n">
        <v>1</v>
      </c>
      <c r="E1628" t="s">
        <v>1623</v>
      </c>
      <c r="F1628" t="s"/>
      <c r="G1628" t="s"/>
      <c r="H1628" t="s"/>
      <c r="I1628" t="s"/>
      <c r="J1628" t="n">
        <v>-0.7783</v>
      </c>
      <c r="K1628" t="n">
        <v>0.286</v>
      </c>
      <c r="L1628" t="n">
        <v>0.714</v>
      </c>
      <c r="M1628" t="n">
        <v>0</v>
      </c>
    </row>
    <row r="1629" spans="1:13">
      <c r="A1629" s="1">
        <f>HYPERLINK("http://www.twitter.com/NathanBLawrence/status/991896423582101504", "991896423582101504")</f>
        <v/>
      </c>
      <c r="B1629" s="2" t="n">
        <v>43223.18414351852</v>
      </c>
      <c r="C1629" t="n">
        <v>0</v>
      </c>
      <c r="D1629" t="n">
        <v>0</v>
      </c>
      <c r="E1629" t="s">
        <v>1624</v>
      </c>
      <c r="F1629" t="s"/>
      <c r="G1629" t="s"/>
      <c r="H1629" t="s"/>
      <c r="I1629" t="s"/>
      <c r="J1629" t="n">
        <v>-0.8807</v>
      </c>
      <c r="K1629" t="n">
        <v>0.258</v>
      </c>
      <c r="L1629" t="n">
        <v>0.699</v>
      </c>
      <c r="M1629" t="n">
        <v>0.042</v>
      </c>
    </row>
    <row r="1630" spans="1:13">
      <c r="A1630" s="1">
        <f>HYPERLINK("http://www.twitter.com/NathanBLawrence/status/991895533387239429", "991895533387239429")</f>
        <v/>
      </c>
      <c r="B1630" s="2" t="n">
        <v>43223.18168981482</v>
      </c>
      <c r="C1630" t="n">
        <v>0</v>
      </c>
      <c r="D1630" t="n">
        <v>2</v>
      </c>
      <c r="E1630" t="s">
        <v>1625</v>
      </c>
      <c r="F1630" t="s"/>
      <c r="G1630" t="s"/>
      <c r="H1630" t="s"/>
      <c r="I1630" t="s"/>
      <c r="J1630" t="n">
        <v>0.6623</v>
      </c>
      <c r="K1630" t="n">
        <v>0</v>
      </c>
      <c r="L1630" t="n">
        <v>0.758</v>
      </c>
      <c r="M1630" t="n">
        <v>0.242</v>
      </c>
    </row>
    <row r="1631" spans="1:13">
      <c r="A1631" s="1">
        <f>HYPERLINK("http://www.twitter.com/NathanBLawrence/status/991895502282215424", "991895502282215424")</f>
        <v/>
      </c>
      <c r="B1631" s="2" t="n">
        <v>43223.18159722222</v>
      </c>
      <c r="C1631" t="n">
        <v>0</v>
      </c>
      <c r="D1631" t="n">
        <v>1</v>
      </c>
      <c r="E1631" t="s">
        <v>1626</v>
      </c>
      <c r="F1631" t="s"/>
      <c r="G1631" t="s"/>
      <c r="H1631" t="s"/>
      <c r="I1631" t="s"/>
      <c r="J1631" t="n">
        <v>0.7003</v>
      </c>
      <c r="K1631" t="n">
        <v>0</v>
      </c>
      <c r="L1631" t="n">
        <v>0.736</v>
      </c>
      <c r="M1631" t="n">
        <v>0.264</v>
      </c>
    </row>
    <row r="1632" spans="1:13">
      <c r="A1632" s="1">
        <f>HYPERLINK("http://www.twitter.com/NathanBLawrence/status/991894833122947072", "991894833122947072")</f>
        <v/>
      </c>
      <c r="B1632" s="2" t="n">
        <v>43223.17975694445</v>
      </c>
      <c r="C1632" t="n">
        <v>0</v>
      </c>
      <c r="D1632" t="n">
        <v>0</v>
      </c>
      <c r="E1632" t="s">
        <v>1627</v>
      </c>
      <c r="F1632" t="s"/>
      <c r="G1632" t="s"/>
      <c r="H1632" t="s"/>
      <c r="I1632" t="s"/>
      <c r="J1632" t="n">
        <v>0.3182</v>
      </c>
      <c r="K1632" t="n">
        <v>0.091</v>
      </c>
      <c r="L1632" t="n">
        <v>0.741</v>
      </c>
      <c r="M1632" t="n">
        <v>0.168</v>
      </c>
    </row>
    <row r="1633" spans="1:13">
      <c r="A1633" s="1">
        <f>HYPERLINK("http://www.twitter.com/NathanBLawrence/status/991894439260966912", "991894439260966912")</f>
        <v/>
      </c>
      <c r="B1633" s="2" t="n">
        <v>43223.17866898148</v>
      </c>
      <c r="C1633" t="n">
        <v>0</v>
      </c>
      <c r="D1633" t="n">
        <v>5</v>
      </c>
      <c r="E1633" t="s">
        <v>1628</v>
      </c>
      <c r="F1633" t="s"/>
      <c r="G1633" t="s"/>
      <c r="H1633" t="s"/>
      <c r="I1633" t="s"/>
      <c r="J1633" t="n">
        <v>-0.4404</v>
      </c>
      <c r="K1633" t="n">
        <v>0.187</v>
      </c>
      <c r="L1633" t="n">
        <v>0.727</v>
      </c>
      <c r="M1633" t="n">
        <v>0.08699999999999999</v>
      </c>
    </row>
    <row r="1634" spans="1:13">
      <c r="A1634" s="1">
        <f>HYPERLINK("http://www.twitter.com/NathanBLawrence/status/991894382251991041", "991894382251991041")</f>
        <v/>
      </c>
      <c r="B1634" s="2" t="n">
        <v>43223.17850694444</v>
      </c>
      <c r="C1634" t="n">
        <v>0</v>
      </c>
      <c r="D1634" t="n">
        <v>5</v>
      </c>
      <c r="E1634" t="s">
        <v>1629</v>
      </c>
      <c r="F1634" t="s"/>
      <c r="G1634" t="s"/>
      <c r="H1634" t="s"/>
      <c r="I1634" t="s"/>
      <c r="J1634" t="n">
        <v>0</v>
      </c>
      <c r="K1634" t="n">
        <v>0</v>
      </c>
      <c r="L1634" t="n">
        <v>1</v>
      </c>
      <c r="M1634" t="n">
        <v>0</v>
      </c>
    </row>
    <row r="1635" spans="1:13">
      <c r="A1635" s="1">
        <f>HYPERLINK("http://www.twitter.com/NathanBLawrence/status/991894291881570304", "991894291881570304")</f>
        <v/>
      </c>
      <c r="B1635" s="2" t="n">
        <v>43223.17826388889</v>
      </c>
      <c r="C1635" t="n">
        <v>0</v>
      </c>
      <c r="D1635" t="n">
        <v>0</v>
      </c>
      <c r="E1635" t="s">
        <v>1630</v>
      </c>
      <c r="F1635" t="s"/>
      <c r="G1635" t="s"/>
      <c r="H1635" t="s"/>
      <c r="I1635" t="s"/>
      <c r="J1635" t="n">
        <v>-0.6808</v>
      </c>
      <c r="K1635" t="n">
        <v>0.483</v>
      </c>
      <c r="L1635" t="n">
        <v>0.517</v>
      </c>
      <c r="M1635" t="n">
        <v>0</v>
      </c>
    </row>
    <row r="1636" spans="1:13">
      <c r="A1636" s="1">
        <f>HYPERLINK("http://www.twitter.com/NathanBLawrence/status/991894245702361088", "991894245702361088")</f>
        <v/>
      </c>
      <c r="B1636" s="2" t="n">
        <v>43223.17813657408</v>
      </c>
      <c r="C1636" t="n">
        <v>0</v>
      </c>
      <c r="D1636" t="n">
        <v>5</v>
      </c>
      <c r="E1636" t="s">
        <v>1631</v>
      </c>
      <c r="F1636" t="s"/>
      <c r="G1636" t="s"/>
      <c r="H1636" t="s"/>
      <c r="I1636" t="s"/>
      <c r="J1636" t="n">
        <v>0.7846</v>
      </c>
      <c r="K1636" t="n">
        <v>0</v>
      </c>
      <c r="L1636" t="n">
        <v>0.67</v>
      </c>
      <c r="M1636" t="n">
        <v>0.33</v>
      </c>
    </row>
    <row r="1637" spans="1:13">
      <c r="A1637" s="1">
        <f>HYPERLINK("http://www.twitter.com/NathanBLawrence/status/991894202937217025", "991894202937217025")</f>
        <v/>
      </c>
      <c r="B1637" s="2" t="n">
        <v>43223.17802083334</v>
      </c>
      <c r="C1637" t="n">
        <v>0</v>
      </c>
      <c r="D1637" t="n">
        <v>0</v>
      </c>
      <c r="E1637" t="s">
        <v>1632</v>
      </c>
      <c r="F1637" t="s"/>
      <c r="G1637" t="s"/>
      <c r="H1637" t="s"/>
      <c r="I1637" t="s"/>
      <c r="J1637" t="n">
        <v>0.7184</v>
      </c>
      <c r="K1637" t="n">
        <v>0.109</v>
      </c>
      <c r="L1637" t="n">
        <v>0.647</v>
      </c>
      <c r="M1637" t="n">
        <v>0.243</v>
      </c>
    </row>
    <row r="1638" spans="1:13">
      <c r="A1638" s="1">
        <f>HYPERLINK("http://www.twitter.com/NathanBLawrence/status/991893317242634241", "991893317242634241")</f>
        <v/>
      </c>
      <c r="B1638" s="2" t="n">
        <v>43223.17556712963</v>
      </c>
      <c r="C1638" t="n">
        <v>0</v>
      </c>
      <c r="D1638" t="n">
        <v>4</v>
      </c>
      <c r="E1638" t="s">
        <v>1633</v>
      </c>
      <c r="F1638" t="s"/>
      <c r="G1638" t="s"/>
      <c r="H1638" t="s"/>
      <c r="I1638" t="s"/>
      <c r="J1638" t="n">
        <v>-0.8074</v>
      </c>
      <c r="K1638" t="n">
        <v>0.343</v>
      </c>
      <c r="L1638" t="n">
        <v>0.657</v>
      </c>
      <c r="M1638" t="n">
        <v>0</v>
      </c>
    </row>
    <row r="1639" spans="1:13">
      <c r="A1639" s="1">
        <f>HYPERLINK("http://www.twitter.com/NathanBLawrence/status/991893290382446592", "991893290382446592")</f>
        <v/>
      </c>
      <c r="B1639" s="2" t="n">
        <v>43223.17549768519</v>
      </c>
      <c r="C1639" t="n">
        <v>0</v>
      </c>
      <c r="D1639" t="n">
        <v>5</v>
      </c>
      <c r="E1639" t="s">
        <v>1634</v>
      </c>
      <c r="F1639" t="s"/>
      <c r="G1639" t="s"/>
      <c r="H1639" t="s"/>
      <c r="I1639" t="s"/>
      <c r="J1639" t="n">
        <v>0.5106000000000001</v>
      </c>
      <c r="K1639" t="n">
        <v>0</v>
      </c>
      <c r="L1639" t="n">
        <v>0.864</v>
      </c>
      <c r="M1639" t="n">
        <v>0.136</v>
      </c>
    </row>
    <row r="1640" spans="1:13">
      <c r="A1640" s="1">
        <f>HYPERLINK("http://www.twitter.com/NathanBLawrence/status/991893202167910400", "991893202167910400")</f>
        <v/>
      </c>
      <c r="B1640" s="2" t="n">
        <v>43223.17525462963</v>
      </c>
      <c r="C1640" t="n">
        <v>0</v>
      </c>
      <c r="D1640" t="n">
        <v>3</v>
      </c>
      <c r="E1640" t="s">
        <v>1635</v>
      </c>
      <c r="F1640" t="s"/>
      <c r="G1640" t="s"/>
      <c r="H1640" t="s"/>
      <c r="I1640" t="s"/>
      <c r="J1640" t="n">
        <v>0</v>
      </c>
      <c r="K1640" t="n">
        <v>0</v>
      </c>
      <c r="L1640" t="n">
        <v>1</v>
      </c>
      <c r="M1640" t="n">
        <v>0</v>
      </c>
    </row>
    <row r="1641" spans="1:13">
      <c r="A1641" s="1">
        <f>HYPERLINK("http://www.twitter.com/NathanBLawrence/status/991892197401227264", "991892197401227264")</f>
        <v/>
      </c>
      <c r="B1641" s="2" t="n">
        <v>43223.17247685185</v>
      </c>
      <c r="C1641" t="n">
        <v>0</v>
      </c>
      <c r="D1641" t="n">
        <v>0</v>
      </c>
      <c r="E1641" t="s">
        <v>1636</v>
      </c>
      <c r="F1641" t="s"/>
      <c r="G1641" t="s"/>
      <c r="H1641" t="s"/>
      <c r="I1641" t="s"/>
      <c r="J1641" t="n">
        <v>-0.6476</v>
      </c>
      <c r="K1641" t="n">
        <v>0.147</v>
      </c>
      <c r="L1641" t="n">
        <v>0.853</v>
      </c>
      <c r="M1641" t="n">
        <v>0</v>
      </c>
    </row>
    <row r="1642" spans="1:13">
      <c r="A1642" s="1">
        <f>HYPERLINK("http://www.twitter.com/NathanBLawrence/status/991889733260271616", "991889733260271616")</f>
        <v/>
      </c>
      <c r="B1642" s="2" t="n">
        <v>43223.16568287037</v>
      </c>
      <c r="C1642" t="n">
        <v>0</v>
      </c>
      <c r="D1642" t="n">
        <v>4</v>
      </c>
      <c r="E1642" t="s">
        <v>1637</v>
      </c>
      <c r="F1642" t="s"/>
      <c r="G1642" t="s"/>
      <c r="H1642" t="s"/>
      <c r="I1642" t="s"/>
      <c r="J1642" t="n">
        <v>0</v>
      </c>
      <c r="K1642" t="n">
        <v>0</v>
      </c>
      <c r="L1642" t="n">
        <v>1</v>
      </c>
      <c r="M1642" t="n">
        <v>0</v>
      </c>
    </row>
    <row r="1643" spans="1:13">
      <c r="A1643" s="1">
        <f>HYPERLINK("http://www.twitter.com/NathanBLawrence/status/991889661579743232", "991889661579743232")</f>
        <v/>
      </c>
      <c r="B1643" s="2" t="n">
        <v>43223.16548611111</v>
      </c>
      <c r="C1643" t="n">
        <v>0</v>
      </c>
      <c r="D1643" t="n">
        <v>0</v>
      </c>
      <c r="E1643" t="s">
        <v>1638</v>
      </c>
      <c r="F1643" t="s"/>
      <c r="G1643" t="s"/>
      <c r="H1643" t="s"/>
      <c r="I1643" t="s"/>
      <c r="J1643" t="n">
        <v>0.3612</v>
      </c>
      <c r="K1643" t="n">
        <v>0</v>
      </c>
      <c r="L1643" t="n">
        <v>0.921</v>
      </c>
      <c r="M1643" t="n">
        <v>0.079</v>
      </c>
    </row>
    <row r="1644" spans="1:13">
      <c r="A1644" s="1">
        <f>HYPERLINK("http://www.twitter.com/NathanBLawrence/status/991889234754617344", "991889234754617344")</f>
        <v/>
      </c>
      <c r="B1644" s="2" t="n">
        <v>43223.16430555555</v>
      </c>
      <c r="C1644" t="n">
        <v>0</v>
      </c>
      <c r="D1644" t="n">
        <v>7</v>
      </c>
      <c r="E1644" t="s">
        <v>1639</v>
      </c>
      <c r="F1644">
        <f>HYPERLINK("http://pbs.twimg.com/media/DcNKoAkXcAEPK-1.jpg", "http://pbs.twimg.com/media/DcNKoAkXcAEPK-1.jpg")</f>
        <v/>
      </c>
      <c r="G1644">
        <f>HYPERLINK("http://pbs.twimg.com/media/DcNKo-wWAAEFM1V.jpg", "http://pbs.twimg.com/media/DcNKo-wWAAEFM1V.jpg")</f>
        <v/>
      </c>
      <c r="H1644">
        <f>HYPERLINK("http://pbs.twimg.com/media/DcNKp_AWkAIANO1.jpg", "http://pbs.twimg.com/media/DcNKp_AWkAIANO1.jpg")</f>
        <v/>
      </c>
      <c r="I1644" t="s"/>
      <c r="J1644" t="n">
        <v>0.4548</v>
      </c>
      <c r="K1644" t="n">
        <v>0.05</v>
      </c>
      <c r="L1644" t="n">
        <v>0.819</v>
      </c>
      <c r="M1644" t="n">
        <v>0.131</v>
      </c>
    </row>
    <row r="1645" spans="1:13">
      <c r="A1645" s="1">
        <f>HYPERLINK("http://www.twitter.com/NathanBLawrence/status/991889118505394176", "991889118505394176")</f>
        <v/>
      </c>
      <c r="B1645" s="2" t="n">
        <v>43223.16398148148</v>
      </c>
      <c r="C1645" t="n">
        <v>0</v>
      </c>
      <c r="D1645" t="n">
        <v>0</v>
      </c>
      <c r="E1645" t="s">
        <v>1640</v>
      </c>
      <c r="F1645" t="s"/>
      <c r="G1645" t="s"/>
      <c r="H1645" t="s"/>
      <c r="I1645" t="s"/>
      <c r="J1645" t="n">
        <v>-0.2144</v>
      </c>
      <c r="K1645" t="n">
        <v>0.157</v>
      </c>
      <c r="L1645" t="n">
        <v>0.711</v>
      </c>
      <c r="M1645" t="n">
        <v>0.132</v>
      </c>
    </row>
    <row r="1646" spans="1:13">
      <c r="A1646" s="1">
        <f>HYPERLINK("http://www.twitter.com/NathanBLawrence/status/991884182740758528", "991884182740758528")</f>
        <v/>
      </c>
      <c r="B1646" s="2" t="n">
        <v>43223.15037037037</v>
      </c>
      <c r="C1646" t="n">
        <v>0</v>
      </c>
      <c r="D1646" t="n">
        <v>0</v>
      </c>
      <c r="E1646" t="s">
        <v>1641</v>
      </c>
      <c r="F1646">
        <f>HYPERLINK("http://pbs.twimg.com/media/DcPhZsPU0AA7OL5.jpg", "http://pbs.twimg.com/media/DcPhZsPU0AA7OL5.jpg")</f>
        <v/>
      </c>
      <c r="G1646" t="s"/>
      <c r="H1646" t="s"/>
      <c r="I1646" t="s"/>
      <c r="J1646" t="n">
        <v>0</v>
      </c>
      <c r="K1646" t="n">
        <v>0</v>
      </c>
      <c r="L1646" t="n">
        <v>1</v>
      </c>
      <c r="M1646" t="n">
        <v>0</v>
      </c>
    </row>
    <row r="1647" spans="1:13">
      <c r="A1647" s="1">
        <f>HYPERLINK("http://www.twitter.com/NathanBLawrence/status/991883041181057024", "991883041181057024")</f>
        <v/>
      </c>
      <c r="B1647" s="2" t="n">
        <v>43223.14721064815</v>
      </c>
      <c r="C1647" t="n">
        <v>0</v>
      </c>
      <c r="D1647" t="n">
        <v>0</v>
      </c>
      <c r="E1647" t="s">
        <v>1642</v>
      </c>
      <c r="F1647" t="s"/>
      <c r="G1647" t="s"/>
      <c r="H1647" t="s"/>
      <c r="I1647" t="s"/>
      <c r="J1647" t="n">
        <v>-0.8979</v>
      </c>
      <c r="K1647" t="n">
        <v>0.26</v>
      </c>
      <c r="L1647" t="n">
        <v>0.716</v>
      </c>
      <c r="M1647" t="n">
        <v>0.024</v>
      </c>
    </row>
    <row r="1648" spans="1:13">
      <c r="A1648" s="1">
        <f>HYPERLINK("http://www.twitter.com/NathanBLawrence/status/991880393988063233", "991880393988063233")</f>
        <v/>
      </c>
      <c r="B1648" s="2" t="n">
        <v>43223.13990740741</v>
      </c>
      <c r="C1648" t="n">
        <v>1</v>
      </c>
      <c r="D1648" t="n">
        <v>0</v>
      </c>
      <c r="E1648" t="s">
        <v>1643</v>
      </c>
      <c r="F1648" t="s"/>
      <c r="G1648" t="s"/>
      <c r="H1648" t="s"/>
      <c r="I1648" t="s"/>
      <c r="J1648" t="n">
        <v>0</v>
      </c>
      <c r="K1648" t="n">
        <v>0.26</v>
      </c>
      <c r="L1648" t="n">
        <v>0.479</v>
      </c>
      <c r="M1648" t="n">
        <v>0.26</v>
      </c>
    </row>
    <row r="1649" spans="1:13">
      <c r="A1649" s="1">
        <f>HYPERLINK("http://www.twitter.com/NathanBLawrence/status/991869806486925312", "991869806486925312")</f>
        <v/>
      </c>
      <c r="B1649" s="2" t="n">
        <v>43223.11069444445</v>
      </c>
      <c r="C1649" t="n">
        <v>0</v>
      </c>
      <c r="D1649" t="n">
        <v>0</v>
      </c>
      <c r="E1649" t="s">
        <v>1644</v>
      </c>
      <c r="F1649" t="s"/>
      <c r="G1649" t="s"/>
      <c r="H1649" t="s"/>
      <c r="I1649" t="s"/>
      <c r="J1649" t="n">
        <v>0.6908</v>
      </c>
      <c r="K1649" t="n">
        <v>0</v>
      </c>
      <c r="L1649" t="n">
        <v>0.862</v>
      </c>
      <c r="M1649" t="n">
        <v>0.138</v>
      </c>
    </row>
    <row r="1650" spans="1:13">
      <c r="A1650" s="1">
        <f>HYPERLINK("http://www.twitter.com/NathanBLawrence/status/991869250410344448", "991869250410344448")</f>
        <v/>
      </c>
      <c r="B1650" s="2" t="n">
        <v>43223.10915509259</v>
      </c>
      <c r="C1650" t="n">
        <v>0</v>
      </c>
      <c r="D1650" t="n">
        <v>0</v>
      </c>
      <c r="E1650" t="s">
        <v>1645</v>
      </c>
      <c r="F1650" t="s"/>
      <c r="G1650" t="s"/>
      <c r="H1650" t="s"/>
      <c r="I1650" t="s"/>
      <c r="J1650" t="n">
        <v>0.8555</v>
      </c>
      <c r="K1650" t="n">
        <v>0</v>
      </c>
      <c r="L1650" t="n">
        <v>0.802</v>
      </c>
      <c r="M1650" t="n">
        <v>0.198</v>
      </c>
    </row>
    <row r="1651" spans="1:13">
      <c r="A1651" s="1">
        <f>HYPERLINK("http://www.twitter.com/NathanBLawrence/status/991868210025828352", "991868210025828352")</f>
        <v/>
      </c>
      <c r="B1651" s="2" t="n">
        <v>43223.10628472222</v>
      </c>
      <c r="C1651" t="n">
        <v>0</v>
      </c>
      <c r="D1651" t="n">
        <v>0</v>
      </c>
      <c r="E1651" t="s">
        <v>1646</v>
      </c>
      <c r="F1651" t="s"/>
      <c r="G1651" t="s"/>
      <c r="H1651" t="s"/>
      <c r="I1651" t="s"/>
      <c r="J1651" t="n">
        <v>0.0772</v>
      </c>
      <c r="K1651" t="n">
        <v>0.067</v>
      </c>
      <c r="L1651" t="n">
        <v>0.861</v>
      </c>
      <c r="M1651" t="n">
        <v>0.073</v>
      </c>
    </row>
    <row r="1652" spans="1:13">
      <c r="A1652" s="1">
        <f>HYPERLINK("http://www.twitter.com/NathanBLawrence/status/991867150263562240", "991867150263562240")</f>
        <v/>
      </c>
      <c r="B1652" s="2" t="n">
        <v>43223.10336805556</v>
      </c>
      <c r="C1652" t="n">
        <v>0</v>
      </c>
      <c r="D1652" t="n">
        <v>0</v>
      </c>
      <c r="E1652" t="s">
        <v>1647</v>
      </c>
      <c r="F1652" t="s"/>
      <c r="G1652" t="s"/>
      <c r="H1652" t="s"/>
      <c r="I1652" t="s"/>
      <c r="J1652" t="n">
        <v>0.765</v>
      </c>
      <c r="K1652" t="n">
        <v>0.079</v>
      </c>
      <c r="L1652" t="n">
        <v>0.722</v>
      </c>
      <c r="M1652" t="n">
        <v>0.199</v>
      </c>
    </row>
    <row r="1653" spans="1:13">
      <c r="A1653" s="1">
        <f>HYPERLINK("http://www.twitter.com/NathanBLawrence/status/991866000248320000", "991866000248320000")</f>
        <v/>
      </c>
      <c r="B1653" s="2" t="n">
        <v>43223.10019675926</v>
      </c>
      <c r="C1653" t="n">
        <v>0</v>
      </c>
      <c r="D1653" t="n">
        <v>0</v>
      </c>
      <c r="E1653" t="s">
        <v>1648</v>
      </c>
      <c r="F1653" t="s"/>
      <c r="G1653" t="s"/>
      <c r="H1653" t="s"/>
      <c r="I1653" t="s"/>
      <c r="J1653" t="n">
        <v>0.1625</v>
      </c>
      <c r="K1653" t="n">
        <v>0.09</v>
      </c>
      <c r="L1653" t="n">
        <v>0.826</v>
      </c>
      <c r="M1653" t="n">
        <v>0.08400000000000001</v>
      </c>
    </row>
    <row r="1654" spans="1:13">
      <c r="A1654" s="1">
        <f>HYPERLINK("http://www.twitter.com/NathanBLawrence/status/991865282552614915", "991865282552614915")</f>
        <v/>
      </c>
      <c r="B1654" s="2" t="n">
        <v>43223.09820601852</v>
      </c>
      <c r="C1654" t="n">
        <v>0</v>
      </c>
      <c r="D1654" t="n">
        <v>0</v>
      </c>
      <c r="E1654" t="s">
        <v>1649</v>
      </c>
      <c r="F1654">
        <f>HYPERLINK("http://pbs.twimg.com/media/DcPQNulV0AAxC3W.jpg", "http://pbs.twimg.com/media/DcPQNulV0AAxC3W.jpg")</f>
        <v/>
      </c>
      <c r="G1654" t="s"/>
      <c r="H1654" t="s"/>
      <c r="I1654" t="s"/>
      <c r="J1654" t="n">
        <v>0.4019</v>
      </c>
      <c r="K1654" t="n">
        <v>0.169</v>
      </c>
      <c r="L1654" t="n">
        <v>0.636</v>
      </c>
      <c r="M1654" t="n">
        <v>0.196</v>
      </c>
    </row>
    <row r="1655" spans="1:13">
      <c r="A1655" s="1">
        <f>HYPERLINK("http://www.twitter.com/NathanBLawrence/status/991863980716118016", "991863980716118016")</f>
        <v/>
      </c>
      <c r="B1655" s="2" t="n">
        <v>43223.09461805555</v>
      </c>
      <c r="C1655" t="n">
        <v>0</v>
      </c>
      <c r="D1655" t="n">
        <v>0</v>
      </c>
      <c r="E1655" t="s">
        <v>1650</v>
      </c>
      <c r="F1655" t="s"/>
      <c r="G1655" t="s"/>
      <c r="H1655" t="s"/>
      <c r="I1655" t="s"/>
      <c r="J1655" t="n">
        <v>-0.4588</v>
      </c>
      <c r="K1655" t="n">
        <v>0.126</v>
      </c>
      <c r="L1655" t="n">
        <v>0.785</v>
      </c>
      <c r="M1655" t="n">
        <v>0.089</v>
      </c>
    </row>
    <row r="1656" spans="1:13">
      <c r="A1656" s="1">
        <f>HYPERLINK("http://www.twitter.com/NathanBLawrence/status/991851851703300096", "991851851703300096")</f>
        <v/>
      </c>
      <c r="B1656" s="2" t="n">
        <v>43223.06114583334</v>
      </c>
      <c r="C1656" t="n">
        <v>3</v>
      </c>
      <c r="D1656" t="n">
        <v>0</v>
      </c>
      <c r="E1656" t="s">
        <v>1651</v>
      </c>
      <c r="F1656" t="s"/>
      <c r="G1656" t="s"/>
      <c r="H1656" t="s"/>
      <c r="I1656" t="s"/>
      <c r="J1656" t="n">
        <v>0.9332</v>
      </c>
      <c r="K1656" t="n">
        <v>0</v>
      </c>
      <c r="L1656" t="n">
        <v>0.666</v>
      </c>
      <c r="M1656" t="n">
        <v>0.334</v>
      </c>
    </row>
    <row r="1657" spans="1:13">
      <c r="A1657" s="1">
        <f>HYPERLINK("http://www.twitter.com/NathanBLawrence/status/991850080402583554", "991850080402583554")</f>
        <v/>
      </c>
      <c r="B1657" s="2" t="n">
        <v>43223.05626157407</v>
      </c>
      <c r="C1657" t="n">
        <v>2</v>
      </c>
      <c r="D1657" t="n">
        <v>0</v>
      </c>
      <c r="E1657" t="s">
        <v>1652</v>
      </c>
      <c r="F1657" t="s"/>
      <c r="G1657" t="s"/>
      <c r="H1657" t="s"/>
      <c r="I1657" t="s"/>
      <c r="J1657" t="n">
        <v>0.8625</v>
      </c>
      <c r="K1657" t="n">
        <v>0</v>
      </c>
      <c r="L1657" t="n">
        <v>0.782</v>
      </c>
      <c r="M1657" t="n">
        <v>0.218</v>
      </c>
    </row>
    <row r="1658" spans="1:13">
      <c r="A1658" s="1">
        <f>HYPERLINK("http://www.twitter.com/NathanBLawrence/status/991849383770681344", "991849383770681344")</f>
        <v/>
      </c>
      <c r="B1658" s="2" t="n">
        <v>43223.05434027778</v>
      </c>
      <c r="C1658" t="n">
        <v>0</v>
      </c>
      <c r="D1658" t="n">
        <v>0</v>
      </c>
      <c r="E1658" t="s">
        <v>1653</v>
      </c>
      <c r="F1658" t="s"/>
      <c r="G1658" t="s"/>
      <c r="H1658" t="s"/>
      <c r="I1658" t="s"/>
      <c r="J1658" t="n">
        <v>0.1779</v>
      </c>
      <c r="K1658" t="n">
        <v>0.11</v>
      </c>
      <c r="L1658" t="n">
        <v>0.764</v>
      </c>
      <c r="M1658" t="n">
        <v>0.126</v>
      </c>
    </row>
    <row r="1659" spans="1:13">
      <c r="A1659" s="1">
        <f>HYPERLINK("http://www.twitter.com/NathanBLawrence/status/991847089502998531", "991847089502998531")</f>
        <v/>
      </c>
      <c r="B1659" s="2" t="n">
        <v>43223.04800925926</v>
      </c>
      <c r="C1659" t="n">
        <v>0</v>
      </c>
      <c r="D1659" t="n">
        <v>0</v>
      </c>
      <c r="E1659" t="s">
        <v>1654</v>
      </c>
      <c r="F1659" t="s"/>
      <c r="G1659" t="s"/>
      <c r="H1659" t="s"/>
      <c r="I1659" t="s"/>
      <c r="J1659" t="n">
        <v>0.3612</v>
      </c>
      <c r="K1659" t="n">
        <v>0</v>
      </c>
      <c r="L1659" t="n">
        <v>0.923</v>
      </c>
      <c r="M1659" t="n">
        <v>0.077</v>
      </c>
    </row>
    <row r="1660" spans="1:13">
      <c r="A1660" s="1">
        <f>HYPERLINK("http://www.twitter.com/NathanBLawrence/status/991842005842997249", "991842005842997249")</f>
        <v/>
      </c>
      <c r="B1660" s="2" t="n">
        <v>43223.03398148148</v>
      </c>
      <c r="C1660" t="n">
        <v>1</v>
      </c>
      <c r="D1660" t="n">
        <v>1</v>
      </c>
      <c r="E1660" t="s">
        <v>1655</v>
      </c>
      <c r="F1660" t="s"/>
      <c r="G1660" t="s"/>
      <c r="H1660" t="s"/>
      <c r="I1660" t="s"/>
      <c r="J1660" t="n">
        <v>-0.6573</v>
      </c>
      <c r="K1660" t="n">
        <v>0.213</v>
      </c>
      <c r="L1660" t="n">
        <v>0.669</v>
      </c>
      <c r="M1660" t="n">
        <v>0.118</v>
      </c>
    </row>
    <row r="1661" spans="1:13">
      <c r="A1661" s="1">
        <f>HYPERLINK("http://www.twitter.com/NathanBLawrence/status/991840699434852359", "991840699434852359")</f>
        <v/>
      </c>
      <c r="B1661" s="2" t="n">
        <v>43223.03037037037</v>
      </c>
      <c r="C1661" t="n">
        <v>0</v>
      </c>
      <c r="D1661" t="n">
        <v>0</v>
      </c>
      <c r="E1661" t="s">
        <v>1656</v>
      </c>
      <c r="F1661" t="s"/>
      <c r="G1661" t="s"/>
      <c r="H1661" t="s"/>
      <c r="I1661" t="s"/>
      <c r="J1661" t="n">
        <v>0.168</v>
      </c>
      <c r="K1661" t="n">
        <v>0.08599999999999999</v>
      </c>
      <c r="L1661" t="n">
        <v>0.848</v>
      </c>
      <c r="M1661" t="n">
        <v>0.066</v>
      </c>
    </row>
    <row r="1662" spans="1:13">
      <c r="A1662" s="1">
        <f>HYPERLINK("http://www.twitter.com/NathanBLawrence/status/991839805007785984", "991839805007785984")</f>
        <v/>
      </c>
      <c r="B1662" s="2" t="n">
        <v>43223.02790509259</v>
      </c>
      <c r="C1662" t="n">
        <v>6</v>
      </c>
      <c r="D1662" t="n">
        <v>2</v>
      </c>
      <c r="E1662" t="s">
        <v>1657</v>
      </c>
      <c r="F1662" t="s"/>
      <c r="G1662" t="s"/>
      <c r="H1662" t="s"/>
      <c r="I1662" t="s"/>
      <c r="J1662" t="n">
        <v>-0.9275</v>
      </c>
      <c r="K1662" t="n">
        <v>0.236</v>
      </c>
      <c r="L1662" t="n">
        <v>0.764</v>
      </c>
      <c r="M1662" t="n">
        <v>0</v>
      </c>
    </row>
    <row r="1663" spans="1:13">
      <c r="A1663" s="1">
        <f>HYPERLINK("http://www.twitter.com/NathanBLawrence/status/991831363132313600", "991831363132313600")</f>
        <v/>
      </c>
      <c r="B1663" s="2" t="n">
        <v>43223.00460648148</v>
      </c>
      <c r="C1663" t="n">
        <v>8</v>
      </c>
      <c r="D1663" t="n">
        <v>5</v>
      </c>
      <c r="E1663" t="s">
        <v>1658</v>
      </c>
      <c r="F1663" t="s"/>
      <c r="G1663" t="s"/>
      <c r="H1663" t="s"/>
      <c r="I1663" t="s"/>
      <c r="J1663" t="n">
        <v>0.5108</v>
      </c>
      <c r="K1663" t="n">
        <v>0.091</v>
      </c>
      <c r="L1663" t="n">
        <v>0.772</v>
      </c>
      <c r="M1663" t="n">
        <v>0.137</v>
      </c>
    </row>
    <row r="1664" spans="1:13">
      <c r="A1664" s="1">
        <f>HYPERLINK("http://www.twitter.com/NathanBLawrence/status/991818602343993345", "991818602343993345")</f>
        <v/>
      </c>
      <c r="B1664" s="2" t="n">
        <v>43222.96939814815</v>
      </c>
      <c r="C1664" t="n">
        <v>1</v>
      </c>
      <c r="D1664" t="n">
        <v>0</v>
      </c>
      <c r="E1664" t="s">
        <v>1659</v>
      </c>
      <c r="F1664" t="s"/>
      <c r="G1664" t="s"/>
      <c r="H1664" t="s"/>
      <c r="I1664" t="s"/>
      <c r="J1664" t="n">
        <v>-0.2572</v>
      </c>
      <c r="K1664" t="n">
        <v>0.116</v>
      </c>
      <c r="L1664" t="n">
        <v>0.753</v>
      </c>
      <c r="M1664" t="n">
        <v>0.131</v>
      </c>
    </row>
    <row r="1665" spans="1:13">
      <c r="A1665" s="1">
        <f>HYPERLINK("http://www.twitter.com/NathanBLawrence/status/991815906924908544", "991815906924908544")</f>
        <v/>
      </c>
      <c r="B1665" s="2" t="n">
        <v>43222.96195601852</v>
      </c>
      <c r="C1665" t="n">
        <v>4</v>
      </c>
      <c r="D1665" t="n">
        <v>3</v>
      </c>
      <c r="E1665" t="s">
        <v>1660</v>
      </c>
      <c r="F1665" t="s"/>
      <c r="G1665" t="s"/>
      <c r="H1665" t="s"/>
      <c r="I1665" t="s"/>
      <c r="J1665" t="n">
        <v>0.5661</v>
      </c>
      <c r="K1665" t="n">
        <v>0.089</v>
      </c>
      <c r="L1665" t="n">
        <v>0.767</v>
      </c>
      <c r="M1665" t="n">
        <v>0.144</v>
      </c>
    </row>
    <row r="1666" spans="1:13">
      <c r="A1666" s="1">
        <f>HYPERLINK("http://www.twitter.com/NathanBLawrence/status/991814594019684353", "991814594019684353")</f>
        <v/>
      </c>
      <c r="B1666" s="2" t="n">
        <v>43222.95833333334</v>
      </c>
      <c r="C1666" t="n">
        <v>3</v>
      </c>
      <c r="D1666" t="n">
        <v>2</v>
      </c>
      <c r="E1666" t="s">
        <v>1661</v>
      </c>
      <c r="F1666" t="s"/>
      <c r="G1666" t="s"/>
      <c r="H1666" t="s"/>
      <c r="I1666" t="s"/>
      <c r="J1666" t="n">
        <v>-0.2023</v>
      </c>
      <c r="K1666" t="n">
        <v>0.053</v>
      </c>
      <c r="L1666" t="n">
        <v>0.947</v>
      </c>
      <c r="M1666" t="n">
        <v>0</v>
      </c>
    </row>
    <row r="1667" spans="1:13">
      <c r="A1667" s="1">
        <f>HYPERLINK("http://www.twitter.com/NathanBLawrence/status/991813001148846080", "991813001148846080")</f>
        <v/>
      </c>
      <c r="B1667" s="2" t="n">
        <v>43222.95394675926</v>
      </c>
      <c r="C1667" t="n">
        <v>9</v>
      </c>
      <c r="D1667" t="n">
        <v>5</v>
      </c>
      <c r="E1667" t="s">
        <v>1662</v>
      </c>
      <c r="F1667" t="s"/>
      <c r="G1667" t="s"/>
      <c r="H1667" t="s"/>
      <c r="I1667" t="s"/>
      <c r="J1667" t="n">
        <v>-0.6879999999999999</v>
      </c>
      <c r="K1667" t="n">
        <v>0.136</v>
      </c>
      <c r="L1667" t="n">
        <v>0.825</v>
      </c>
      <c r="M1667" t="n">
        <v>0.039</v>
      </c>
    </row>
    <row r="1668" spans="1:13">
      <c r="A1668" s="1">
        <f>HYPERLINK("http://www.twitter.com/NathanBLawrence/status/991772055619227649", "991772055619227649")</f>
        <v/>
      </c>
      <c r="B1668" s="2" t="n">
        <v>43222.84094907407</v>
      </c>
      <c r="C1668" t="n">
        <v>0</v>
      </c>
      <c r="D1668" t="n">
        <v>15</v>
      </c>
      <c r="E1668" t="s">
        <v>1663</v>
      </c>
      <c r="F1668">
        <f>HYPERLINK("http://pbs.twimg.com/media/DcN1JPTW4AAcYeF.jpg", "http://pbs.twimg.com/media/DcN1JPTW4AAcYeF.jpg")</f>
        <v/>
      </c>
      <c r="G1668" t="s"/>
      <c r="H1668" t="s"/>
      <c r="I1668" t="s"/>
      <c r="J1668" t="n">
        <v>-0.1027</v>
      </c>
      <c r="K1668" t="n">
        <v>0.062</v>
      </c>
      <c r="L1668" t="n">
        <v>0.9379999999999999</v>
      </c>
      <c r="M1668" t="n">
        <v>0</v>
      </c>
    </row>
    <row r="1669" spans="1:13">
      <c r="A1669" s="1">
        <f>HYPERLINK("http://www.twitter.com/NathanBLawrence/status/991766246323621890", "991766246323621890")</f>
        <v/>
      </c>
      <c r="B1669" s="2" t="n">
        <v>43222.82491898148</v>
      </c>
      <c r="C1669" t="n">
        <v>1</v>
      </c>
      <c r="D1669" t="n">
        <v>1</v>
      </c>
      <c r="E1669" t="s">
        <v>1664</v>
      </c>
      <c r="F1669" t="s"/>
      <c r="G1669" t="s"/>
      <c r="H1669" t="s"/>
      <c r="I1669" t="s"/>
      <c r="J1669" t="n">
        <v>-0.3818</v>
      </c>
      <c r="K1669" t="n">
        <v>0.158</v>
      </c>
      <c r="L1669" t="n">
        <v>0.733</v>
      </c>
      <c r="M1669" t="n">
        <v>0.11</v>
      </c>
    </row>
    <row r="1670" spans="1:13">
      <c r="A1670" s="1">
        <f>HYPERLINK("http://www.twitter.com/NathanBLawrence/status/991765200402567175", "991765200402567175")</f>
        <v/>
      </c>
      <c r="B1670" s="2" t="n">
        <v>43222.82203703704</v>
      </c>
      <c r="C1670" t="n">
        <v>6</v>
      </c>
      <c r="D1670" t="n">
        <v>3</v>
      </c>
      <c r="E1670" t="s">
        <v>1665</v>
      </c>
      <c r="F1670" t="s"/>
      <c r="G1670" t="s"/>
      <c r="H1670" t="s"/>
      <c r="I1670" t="s"/>
      <c r="J1670" t="n">
        <v>-0.6486</v>
      </c>
      <c r="K1670" t="n">
        <v>0.136</v>
      </c>
      <c r="L1670" t="n">
        <v>0.8179999999999999</v>
      </c>
      <c r="M1670" t="n">
        <v>0.046</v>
      </c>
    </row>
    <row r="1671" spans="1:13">
      <c r="A1671" s="1">
        <f>HYPERLINK("http://www.twitter.com/NathanBLawrence/status/991750889282199553", "991750889282199553")</f>
        <v/>
      </c>
      <c r="B1671" s="2" t="n">
        <v>43222.78254629629</v>
      </c>
      <c r="C1671" t="n">
        <v>8</v>
      </c>
      <c r="D1671" t="n">
        <v>6</v>
      </c>
      <c r="E1671" t="s">
        <v>1666</v>
      </c>
      <c r="F1671" t="s"/>
      <c r="G1671" t="s"/>
      <c r="H1671" t="s"/>
      <c r="I1671" t="s"/>
      <c r="J1671" t="n">
        <v>-0.3313</v>
      </c>
      <c r="K1671" t="n">
        <v>0.054</v>
      </c>
      <c r="L1671" t="n">
        <v>0.946</v>
      </c>
      <c r="M1671" t="n">
        <v>0</v>
      </c>
    </row>
    <row r="1672" spans="1:13">
      <c r="A1672" s="1">
        <f>HYPERLINK("http://www.twitter.com/NathanBLawrence/status/991744890181705729", "991744890181705729")</f>
        <v/>
      </c>
      <c r="B1672" s="2" t="n">
        <v>43222.76599537037</v>
      </c>
      <c r="C1672" t="n">
        <v>4</v>
      </c>
      <c r="D1672" t="n">
        <v>3</v>
      </c>
      <c r="E1672" t="s">
        <v>1667</v>
      </c>
      <c r="F1672" t="s"/>
      <c r="G1672" t="s"/>
      <c r="H1672" t="s"/>
      <c r="I1672" t="s"/>
      <c r="J1672" t="n">
        <v>0.25</v>
      </c>
      <c r="K1672" t="n">
        <v>0</v>
      </c>
      <c r="L1672" t="n">
        <v>0.909</v>
      </c>
      <c r="M1672" t="n">
        <v>0.091</v>
      </c>
    </row>
    <row r="1673" spans="1:13">
      <c r="A1673" s="1">
        <f>HYPERLINK("http://www.twitter.com/NathanBLawrence/status/991650979828379648", "991650979828379648")</f>
        <v/>
      </c>
      <c r="B1673" s="2" t="n">
        <v>43222.50685185185</v>
      </c>
      <c r="C1673" t="n">
        <v>9</v>
      </c>
      <c r="D1673" t="n">
        <v>4</v>
      </c>
      <c r="E1673" t="s">
        <v>1668</v>
      </c>
      <c r="F1673" t="s"/>
      <c r="G1673" t="s"/>
      <c r="H1673" t="s"/>
      <c r="I1673" t="s"/>
      <c r="J1673" t="n">
        <v>-0.4515</v>
      </c>
      <c r="K1673" t="n">
        <v>0.07199999999999999</v>
      </c>
      <c r="L1673" t="n">
        <v>0.878</v>
      </c>
      <c r="M1673" t="n">
        <v>0.05</v>
      </c>
    </row>
    <row r="1674" spans="1:13">
      <c r="A1674" s="1">
        <f>HYPERLINK("http://www.twitter.com/NathanBLawrence/status/991649067242610688", "991649067242610688")</f>
        <v/>
      </c>
      <c r="B1674" s="2" t="n">
        <v>43222.50157407407</v>
      </c>
      <c r="C1674" t="n">
        <v>0</v>
      </c>
      <c r="D1674" t="n">
        <v>2</v>
      </c>
      <c r="E1674" t="s">
        <v>1669</v>
      </c>
      <c r="F1674" t="s"/>
      <c r="G1674" t="s"/>
      <c r="H1674" t="s"/>
      <c r="I1674" t="s"/>
      <c r="J1674" t="n">
        <v>0</v>
      </c>
      <c r="K1674" t="n">
        <v>0</v>
      </c>
      <c r="L1674" t="n">
        <v>1</v>
      </c>
      <c r="M1674" t="n">
        <v>0</v>
      </c>
    </row>
    <row r="1675" spans="1:13">
      <c r="A1675" s="1">
        <f>HYPERLINK("http://www.twitter.com/NathanBLawrence/status/991648641432604672", "991648641432604672")</f>
        <v/>
      </c>
      <c r="B1675" s="2" t="n">
        <v>43222.50039351852</v>
      </c>
      <c r="C1675" t="n">
        <v>0</v>
      </c>
      <c r="D1675" t="n">
        <v>3</v>
      </c>
      <c r="E1675" t="s">
        <v>1670</v>
      </c>
      <c r="F1675" t="s"/>
      <c r="G1675" t="s"/>
      <c r="H1675" t="s"/>
      <c r="I1675" t="s"/>
      <c r="J1675" t="n">
        <v>-0.0572</v>
      </c>
      <c r="K1675" t="n">
        <v>0.058</v>
      </c>
      <c r="L1675" t="n">
        <v>0.9419999999999999</v>
      </c>
      <c r="M1675" t="n">
        <v>0</v>
      </c>
    </row>
    <row r="1676" spans="1:13">
      <c r="A1676" s="1">
        <f>HYPERLINK("http://www.twitter.com/NathanBLawrence/status/991648589775589382", "991648589775589382")</f>
        <v/>
      </c>
      <c r="B1676" s="2" t="n">
        <v>43222.50025462963</v>
      </c>
      <c r="C1676" t="n">
        <v>5</v>
      </c>
      <c r="D1676" t="n">
        <v>3</v>
      </c>
      <c r="E1676" t="s">
        <v>1671</v>
      </c>
      <c r="F1676" t="s"/>
      <c r="G1676" t="s"/>
      <c r="H1676" t="s"/>
      <c r="I1676" t="s"/>
      <c r="J1676" t="n">
        <v>-0.8519</v>
      </c>
      <c r="K1676" t="n">
        <v>0.152</v>
      </c>
      <c r="L1676" t="n">
        <v>0.848</v>
      </c>
      <c r="M1676" t="n">
        <v>0</v>
      </c>
    </row>
    <row r="1677" spans="1:13">
      <c r="A1677" s="1">
        <f>HYPERLINK("http://www.twitter.com/NathanBLawrence/status/991550365618393088", "991550365618393088")</f>
        <v/>
      </c>
      <c r="B1677" s="2" t="n">
        <v>43222.22920138889</v>
      </c>
      <c r="C1677" t="n">
        <v>0</v>
      </c>
      <c r="D1677" t="n">
        <v>13</v>
      </c>
      <c r="E1677" t="s">
        <v>1672</v>
      </c>
      <c r="F1677">
        <f>HYPERLINK("http://pbs.twimg.com/media/DcKUW7mWAAA7Osp.jpg", "http://pbs.twimg.com/media/DcKUW7mWAAA7Osp.jpg")</f>
        <v/>
      </c>
      <c r="G1677" t="s"/>
      <c r="H1677" t="s"/>
      <c r="I1677" t="s"/>
      <c r="J1677" t="n">
        <v>0.4404</v>
      </c>
      <c r="K1677" t="n">
        <v>0</v>
      </c>
      <c r="L1677" t="n">
        <v>0.854</v>
      </c>
      <c r="M1677" t="n">
        <v>0.146</v>
      </c>
    </row>
    <row r="1678" spans="1:13">
      <c r="A1678" s="1">
        <f>HYPERLINK("http://www.twitter.com/NathanBLawrence/status/991550150404395008", "991550150404395008")</f>
        <v/>
      </c>
      <c r="B1678" s="2" t="n">
        <v>43222.22861111111</v>
      </c>
      <c r="C1678" t="n">
        <v>0</v>
      </c>
      <c r="D1678" t="n">
        <v>0</v>
      </c>
      <c r="E1678" t="s">
        <v>1673</v>
      </c>
      <c r="F1678" t="s"/>
      <c r="G1678" t="s"/>
      <c r="H1678" t="s"/>
      <c r="I1678" t="s"/>
      <c r="J1678" t="n">
        <v>0</v>
      </c>
      <c r="K1678" t="n">
        <v>0</v>
      </c>
      <c r="L1678" t="n">
        <v>1</v>
      </c>
      <c r="M1678" t="n">
        <v>0</v>
      </c>
    </row>
    <row r="1679" spans="1:13">
      <c r="A1679" s="1">
        <f>HYPERLINK("http://www.twitter.com/NathanBLawrence/status/991550026039152640", "991550026039152640")</f>
        <v/>
      </c>
      <c r="B1679" s="2" t="n">
        <v>43222.22826388889</v>
      </c>
      <c r="C1679" t="n">
        <v>0</v>
      </c>
      <c r="D1679" t="n">
        <v>3</v>
      </c>
      <c r="E1679" t="s">
        <v>1674</v>
      </c>
      <c r="F1679" t="s"/>
      <c r="G1679" t="s"/>
      <c r="H1679" t="s"/>
      <c r="I1679" t="s"/>
      <c r="J1679" t="n">
        <v>-0.1779</v>
      </c>
      <c r="K1679" t="n">
        <v>0.116</v>
      </c>
      <c r="L1679" t="n">
        <v>0.884</v>
      </c>
      <c r="M1679" t="n">
        <v>0</v>
      </c>
    </row>
    <row r="1680" spans="1:13">
      <c r="A1680" s="1">
        <f>HYPERLINK("http://www.twitter.com/NathanBLawrence/status/991549195055181824", "991549195055181824")</f>
        <v/>
      </c>
      <c r="B1680" s="2" t="n">
        <v>43222.22597222222</v>
      </c>
      <c r="C1680" t="n">
        <v>3</v>
      </c>
      <c r="D1680" t="n">
        <v>2</v>
      </c>
      <c r="E1680" t="s">
        <v>1675</v>
      </c>
      <c r="F1680" t="s"/>
      <c r="G1680" t="s"/>
      <c r="H1680" t="s"/>
      <c r="I1680" t="s"/>
      <c r="J1680" t="n">
        <v>0.7302999999999999</v>
      </c>
      <c r="K1680" t="n">
        <v>0</v>
      </c>
      <c r="L1680" t="n">
        <v>0.867</v>
      </c>
      <c r="M1680" t="n">
        <v>0.133</v>
      </c>
    </row>
    <row r="1681" spans="1:13">
      <c r="A1681" s="1">
        <f>HYPERLINK("http://www.twitter.com/NathanBLawrence/status/991545805764026371", "991545805764026371")</f>
        <v/>
      </c>
      <c r="B1681" s="2" t="n">
        <v>43222.21662037037</v>
      </c>
      <c r="C1681" t="n">
        <v>3</v>
      </c>
      <c r="D1681" t="n">
        <v>2</v>
      </c>
      <c r="E1681" t="s">
        <v>1676</v>
      </c>
      <c r="F1681" t="s"/>
      <c r="G1681" t="s"/>
      <c r="H1681" t="s"/>
      <c r="I1681" t="s"/>
      <c r="J1681" t="n">
        <v>0.5661</v>
      </c>
      <c r="K1681" t="n">
        <v>0</v>
      </c>
      <c r="L1681" t="n">
        <v>0.918</v>
      </c>
      <c r="M1681" t="n">
        <v>0.082</v>
      </c>
    </row>
    <row r="1682" spans="1:13">
      <c r="A1682" s="1">
        <f>HYPERLINK("http://www.twitter.com/NathanBLawrence/status/991544963229011968", "991544963229011968")</f>
        <v/>
      </c>
      <c r="B1682" s="2" t="n">
        <v>43222.21429398148</v>
      </c>
      <c r="C1682" t="n">
        <v>1</v>
      </c>
      <c r="D1682" t="n">
        <v>1</v>
      </c>
      <c r="E1682" t="s">
        <v>1677</v>
      </c>
      <c r="F1682" t="s"/>
      <c r="G1682" t="s"/>
      <c r="H1682" t="s"/>
      <c r="I1682" t="s"/>
      <c r="J1682" t="n">
        <v>-0.2168</v>
      </c>
      <c r="K1682" t="n">
        <v>0.119</v>
      </c>
      <c r="L1682" t="n">
        <v>0.8080000000000001</v>
      </c>
      <c r="M1682" t="n">
        <v>0.073</v>
      </c>
    </row>
    <row r="1683" spans="1:13">
      <c r="A1683" s="1">
        <f>HYPERLINK("http://www.twitter.com/NathanBLawrence/status/991543799670366213", "991543799670366213")</f>
        <v/>
      </c>
      <c r="B1683" s="2" t="n">
        <v>43222.21108796296</v>
      </c>
      <c r="C1683" t="n">
        <v>1</v>
      </c>
      <c r="D1683" t="n">
        <v>1</v>
      </c>
      <c r="E1683" t="s">
        <v>1678</v>
      </c>
      <c r="F1683" t="s"/>
      <c r="G1683" t="s"/>
      <c r="H1683" t="s"/>
      <c r="I1683" t="s"/>
      <c r="J1683" t="n">
        <v>-0.212</v>
      </c>
      <c r="K1683" t="n">
        <v>0.07099999999999999</v>
      </c>
      <c r="L1683" t="n">
        <v>0.879</v>
      </c>
      <c r="M1683" t="n">
        <v>0.05</v>
      </c>
    </row>
    <row r="1684" spans="1:13">
      <c r="A1684" s="1">
        <f>HYPERLINK("http://www.twitter.com/NathanBLawrence/status/991541782281408515", "991541782281408515")</f>
        <v/>
      </c>
      <c r="B1684" s="2" t="n">
        <v>43222.20552083333</v>
      </c>
      <c r="C1684" t="n">
        <v>0</v>
      </c>
      <c r="D1684" t="n">
        <v>0</v>
      </c>
      <c r="E1684" t="s">
        <v>1679</v>
      </c>
      <c r="F1684" t="s"/>
      <c r="G1684" t="s"/>
      <c r="H1684" t="s"/>
      <c r="I1684" t="s"/>
      <c r="J1684" t="n">
        <v>0.5859</v>
      </c>
      <c r="K1684" t="n">
        <v>0.08699999999999999</v>
      </c>
      <c r="L1684" t="n">
        <v>0.751</v>
      </c>
      <c r="M1684" t="n">
        <v>0.162</v>
      </c>
    </row>
    <row r="1685" spans="1:13">
      <c r="A1685" s="1">
        <f>HYPERLINK("http://www.twitter.com/NathanBLawrence/status/991538978468847616", "991538978468847616")</f>
        <v/>
      </c>
      <c r="B1685" s="2" t="n">
        <v>43222.19778935185</v>
      </c>
      <c r="C1685" t="n">
        <v>0</v>
      </c>
      <c r="D1685" t="n">
        <v>0</v>
      </c>
      <c r="E1685" t="s">
        <v>1680</v>
      </c>
      <c r="F1685" t="s"/>
      <c r="G1685" t="s"/>
      <c r="H1685" t="s"/>
      <c r="I1685" t="s"/>
      <c r="J1685" t="n">
        <v>-0.5228</v>
      </c>
      <c r="K1685" t="n">
        <v>0.136</v>
      </c>
      <c r="L1685" t="n">
        <v>0.772</v>
      </c>
      <c r="M1685" t="n">
        <v>0.092</v>
      </c>
    </row>
    <row r="1686" spans="1:13">
      <c r="A1686" s="1">
        <f>HYPERLINK("http://www.twitter.com/NathanBLawrence/status/991537201149366272", "991537201149366272")</f>
        <v/>
      </c>
      <c r="B1686" s="2" t="n">
        <v>43222.19288194444</v>
      </c>
      <c r="C1686" t="n">
        <v>1</v>
      </c>
      <c r="D1686" t="n">
        <v>0</v>
      </c>
      <c r="E1686" t="s">
        <v>1681</v>
      </c>
      <c r="F1686" t="s"/>
      <c r="G1686" t="s"/>
      <c r="H1686" t="s"/>
      <c r="I1686" t="s"/>
      <c r="J1686" t="n">
        <v>0.8105</v>
      </c>
      <c r="K1686" t="n">
        <v>0</v>
      </c>
      <c r="L1686" t="n">
        <v>0.823</v>
      </c>
      <c r="M1686" t="n">
        <v>0.177</v>
      </c>
    </row>
    <row r="1687" spans="1:13">
      <c r="A1687" s="1">
        <f>HYPERLINK("http://www.twitter.com/NathanBLawrence/status/991535821118496768", "991535821118496768")</f>
        <v/>
      </c>
      <c r="B1687" s="2" t="n">
        <v>43222.18907407407</v>
      </c>
      <c r="C1687" t="n">
        <v>0</v>
      </c>
      <c r="D1687" t="n">
        <v>0</v>
      </c>
      <c r="E1687" t="s">
        <v>1682</v>
      </c>
      <c r="F1687" t="s"/>
      <c r="G1687" t="s"/>
      <c r="H1687" t="s"/>
      <c r="I1687" t="s"/>
      <c r="J1687" t="n">
        <v>-0.1027</v>
      </c>
      <c r="K1687" t="n">
        <v>0.034</v>
      </c>
      <c r="L1687" t="n">
        <v>0.966</v>
      </c>
      <c r="M1687" t="n">
        <v>0</v>
      </c>
    </row>
    <row r="1688" spans="1:13">
      <c r="A1688" s="1">
        <f>HYPERLINK("http://www.twitter.com/NathanBLawrence/status/991530710946205696", "991530710946205696")</f>
        <v/>
      </c>
      <c r="B1688" s="2" t="n">
        <v>43222.17496527778</v>
      </c>
      <c r="C1688" t="n">
        <v>3</v>
      </c>
      <c r="D1688" t="n">
        <v>3</v>
      </c>
      <c r="E1688" t="s">
        <v>1683</v>
      </c>
      <c r="F1688" t="s"/>
      <c r="G1688" t="s"/>
      <c r="H1688" t="s"/>
      <c r="I1688" t="s"/>
      <c r="J1688" t="n">
        <v>0.9013</v>
      </c>
      <c r="K1688" t="n">
        <v>0</v>
      </c>
      <c r="L1688" t="n">
        <v>0.768</v>
      </c>
      <c r="M1688" t="n">
        <v>0.232</v>
      </c>
    </row>
    <row r="1689" spans="1:13">
      <c r="A1689" s="1">
        <f>HYPERLINK("http://www.twitter.com/NathanBLawrence/status/991528764629831682", "991528764629831682")</f>
        <v/>
      </c>
      <c r="B1689" s="2" t="n">
        <v>43222.16959490741</v>
      </c>
      <c r="C1689" t="n">
        <v>4</v>
      </c>
      <c r="D1689" t="n">
        <v>2</v>
      </c>
      <c r="E1689" t="s">
        <v>1684</v>
      </c>
      <c r="F1689" t="s"/>
      <c r="G1689" t="s"/>
      <c r="H1689" t="s"/>
      <c r="I1689" t="s"/>
      <c r="J1689" t="n">
        <v>-0.3313</v>
      </c>
      <c r="K1689" t="n">
        <v>0.097</v>
      </c>
      <c r="L1689" t="n">
        <v>0.854</v>
      </c>
      <c r="M1689" t="n">
        <v>0.05</v>
      </c>
    </row>
    <row r="1690" spans="1:13">
      <c r="A1690" s="1">
        <f>HYPERLINK("http://www.twitter.com/NathanBLawrence/status/991478673277702145", "991478673277702145")</f>
        <v/>
      </c>
      <c r="B1690" s="2" t="n">
        <v>43222.03137731482</v>
      </c>
      <c r="C1690" t="n">
        <v>2</v>
      </c>
      <c r="D1690" t="n">
        <v>1</v>
      </c>
      <c r="E1690" t="s">
        <v>1685</v>
      </c>
      <c r="F1690" t="s"/>
      <c r="G1690" t="s"/>
      <c r="H1690" t="s"/>
      <c r="I1690" t="s"/>
      <c r="J1690" t="n">
        <v>-0.1779</v>
      </c>
      <c r="K1690" t="n">
        <v>0.057</v>
      </c>
      <c r="L1690" t="n">
        <v>0.9429999999999999</v>
      </c>
      <c r="M1690" t="n">
        <v>0</v>
      </c>
    </row>
    <row r="1691" spans="1:13">
      <c r="A1691" s="1">
        <f>HYPERLINK("http://www.twitter.com/NathanBLawrence/status/991403704141205504", "991403704141205504")</f>
        <v/>
      </c>
      <c r="B1691" s="2" t="n">
        <v>43221.82450231481</v>
      </c>
      <c r="C1691" t="n">
        <v>0</v>
      </c>
      <c r="D1691" t="n">
        <v>0</v>
      </c>
      <c r="E1691" t="s">
        <v>1686</v>
      </c>
      <c r="F1691" t="s"/>
      <c r="G1691" t="s"/>
      <c r="H1691" t="s"/>
      <c r="I1691" t="s"/>
      <c r="J1691" t="n">
        <v>-0.4404</v>
      </c>
      <c r="K1691" t="n">
        <v>0.065</v>
      </c>
      <c r="L1691" t="n">
        <v>0.9350000000000001</v>
      </c>
      <c r="M1691" t="n">
        <v>0</v>
      </c>
    </row>
    <row r="1692" spans="1:13">
      <c r="A1692" s="1">
        <f>HYPERLINK("http://www.twitter.com/NathanBLawrence/status/991364772808577024", "991364772808577024")</f>
        <v/>
      </c>
      <c r="B1692" s="2" t="n">
        <v>43221.71707175926</v>
      </c>
      <c r="C1692" t="n">
        <v>2</v>
      </c>
      <c r="D1692" t="n">
        <v>1</v>
      </c>
      <c r="E1692" t="s">
        <v>1687</v>
      </c>
      <c r="F1692" t="s"/>
      <c r="G1692" t="s"/>
      <c r="H1692" t="s"/>
      <c r="I1692" t="s"/>
      <c r="J1692" t="n">
        <v>0.886</v>
      </c>
      <c r="K1692" t="n">
        <v>0.164</v>
      </c>
      <c r="L1692" t="n">
        <v>0.481</v>
      </c>
      <c r="M1692" t="n">
        <v>0.356</v>
      </c>
    </row>
    <row r="1693" spans="1:13">
      <c r="A1693" s="1">
        <f>HYPERLINK("http://www.twitter.com/NathanBLawrence/status/991360275533254657", "991360275533254657")</f>
        <v/>
      </c>
      <c r="B1693" s="2" t="n">
        <v>43221.70465277778</v>
      </c>
      <c r="C1693" t="n">
        <v>2</v>
      </c>
      <c r="D1693" t="n">
        <v>1</v>
      </c>
      <c r="E1693" t="s">
        <v>1688</v>
      </c>
      <c r="F1693" t="s"/>
      <c r="G1693" t="s"/>
      <c r="H1693" t="s"/>
      <c r="I1693" t="s"/>
      <c r="J1693" t="n">
        <v>0.4703</v>
      </c>
      <c r="K1693" t="n">
        <v>0</v>
      </c>
      <c r="L1693" t="n">
        <v>0.914</v>
      </c>
      <c r="M1693" t="n">
        <v>0.08599999999999999</v>
      </c>
    </row>
    <row r="1694" spans="1:13">
      <c r="A1694" s="1">
        <f>HYPERLINK("http://www.twitter.com/NathanBLawrence/status/991147186909073409", "991147186909073409")</f>
        <v/>
      </c>
      <c r="B1694" s="2" t="n">
        <v>43221.11664351852</v>
      </c>
      <c r="C1694" t="n">
        <v>0</v>
      </c>
      <c r="D1694" t="n">
        <v>0</v>
      </c>
      <c r="E1694" t="s">
        <v>1689</v>
      </c>
      <c r="F1694" t="s"/>
      <c r="G1694" t="s"/>
      <c r="H1694" t="s"/>
      <c r="I1694" t="s"/>
      <c r="J1694" t="n">
        <v>0.4404</v>
      </c>
      <c r="K1694" t="n">
        <v>0</v>
      </c>
      <c r="L1694" t="n">
        <v>0.838</v>
      </c>
      <c r="M1694" t="n">
        <v>0.162</v>
      </c>
    </row>
    <row r="1695" spans="1:13">
      <c r="A1695" s="1">
        <f>HYPERLINK("http://www.twitter.com/NathanBLawrence/status/991146661656264704", "991146661656264704")</f>
        <v/>
      </c>
      <c r="B1695" s="2" t="n">
        <v>43221.11519675926</v>
      </c>
      <c r="C1695" t="n">
        <v>2</v>
      </c>
      <c r="D1695" t="n">
        <v>1</v>
      </c>
      <c r="E1695" t="s">
        <v>1690</v>
      </c>
      <c r="F1695" t="s"/>
      <c r="G1695" t="s"/>
      <c r="H1695" t="s"/>
      <c r="I1695" t="s"/>
      <c r="J1695" t="n">
        <v>-0.5983000000000001</v>
      </c>
      <c r="K1695" t="n">
        <v>0.187</v>
      </c>
      <c r="L1695" t="n">
        <v>0.737</v>
      </c>
      <c r="M1695" t="n">
        <v>0.077</v>
      </c>
    </row>
    <row r="1696" spans="1:13">
      <c r="A1696" s="1">
        <f>HYPERLINK("http://www.twitter.com/NathanBLawrence/status/991133782269988869", "991133782269988869")</f>
        <v/>
      </c>
      <c r="B1696" s="2" t="n">
        <v>43221.07965277778</v>
      </c>
      <c r="C1696" t="n">
        <v>0</v>
      </c>
      <c r="D1696" t="n">
        <v>0</v>
      </c>
      <c r="E1696" t="s">
        <v>1691</v>
      </c>
      <c r="F1696" t="s"/>
      <c r="G1696" t="s"/>
      <c r="H1696" t="s"/>
      <c r="I1696" t="s"/>
      <c r="J1696" t="n">
        <v>-0.4019</v>
      </c>
      <c r="K1696" t="n">
        <v>0.144</v>
      </c>
      <c r="L1696" t="n">
        <v>0.782</v>
      </c>
      <c r="M1696" t="n">
        <v>0.074</v>
      </c>
    </row>
    <row r="1697" spans="1:13">
      <c r="A1697" s="1">
        <f>HYPERLINK("http://www.twitter.com/NathanBLawrence/status/991133330144940032", "991133330144940032")</f>
        <v/>
      </c>
      <c r="B1697" s="2" t="n">
        <v>43221.07840277778</v>
      </c>
      <c r="C1697" t="n">
        <v>2</v>
      </c>
      <c r="D1697" t="n">
        <v>0</v>
      </c>
      <c r="E1697" t="s">
        <v>1692</v>
      </c>
      <c r="F1697" t="s"/>
      <c r="G1697" t="s"/>
      <c r="H1697" t="s"/>
      <c r="I1697" t="s"/>
      <c r="J1697" t="n">
        <v>-0.1531</v>
      </c>
      <c r="K1697" t="n">
        <v>0.125</v>
      </c>
      <c r="L1697" t="n">
        <v>0.787</v>
      </c>
      <c r="M1697" t="n">
        <v>0.08799999999999999</v>
      </c>
    </row>
    <row r="1698" spans="1:13">
      <c r="A1698" s="1">
        <f>HYPERLINK("http://www.twitter.com/NathanBLawrence/status/991132637199781888", "991132637199781888")</f>
        <v/>
      </c>
      <c r="B1698" s="2" t="n">
        <v>43221.07649305555</v>
      </c>
      <c r="C1698" t="n">
        <v>3</v>
      </c>
      <c r="D1698" t="n">
        <v>2</v>
      </c>
      <c r="E1698" t="s">
        <v>1693</v>
      </c>
      <c r="F1698" t="s"/>
      <c r="G1698" t="s"/>
      <c r="H1698" t="s"/>
      <c r="I1698" t="s"/>
      <c r="J1698" t="n">
        <v>0.4939</v>
      </c>
      <c r="K1698" t="n">
        <v>0</v>
      </c>
      <c r="L1698" t="n">
        <v>0.758</v>
      </c>
      <c r="M1698" t="n">
        <v>0.242</v>
      </c>
    </row>
    <row r="1699" spans="1:13">
      <c r="A1699" s="1">
        <f>HYPERLINK("http://www.twitter.com/NathanBLawrence/status/991132076345872384", "991132076345872384")</f>
        <v/>
      </c>
      <c r="B1699" s="2" t="n">
        <v>43221.0749537037</v>
      </c>
      <c r="C1699" t="n">
        <v>1</v>
      </c>
      <c r="D1699" t="n">
        <v>0</v>
      </c>
      <c r="E1699" t="s">
        <v>1694</v>
      </c>
      <c r="F1699" t="s"/>
      <c r="G1699" t="s"/>
      <c r="H1699" t="s"/>
      <c r="I1699" t="s"/>
      <c r="J1699" t="n">
        <v>0</v>
      </c>
      <c r="K1699" t="n">
        <v>0</v>
      </c>
      <c r="L1699" t="n">
        <v>1</v>
      </c>
      <c r="M1699" t="n">
        <v>0</v>
      </c>
    </row>
    <row r="1700" spans="1:13">
      <c r="A1700" s="1">
        <f>HYPERLINK("http://www.twitter.com/NathanBLawrence/status/991131750091902976", "991131750091902976")</f>
        <v/>
      </c>
      <c r="B1700" s="2" t="n">
        <v>43221.07405092593</v>
      </c>
      <c r="C1700" t="n">
        <v>5</v>
      </c>
      <c r="D1700" t="n">
        <v>2</v>
      </c>
      <c r="E1700" t="s">
        <v>1695</v>
      </c>
      <c r="F1700" t="s"/>
      <c r="G1700" t="s"/>
      <c r="H1700" t="s"/>
      <c r="I1700" t="s"/>
      <c r="J1700" t="n">
        <v>0.2263</v>
      </c>
      <c r="K1700" t="n">
        <v>0.081</v>
      </c>
      <c r="L1700" t="n">
        <v>0.8120000000000001</v>
      </c>
      <c r="M1700" t="n">
        <v>0.106</v>
      </c>
    </row>
    <row r="1701" spans="1:13">
      <c r="A1701" s="1">
        <f>HYPERLINK("http://www.twitter.com/NathanBLawrence/status/991123404467130368", "991123404467130368")</f>
        <v/>
      </c>
      <c r="B1701" s="2" t="n">
        <v>43221.05101851852</v>
      </c>
      <c r="C1701" t="n">
        <v>0</v>
      </c>
      <c r="D1701" t="n">
        <v>4</v>
      </c>
      <c r="E1701" t="s">
        <v>1696</v>
      </c>
      <c r="F1701" t="s"/>
      <c r="G1701" t="s"/>
      <c r="H1701" t="s"/>
      <c r="I1701" t="s"/>
      <c r="J1701" t="n">
        <v>0.4404</v>
      </c>
      <c r="K1701" t="n">
        <v>0</v>
      </c>
      <c r="L1701" t="n">
        <v>0.8179999999999999</v>
      </c>
      <c r="M1701" t="n">
        <v>0.182</v>
      </c>
    </row>
    <row r="1702" spans="1:13">
      <c r="A1702" s="1">
        <f>HYPERLINK("http://www.twitter.com/NathanBLawrence/status/991122375445041152", "991122375445041152")</f>
        <v/>
      </c>
      <c r="B1702" s="2" t="n">
        <v>43221.04818287037</v>
      </c>
      <c r="C1702" t="n">
        <v>0</v>
      </c>
      <c r="D1702" t="n">
        <v>5</v>
      </c>
      <c r="E1702" t="s">
        <v>1697</v>
      </c>
      <c r="F1702" t="s"/>
      <c r="G1702" t="s"/>
      <c r="H1702" t="s"/>
      <c r="I1702" t="s"/>
      <c r="J1702" t="n">
        <v>-0.3147</v>
      </c>
      <c r="K1702" t="n">
        <v>0.187</v>
      </c>
      <c r="L1702" t="n">
        <v>0.6899999999999999</v>
      </c>
      <c r="M1702" t="n">
        <v>0.123</v>
      </c>
    </row>
    <row r="1703" spans="1:13">
      <c r="A1703" s="1">
        <f>HYPERLINK("http://www.twitter.com/NathanBLawrence/status/991122225221767168", "991122225221767168")</f>
        <v/>
      </c>
      <c r="B1703" s="2" t="n">
        <v>43221.0477662037</v>
      </c>
      <c r="C1703" t="n">
        <v>0</v>
      </c>
      <c r="D1703" t="n">
        <v>46</v>
      </c>
      <c r="E1703" t="s">
        <v>1698</v>
      </c>
      <c r="F1703" t="s"/>
      <c r="G1703" t="s"/>
      <c r="H1703" t="s"/>
      <c r="I1703" t="s"/>
      <c r="J1703" t="n">
        <v>-0.6143999999999999</v>
      </c>
      <c r="K1703" t="n">
        <v>0.179</v>
      </c>
      <c r="L1703" t="n">
        <v>0.821</v>
      </c>
      <c r="M1703" t="n">
        <v>0</v>
      </c>
    </row>
    <row r="1704" spans="1:13">
      <c r="A1704" s="1">
        <f>HYPERLINK("http://www.twitter.com/NathanBLawrence/status/991120614298701824", "991120614298701824")</f>
        <v/>
      </c>
      <c r="B1704" s="2" t="n">
        <v>43221.04332175926</v>
      </c>
      <c r="C1704" t="n">
        <v>5</v>
      </c>
      <c r="D1704" t="n">
        <v>3</v>
      </c>
      <c r="E1704" t="s">
        <v>1699</v>
      </c>
      <c r="F1704" t="s"/>
      <c r="G1704" t="s"/>
      <c r="H1704" t="s"/>
      <c r="I1704" t="s"/>
      <c r="J1704" t="n">
        <v>-0.0772</v>
      </c>
      <c r="K1704" t="n">
        <v>0.076</v>
      </c>
      <c r="L1704" t="n">
        <v>0.857</v>
      </c>
      <c r="M1704" t="n">
        <v>0.067</v>
      </c>
    </row>
    <row r="1705" spans="1:13">
      <c r="A1705" s="1">
        <f>HYPERLINK("http://www.twitter.com/NathanBLawrence/status/991119516141785089", "991119516141785089")</f>
        <v/>
      </c>
      <c r="B1705" s="2" t="n">
        <v>43221.04028935185</v>
      </c>
      <c r="C1705" t="n">
        <v>13</v>
      </c>
      <c r="D1705" t="n">
        <v>5</v>
      </c>
      <c r="E1705" t="s">
        <v>1700</v>
      </c>
      <c r="F1705" t="s"/>
      <c r="G1705" t="s"/>
      <c r="H1705" t="s"/>
      <c r="I1705" t="s"/>
      <c r="J1705" t="n">
        <v>0.2359</v>
      </c>
      <c r="K1705" t="n">
        <v>0</v>
      </c>
      <c r="L1705" t="n">
        <v>0.946</v>
      </c>
      <c r="M1705" t="n">
        <v>0.054</v>
      </c>
    </row>
    <row r="1706" spans="1:13">
      <c r="A1706" s="1">
        <f>HYPERLINK("http://www.twitter.com/NathanBLawrence/status/991117992858701824", "991117992858701824")</f>
        <v/>
      </c>
      <c r="B1706" s="2" t="n">
        <v>43221.03608796297</v>
      </c>
      <c r="C1706" t="n">
        <v>1</v>
      </c>
      <c r="D1706" t="n">
        <v>0</v>
      </c>
      <c r="E1706" t="s">
        <v>1701</v>
      </c>
      <c r="F1706" t="s"/>
      <c r="G1706" t="s"/>
      <c r="H1706" t="s"/>
      <c r="I1706" t="s"/>
      <c r="J1706" t="n">
        <v>0</v>
      </c>
      <c r="K1706" t="n">
        <v>0</v>
      </c>
      <c r="L1706" t="n">
        <v>1</v>
      </c>
      <c r="M1706" t="n">
        <v>0</v>
      </c>
    </row>
    <row r="1707" spans="1:13">
      <c r="A1707" s="1">
        <f>HYPERLINK("http://www.twitter.com/NathanBLawrence/status/991117763988086784", "991117763988086784")</f>
        <v/>
      </c>
      <c r="B1707" s="2" t="n">
        <v>43221.03545138889</v>
      </c>
      <c r="C1707" t="n">
        <v>5</v>
      </c>
      <c r="D1707" t="n">
        <v>3</v>
      </c>
      <c r="E1707" t="s">
        <v>1702</v>
      </c>
      <c r="F1707" t="s"/>
      <c r="G1707" t="s"/>
      <c r="H1707" t="s"/>
      <c r="I1707" t="s"/>
      <c r="J1707" t="n">
        <v>0</v>
      </c>
      <c r="K1707" t="n">
        <v>0</v>
      </c>
      <c r="L1707" t="n">
        <v>1</v>
      </c>
      <c r="M1707" t="n">
        <v>0</v>
      </c>
    </row>
    <row r="1708" spans="1:13">
      <c r="A1708" s="1">
        <f>HYPERLINK("http://www.twitter.com/NathanBLawrence/status/991100481568169985", "991100481568169985")</f>
        <v/>
      </c>
      <c r="B1708" s="2" t="n">
        <v>43220.9877662037</v>
      </c>
      <c r="C1708" t="n">
        <v>0</v>
      </c>
      <c r="D1708" t="n">
        <v>0</v>
      </c>
      <c r="E1708" t="s">
        <v>1703</v>
      </c>
      <c r="F1708" t="s"/>
      <c r="G1708" t="s"/>
      <c r="H1708" t="s"/>
      <c r="I1708" t="s"/>
      <c r="J1708" t="n">
        <v>0</v>
      </c>
      <c r="K1708" t="n">
        <v>0</v>
      </c>
      <c r="L1708" t="n">
        <v>1</v>
      </c>
      <c r="M1708" t="n">
        <v>0</v>
      </c>
    </row>
    <row r="1709" spans="1:13">
      <c r="A1709" s="1">
        <f>HYPERLINK("http://www.twitter.com/NathanBLawrence/status/991098641996804096", "991098641996804096")</f>
        <v/>
      </c>
      <c r="B1709" s="2" t="n">
        <v>43220.98268518518</v>
      </c>
      <c r="C1709" t="n">
        <v>0</v>
      </c>
      <c r="D1709" t="n">
        <v>0</v>
      </c>
      <c r="E1709" t="s">
        <v>1704</v>
      </c>
      <c r="F1709" t="s"/>
      <c r="G1709" t="s"/>
      <c r="H1709" t="s"/>
      <c r="I1709" t="s"/>
      <c r="J1709" t="n">
        <v>-0.516</v>
      </c>
      <c r="K1709" t="n">
        <v>0.092</v>
      </c>
      <c r="L1709" t="n">
        <v>0.908</v>
      </c>
      <c r="M1709" t="n">
        <v>0</v>
      </c>
    </row>
    <row r="1710" spans="1:13">
      <c r="A1710" s="1">
        <f>HYPERLINK("http://www.twitter.com/NathanBLawrence/status/991094468219736070", "991094468219736070")</f>
        <v/>
      </c>
      <c r="B1710" s="2" t="n">
        <v>43220.97116898148</v>
      </c>
      <c r="C1710" t="n">
        <v>0</v>
      </c>
      <c r="D1710" t="n">
        <v>0</v>
      </c>
      <c r="E1710" t="s">
        <v>1705</v>
      </c>
      <c r="F1710" t="s"/>
      <c r="G1710" t="s"/>
      <c r="H1710" t="s"/>
      <c r="I1710" t="s"/>
      <c r="J1710" t="n">
        <v>-0.1027</v>
      </c>
      <c r="K1710" t="n">
        <v>0.127</v>
      </c>
      <c r="L1710" t="n">
        <v>0.756</v>
      </c>
      <c r="M1710" t="n">
        <v>0.117</v>
      </c>
    </row>
    <row r="1711" spans="1:13">
      <c r="A1711" s="1">
        <f>HYPERLINK("http://www.twitter.com/NathanBLawrence/status/991093643745333248", "991093643745333248")</f>
        <v/>
      </c>
      <c r="B1711" s="2" t="n">
        <v>43220.96888888889</v>
      </c>
      <c r="C1711" t="n">
        <v>0</v>
      </c>
      <c r="D1711" t="n">
        <v>0</v>
      </c>
      <c r="E1711" t="s">
        <v>1706</v>
      </c>
      <c r="F1711" t="s"/>
      <c r="G1711" t="s"/>
      <c r="H1711" t="s"/>
      <c r="I1711" t="s"/>
      <c r="J1711" t="n">
        <v>0</v>
      </c>
      <c r="K1711" t="n">
        <v>0</v>
      </c>
      <c r="L1711" t="n">
        <v>1</v>
      </c>
      <c r="M1711" t="n">
        <v>0</v>
      </c>
    </row>
    <row r="1712" spans="1:13">
      <c r="A1712" s="1">
        <f>HYPERLINK("http://www.twitter.com/NathanBLawrence/status/991091105931366400", "991091105931366400")</f>
        <v/>
      </c>
      <c r="B1712" s="2" t="n">
        <v>43220.96188657408</v>
      </c>
      <c r="C1712" t="n">
        <v>5</v>
      </c>
      <c r="D1712" t="n">
        <v>2</v>
      </c>
      <c r="E1712" t="s">
        <v>1707</v>
      </c>
      <c r="F1712" t="s"/>
      <c r="G1712" t="s"/>
      <c r="H1712" t="s"/>
      <c r="I1712" t="s"/>
      <c r="J1712" t="n">
        <v>0</v>
      </c>
      <c r="K1712" t="n">
        <v>0</v>
      </c>
      <c r="L1712" t="n">
        <v>1</v>
      </c>
      <c r="M1712" t="n">
        <v>0</v>
      </c>
    </row>
    <row r="1713" spans="1:13">
      <c r="A1713" s="1">
        <f>HYPERLINK("http://www.twitter.com/NathanBLawrence/status/991090500953346049", "991090500953346049")</f>
        <v/>
      </c>
      <c r="B1713" s="2" t="n">
        <v>43220.96021990741</v>
      </c>
      <c r="C1713" t="n">
        <v>6</v>
      </c>
      <c r="D1713" t="n">
        <v>2</v>
      </c>
      <c r="E1713" t="s">
        <v>1708</v>
      </c>
      <c r="F1713" t="s"/>
      <c r="G1713" t="s"/>
      <c r="H1713" t="s"/>
      <c r="I1713" t="s"/>
      <c r="J1713" t="n">
        <v>0.6946</v>
      </c>
      <c r="K1713" t="n">
        <v>0.046</v>
      </c>
      <c r="L1713" t="n">
        <v>0.795</v>
      </c>
      <c r="M1713" t="n">
        <v>0.16</v>
      </c>
    </row>
    <row r="1714" spans="1:13">
      <c r="A1714" s="1">
        <f>HYPERLINK("http://www.twitter.com/NathanBLawrence/status/991089691997990914", "991089691997990914")</f>
        <v/>
      </c>
      <c r="B1714" s="2" t="n">
        <v>43220.95798611111</v>
      </c>
      <c r="C1714" t="n">
        <v>4</v>
      </c>
      <c r="D1714" t="n">
        <v>3</v>
      </c>
      <c r="E1714" t="s">
        <v>1709</v>
      </c>
      <c r="F1714" t="s"/>
      <c r="G1714" t="s"/>
      <c r="H1714" t="s"/>
      <c r="I1714" t="s"/>
      <c r="J1714" t="n">
        <v>0.4215</v>
      </c>
      <c r="K1714" t="n">
        <v>0.08599999999999999</v>
      </c>
      <c r="L1714" t="n">
        <v>0.744</v>
      </c>
      <c r="M1714" t="n">
        <v>0.17</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2018-05-08T06:23:27Z</dcterms:created>
  <dcterms:modified xmlns:dcterms="http://purl.org/dc/terms/" xmlns:xsi="http://www.w3.org/2001/XMLSchema-instance" xsi:type="dcterms:W3CDTF">2018-05-08T06:23:27Z</dcterms:modified>
</cp:coreProperties>
</file>