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<sst xmlns="http://schemas.openxmlformats.org/spreadsheetml/2006/main" uniqueCount="3137">
  <si>
    <t>id</t>
  </si>
  <si>
    <t>created_at</t>
  </si>
  <si>
    <t>fav</t>
  </si>
  <si>
    <t>rt</t>
  </si>
  <si>
    <t>text</t>
  </si>
  <si>
    <t>media1</t>
  </si>
  <si>
    <t>media2</t>
  </si>
  <si>
    <t>media3</t>
  </si>
  <si>
    <t>media4</t>
  </si>
  <si>
    <t>compound</t>
  </si>
  <si>
    <t>neg</t>
  </si>
  <si>
    <t>neu</t>
  </si>
  <si>
    <t>pos</t>
  </si>
  <si>
    <t>RT @jerome_corsi: FBI Agent Who Quit Over ‘Rigged’ Clinton Case To Testify; Drops BOMB On Comey, Obama https://t.co/zVbBmKXx5K John Giacalo…</t>
  </si>
  <si>
    <t>RT @FoxNews: .@newtgingrich: “I think the president so far, has basically done a pretty good job.” https://t.co/zGnk4ezO4o</t>
  </si>
  <si>
    <t>RT @PhilMcCrackin44: 💥Starbucks CEO Blames President Trump For Racial Divide In America; Really?!
Clearly, Starbucks CEO Howard Schultz Ha…</t>
  </si>
  <si>
    <t>RT @FoxNews: .@MZHemingway: “We have no evidence of any treasonous collusion with Russia to steal the election.” https://t.co/3CSa3xRxmp</t>
  </si>
  <si>
    <t>RT @dbongino: Someone should ask Trey Gowdy why the FBI hid their investigative witch hunt into the Trump team from congressional oversight…</t>
  </si>
  <si>
    <t>RT @AMike4761: Civil War Erupts In Sweden as Irate Swedes Burn Nine Muslim Refugee Centers to the Ground.  Failed Immigration Policy has go…</t>
  </si>
  <si>
    <t>RT @hickorymtnman: INSPECTOR GENERAL REPORT
Due to be delivered on June 5th to the Senate Judiciary Committee
It's only six months late!…</t>
  </si>
  <si>
    <t>RT @realDonaldTrump: ....chief law enforcement officer, and they told me later, ‘oh by the way I’m not going to be able to participate in t…</t>
  </si>
  <si>
    <t>RT @JackPosobiec: Roseanne has $80 million and acres of land in Hawaii. Sorry to disappoint the haters, but she’s gonna be fine</t>
  </si>
  <si>
    <t>RT @LauraLoomer: Weird how people are going crazy over @therealroseanne’s tweet even though she admitted she tweeted it &amp;amp; apologized.
How…</t>
  </si>
  <si>
    <t>RT @realDonaldTrump: ....There are lots of really good lawyers in the country, he could have picked somebody else!” And I wish I did!</t>
  </si>
  <si>
    <t>RT @realDonaldTrump: Rep.Trey Gowdy, “I don’t think so, I think what the President is doing is expressing frustration that Attorney General…</t>
  </si>
  <si>
    <t>RT @StephenMilIer: Roseanne wasn't fired because of a bad joke, she was fired for being a Trump supporter.</t>
  </si>
  <si>
    <t>RT @FoxNews: Lava advances on properties in Hawaii https://t.co/cjyfXZCG83</t>
  </si>
  <si>
    <t>RT @spacesnstars: Mercury, Venus and Saturn above the pyramids of Giza, Egypt. This occurs once every 2373 years. https://t.co/tLLTYmjOGn</t>
  </si>
  <si>
    <t>RT @LoriinUtah: Returned Missionary Josh Holt, Jailed in Venezuela Returns Home to Hero's Welcome, Testifies of the Power of Prayer https:/…</t>
  </si>
  <si>
    <t>RT @realDonaldTrump: Sorry, I’ve got to start focusing my energy on North Korea Nuclear, bad Trade Deals, VA Choice, the Economy, rebuildin…</t>
  </si>
  <si>
    <t>RT @realDonaldTrump: We have put a great team together for our talks with North Korea. Meetings are currently taking place concerning Summi…</t>
  </si>
  <si>
    <t>RT @MarkACollett: Muslims march through the streets of England as patriots are dragged to jail for warning people of the threat that Islam…</t>
  </si>
  <si>
    <t>Hell No! Absolutely Not! https://t.co/BvHw08RqUM</t>
  </si>
  <si>
    <t>RT @realDonaldTrump: The Fake Mainstream Media has, from the time I announced I was running for President, run the most highly sophisticate…</t>
  </si>
  <si>
    <t>RT @CaliConsrvative: If FOX can pick up Roseanne and run it right next to Last Man Standing in a prime time slot they will absolutely DOMIN…</t>
  </si>
  <si>
    <t>RT @FoxNews: .@POTUS: "Prosperity is booming, optimism is surging, and America is winning." https://t.co/571Ox2Jh1n</t>
  </si>
  <si>
    <t>RT @mandymendez90: Today might seem like the worst day ever for Roseanne, but this is the beginning of something bigger and better!!! You n…</t>
  </si>
  <si>
    <t>RT @RodStryker: @therealroseanne Rosanne,
ABC was looking for a reason to fire you.
They can't stand for a conservative voice of reason &amp;amp;…</t>
  </si>
  <si>
    <t>RT @Thomas1774Paine: D.C. FBI Insiders Fear: “General Flynn Might Take a Flamethrower to this Town Before He is Done” https://t.co/OwdVjAKt…</t>
  </si>
  <si>
    <t>RT @REALBASEDBLONDE: ♥️♥️♥️Thank You FOX.  Fox Agrees to Run The Next Series of ROSEANNE Within 3 Months After ABC Cancelled the Sitcom. ht…</t>
  </si>
  <si>
    <t>RT @thebradfordfile: How many Americans would wait in line for hours to hear an hour long speech from the self-serving victimization savant…</t>
  </si>
  <si>
    <t>RT @magaliamountain: We love you Roseanne. The people that are supporting you are great. Looking forward to seeing you on infowars. https:/…</t>
  </si>
  <si>
    <t>RT @therealroseane: Twitter keeps deleting my followers. WTF! Please RT and follow if you can see this. Can't let those bastards win! #Qano…</t>
  </si>
  <si>
    <t>RT @jeepsuzih2: Call On 💥💥💥💥💥💥💥
TRUMP SUPPORTERS:❤🇺🇸❤🇺🇸❤🇺🇸❤🇺🇸❤🇺🇸❤🇺🇸❤🇺🇸❤🇺🇸❤🇺🇸❤🇺🇸❤🇺🇸❤
Trump Supporters Should Go to Starbucks Tomorrow Wearin…</t>
  </si>
  <si>
    <t>RT @LaunaSallai: #BoycottABC 👎#ABCSucks
#BoycottABC 👎#ABCSucks
#BoycottABC 👎#ABCSucks
#BoycottABC 👎#ABCSucks
#BoycottABC 👎#ABCSucks
#Boycot…</t>
  </si>
  <si>
    <t>RT @robjh1: I wonder if #BarackObama is going to disassociate himself with #Netflix now that they have given socially and politically incor…</t>
  </si>
  <si>
    <t>RT @NevadaJack2: Hillary Clinton, the poster child for everything that's wrong with the Left, believes the Democrat Party is the way to go…</t>
  </si>
  <si>
    <t>RT @Pink_About_it: Hillary hosts 1,000 plate dinners for rich politicians---
.......and Trump hosts rallies such as tonight's in Nashville…</t>
  </si>
  <si>
    <t>RT @poconomtn: Try as you may! He’s He to stay🇺🇸❤️🇺🇸❤️🇺🇸❤️🇺🇸❤️🇺🇸 https://t.co/2LDFvaHy1h</t>
  </si>
  <si>
    <t>RT @Kimbraov1: The moral of this story; Do not criticize Islam. Ever. https://t.co/EIPcjAMG4m</t>
  </si>
  <si>
    <t>RT @OliverMcGee: Retweet if YOU WANT @FOXTV to pick up my friend @therealroseanne’s Hit Show! 
#FreedomOfSpeech #1A @FoxNews @POTUS @realD…</t>
  </si>
  <si>
    <t>RT @FriendlyJMC: It's crystal clear what the call letters stand for:
All
But
Conservatives
I'm forever boycotting ESPN, abc, and Disney.…</t>
  </si>
  <si>
    <t>RT @JackPosobiec: Roseanne’s grandmother had her entire family wiped out by the Nazis in the Holocaust. Not hard to guess why she, as a Jew…</t>
  </si>
  <si>
    <t>RT @benshapiro: If only Roseanne had attended those Starbucks diversity training sessions, all this could have been avoided.</t>
  </si>
  <si>
    <t>RT @kwilli1046: We can all agree that what Roseanne said was unacceptable, but she apologized immediately. We all do things that we regret.…</t>
  </si>
  <si>
    <t>RT @KTHopkins: Speaking from experience - the cancelling of #Roseanne over a tweet is NOT a matter of free speech. It is about NOT being fo…</t>
  </si>
  <si>
    <t>Hey Matt! Keep up the great work #patriot ! #WeThePeople love you man! #MAGA https://t.co/tBvN1HPOV7</t>
  </si>
  <si>
    <t>RT @NevadaJack2: Utah Senate candidate Mitt Romney stated that President Trump’s policies “have been, by and large, a good deal better than…</t>
  </si>
  <si>
    <t>RT @RealAlexJones: George #Soros Responds to #Roseanne Pointing Out He Confiscated Jewish Property - https://t.co/EK0z6I4fuF  #tcot #tlot</t>
  </si>
  <si>
    <t>RT @JackPosobiec: ABC never even made Jimmy Kimmel apologize for any of his bigoted homophobic comments, and yet his show is still on every…</t>
  </si>
  <si>
    <t>#BoycottABC https://t.co/XYAF2vRdIH</t>
  </si>
  <si>
    <t>RT @IWillRedPillU: ABC Canceled Roseanne Barr - The Real Reason Is QAnon
#IStandWithRoseanne #QAnon #FirstAmendment #1A #FreeSpeech
#Rosean…</t>
  </si>
  <si>
    <t>RT @RSBNetwork: The crowd is pumped up and ready to see @realDonaldTrump 🎥🇺🇸 2 hours to go! https://t.co/3p7bqhP9sJ</t>
  </si>
  <si>
    <t>RT @JackPosobiec: Roseanne, Tim Allen, Kevin Sorbo, Stephen Baldwin and other blacklisted content creators should start up their own versio…</t>
  </si>
  <si>
    <t>RT @Justin_Formed: #FreeTommyRobinson https://t.co/M9II7ffjmD</t>
  </si>
  <si>
    <t>RT @Anon_decoder: You were given everything you need 
Right at the beginning 
Q drop #1332
#Qanon
#TheGreatAwakening 
https://t.co/HQhnorE…</t>
  </si>
  <si>
    <t>RT @buzzman888: 🚨🚨 Roseanne Show Cancelled by ABC 🚨🚨
https://t.co/w85aLOD2jk</t>
  </si>
  <si>
    <t>RT @ladydwinter: Embarrassment for New York Times as top editor falls for old photo amid weekend of misleading anti-Trump tweets
#AllMainSt…</t>
  </si>
  <si>
    <t>RT @Dawn_DeMore1: .@ABCNetwork 
#TheView And #JimmyKimmel 
👉Extreme Hatred!👈
2 Of The Most VILE And VULGAR Shows On TV!
Did They Ever Apo…</t>
  </si>
  <si>
    <t>https://t.co/O1E2TTngmw</t>
  </si>
  <si>
    <t>RT @MarkDice: I don't think it's fair to say Roseanne's comments were 'racist.'   I'd bet she just learned Valerie Jarret is 'black' along…</t>
  </si>
  <si>
    <t>RT @CraigRSawyer: Focused on Roseanne, are we? https://t.co/FixkhcGLRz</t>
  </si>
  <si>
    <t>RT @JackPosobiec: Whoever picks up the Roseanne show is going to make a mint</t>
  </si>
  <si>
    <t>RT @WalshFreedom: Ok, Roseanne no longer has a job? Fine. It's called freedom. It's the free market at work. I get it.
But @JoyAnnReid sti…</t>
  </si>
  <si>
    <t>RT @Real_PeachyKeen: Screw you @ABCNework.
I STAND WITH @therealroseanne!
#IStandWithRoseanne
#IStandWithRoseanne 
#IStandWithRoseanne 
#…</t>
  </si>
  <si>
    <t>RT @realJonBrooks: Twitter reinstate @BackChannel17 account !!! stop censoring our free speech you are no friend of Liberty twitter. @Patri…</t>
  </si>
  <si>
    <t>RT @MAGAWOMAN93: Roseanne publicly went after George Soros and just a few hours later her show is canceled. That's the real reason, there's…</t>
  </si>
  <si>
    <t>RT @RealMattCouch: Breaking News ABC cancels Roseanne LIVE America First Media Group https://t.co/e6cWEMv7ae</t>
  </si>
  <si>
    <t>RT @RJMorse13: CIA Whistleblower Kevin Shipp: ‘Hillary Clinton Was And Is Running A Global Financial Criminal Syndicate’ https://t.co/jXSdB…</t>
  </si>
  <si>
    <t>RT @TwitterMoments: ABC has canceled the Roseanne revival following Roseanne Barr’s controversial comments. https://t.co/zUEXXko2Qi</t>
  </si>
  <si>
    <t>RT @therealroseanne: I apologize to Valerie Jarrett and to all Americans. I am truly sorry for making a bad joke about her politics and her…</t>
  </si>
  <si>
    <t>RT @therealroseanne: I apologize. I am now leaving Twitter.</t>
  </si>
  <si>
    <t>RT @NevadaJack2: President Trump will visit Nashville, Tennessee today to host a roundtable and dinner with supporters before holding one o…</t>
  </si>
  <si>
    <t>RT @jd_gameon: The ONLY reason Starbucks CEO Howard Schultz is closing 8000 stores for “Sensitivity Training” at a cost of $12million is be…</t>
  </si>
  <si>
    <t>RT @CraigRSawyer: #Contraland is our feature film documentary to expose the reality of child trafficking in the USA. We’re funding the enti…</t>
  </si>
  <si>
    <t>RT @President1Trump: Thanks Hogg! The NRA Just SHATTERED Another record  https://t.co/HKRW0llHby</t>
  </si>
  <si>
    <t>RT @NevadaJack2: White House Chief of Staff John Kelly and his wife Karen were among the many families and friends who visited Arlington on…</t>
  </si>
  <si>
    <t>RT @MarkDice: Hey @FoxTV, I know another great show you can add to your lineup right after Last Man Standing since ABC went social justice…</t>
  </si>
  <si>
    <t>RT @RoseHasMoreFun: Where has London gone? What happened? Why did they let the liberals take over?  Are they gone forever? The 1960’s  and…</t>
  </si>
  <si>
    <t>RT @JenNongel: Was hoping there would be a better outcome for him. 😔 So very sad.  RIP soldier 🙏🏻 🇺🇸
National Guardsman's body found near…</t>
  </si>
  <si>
    <t>RT @GrrrGraphics: #TinaToon #TuesdayThoughts MAGA-bunga Dude! Catch the Red wave. #RedWaveRising2018 #RedWave #Trump2020 #MAGA  #funday mor…</t>
  </si>
  <si>
    <t>RT @MarkDice: Your coffee tastes like it was brewed with bicycle tires. https://t.co/vPr5irf40E</t>
  </si>
  <si>
    <t>RT @PhilMcCrackin44: Jeff Flake Hints At 2020 Run, Calls On GOP to Forcefully Stand Up To Trump. 
 RINO Jeff Flake, couldn't even win re-el…</t>
  </si>
  <si>
    <t>RT @birdman8272: Adam Schiff is calling President Trump supporters and Republicans bums. Didn't he learn his lesson when #CrookedHillary  c…</t>
  </si>
  <si>
    <t>RT @Chicago1Ray: Mayor of West Hollywood handed Stormy Daniels a key 🔑 to the city 
He went so far as to say she had Dignity 🤔
Her accept…</t>
  </si>
  <si>
    <t>RT @The_Trump_Train: @realDonaldTrump KEEP AMERICA GREAT!
Cover shipping and we’ll send you a flag!
Click here now: https://t.co/HxNzUkk5…</t>
  </si>
  <si>
    <t>RT @DRUDGE_REPORT: Three dead as gunman 'shouting 'Allahu Akbar' launches cafe attack in Belgium... https://t.co/rfqVrkFzkN</t>
  </si>
  <si>
    <t>RT @John_KissMyBot: This Censorship Sound Familiar
 👉Twitter recently blocked a user who posted sharp criticism of Hamas, the militant and…</t>
  </si>
  <si>
    <t>RT @LeahR77: The world is FINISHED with being quiet while children are being sacrificed at the altar of political correctness by elite 
ped…</t>
  </si>
  <si>
    <t>RT @winstonCovfefe: This is Judge Geoffrey Marson,  who sentenced #TommyRobinson to 13  months in jail secretly while imposing a media blac…</t>
  </si>
  <si>
    <t>RT @realDonaldTrump: Democrats mistakenly tweet 2014 pictures from Obama’s term showing children from the Border in steel cages. They thoug…</t>
  </si>
  <si>
    <t>RT @andersonDrLJA: What Every Utah Voter Needs To Know About #RinoMittRomney » The Hagmann Report 
#NeverRomney As Utah US Senator!!
INSTEA…</t>
  </si>
  <si>
    <t>RT @DrMartyFox: #MEMORIALDAY 
"We Sleep Soundly In Our Beds Because Rough Men Stand Ready In The Night To Visit Violence On Those Who Woul…</t>
  </si>
  <si>
    <t>RT @grizz_meister: The sanctuary city with the strictest of laws regarding firearms doesn’t appear to be working in favor of the leftist gu…</t>
  </si>
  <si>
    <t>RT @Jamierodr10: The Left Wants To Silence Patriots Like Tommy Robinson! He’s A Hero For Exposing Grooming Gangs &amp;amp; Pedophiles! We Need To C…</t>
  </si>
  <si>
    <t>RT @Chicago1Ray: @IngrahamAngle asks Bongino his thoughts on [Samantha Power] 
"Remember Laura Power still insists that it wasn't even her…</t>
  </si>
  <si>
    <t>Oh Hell No! https://t.co/ehRBJrZ6qe</t>
  </si>
  <si>
    <t>I've known this for years! Obama was a totally "created" CIA/Soros asset who was put into power to destroy America! Of course he never attended Columbia! #TrojanHorse https://t.co/KL9XIsAix4</t>
  </si>
  <si>
    <t>RT @FoxNews: .@MorganOrtagus: “It seems like we’re headed towards a summit with Kim Jong Un and President Trump.” https://t.co/hWQmZ1h2N1</t>
  </si>
  <si>
    <t>RT @realDonaldTrump: “Everyone knows there was a Spy, and in fact the people who were involved in the Spying are admitting that there was a…</t>
  </si>
  <si>
    <t>RT @conservmia: And he still wants people to vote for him?  Yeah sure. You’re very stable to make decision for the American people. Get to…</t>
  </si>
  <si>
    <t>RT @SnoreNoMoreShop: Tired of snoring? Finally get relief! Tag somebody that needs this!
😴 https://t.co/oJGT4iSOuF https://t.co/RN7DfageGN</t>
  </si>
  <si>
    <t>RT @chuckwoolery: Rolling Thunder Draws Millions Of Bikers To DC To Honor Fallen Military Heroes For Memorial Day (VIDEO) https://t.co/g4E8…</t>
  </si>
  <si>
    <t>RT @ClintonMSix141: I love this saluting Soldier!
"all gave some, and some gave all"
This is to all those who gave all...💔
#MemorialDay…</t>
  </si>
  <si>
    <t>RT @ScottforFlorida: When I was in the Navy I saw veterans and sailors being disrespected and demeaned. I never want that to happen again,…</t>
  </si>
  <si>
    <t>RT @JudicialWatch: JW filed a FOIA lawsuit w/ the FBI for records on the removal &amp;amp; reassignment of Peter Strzok (formerly a top FBI officia…</t>
  </si>
  <si>
    <t>RT @foxandfriends: President Trump vows ‘We will never forget our heroes’ https://t.co/kRu4XbyEMr</t>
  </si>
  <si>
    <t>RT @wisconsinGodsPl: THESE ARE PICTURES OF OUR EX'S
IT IS OBVIOUS THEY DID A VERY POOR JOB WHILE EMPLOYED BY THE US GOVERNMENT
2 HAD TO G…</t>
  </si>
  <si>
    <t>RT @therealroseanne: soros' goal; the overthrow of us constitutional republic by buying/backing candidates 4 local district attorney races…</t>
  </si>
  <si>
    <t>RT @WLouT2: There is absolutely no reason not to #BuildTheWallNow 
We have another war on our homeland because our borders aren’t secure. #…</t>
  </si>
  <si>
    <t>RT @trumpism_45: You can pre order my new book at a discounted price for 60 days. By then, you'll all be ready for it...
'The History of th…</t>
  </si>
  <si>
    <t>RT @TomFitton: So after hiring Benghazi liar/unmasker Susan Rice, @Netflix pays $50 mill plus to Obamas to produce propaganda? Politicized…</t>
  </si>
  <si>
    <t>RT @joyreaper: WATCH: Veteran-Owned Coffee Company Puts Out Powerful Video Showing Reality Behind Memorial Day https://t.co/AGjMBUtIb4</t>
  </si>
  <si>
    <t>RT @HCDotNet: I am still an NRA member.  The NRA is not a terrorist organization liberals.  By you calling it that, you're calling each mem…</t>
  </si>
  <si>
    <t>RT @ROHLL5: CELEBRATING THE LIVES OF OUR SOLDIERS ON THIS MEMORIAL DAY 2018 🇺🇸
OUR FREEDOM IS TRULY NOT SO FREE... THESE SOLDIERS PAID THE…</t>
  </si>
  <si>
    <t>RT @AntonioSabatoJr: To all our amazing Military Soldiers around the world and in heaven above, i cherish you i thank you &amp;amp; finally, i will…</t>
  </si>
  <si>
    <t>RT @SternScotty: @pjbowles4 @farriskent @JackCarsrud @V22_USMC @GIJoeOPS @Cowboy091455 @MBthechooser @dkrwilliams @BrenowitzS @GenFlynn @co…</t>
  </si>
  <si>
    <t>RT @RaynelStrategic: "Swick boots On the Deck"
state-of-the-art-of-mainless 
Be fast be coordinated be reliable be a SWCC  
Special Warfar…</t>
  </si>
  <si>
    <t>RT @RavenHawk4: SWAMP SLIME...????? https://t.co/IhpdNop4Do</t>
  </si>
  <si>
    <t>RT @thebradfordfile: RETWEET if you are ready for some indictments:
Hillary
Comey
Brennan
Page
Obama
Yates
Lynch
Rhodes
Jarrett
Huma
Strzo…</t>
  </si>
  <si>
    <t>RT @DeplorableProf2: @Briteeye777 @gjonesc3 @Pixinamerica1 @DaZipstahh @David_MagaUSA @TeedIsMe @KellsBellsSC @LindaKing913 @_IamAnita_D @d…</t>
  </si>
  <si>
    <t>RT @Red_Baron63: https://t.co/5kLBmguxwx</t>
  </si>
  <si>
    <t>RT @SMusfelt: @therealroseanne @Gregory52594205  https://t.co/WN6RApSZhF</t>
  </si>
  <si>
    <t>RT @realDonaldTrump: Chicago Police have every right to legally protest against the mayor and an administration that just won’t let them do…</t>
  </si>
  <si>
    <t>RT @JackPosobiec: The UK ban on discussing Tommy Robinson is the best argument for the First Amendment I have ever seen https://t.co/DkH57c…</t>
  </si>
  <si>
    <t>RT @realDonaldTrump: #MemorialDay🇺🇸 https://t.co/Iohcuhi4dQ</t>
  </si>
  <si>
    <t>RT @bbusa617: 👇👇👇👇👇 https://t.co/xJusmHdhRS</t>
  </si>
  <si>
    <t>RT @Stump_for_Trump: Spygate is turning out to be one of the biggest political scandals in U.S. history. The Justice Department must act! h…</t>
  </si>
  <si>
    <t>RT @Americanvet1219: https://t.co/oCYeUrDbTX</t>
  </si>
  <si>
    <t>RT @PatriotMarie: ❤️Remembering our heroes who paid the ultimate sacrifice 🇺🇸
John 15:13
Greater love hath no man than this, that a man la…</t>
  </si>
  <si>
    <t>RT @FoxNews: Navy Korean War veteran Bob Shaw, left, and Navy World War II veteran Howard Konetchy salute during the national anthem at a M…</t>
  </si>
  <si>
    <t>RT @realDonaldTrump: Our fallen heroes have not only written our history they have shaped our destiny. They saved the lives of the men and…</t>
  </si>
  <si>
    <t>RT @DShepUSA: @pjbowles4 @tenbear123 @Booberry32Dix @6xkaos @AmericaHasBalls @NewZooReviews @Americanvet1219 @amory_miller @guyyoudontknow6…</t>
  </si>
  <si>
    <t>RT @LymeLadytrump: @pjbowles4 @DanAndr66 @startpackin @Papa1224Bob @jghall6 @RARRRRR @77Letsgofishing @ronaldauman @ServedProud @usmc_army…</t>
  </si>
  <si>
    <t>RT @ibfireproof: @pjbowles4 @deenie7940 @HDlugolecki @suprdupe @BrianCo9930 @bauer3151 @Wsoxwinyes @Barnett20Todd @wwwillstand @ServedProud…</t>
  </si>
  <si>
    <t>RT @rcjhawk86: #MemorialDay #NeverForget 🇺🇸
“For love of Country they accepted death”.....
           ~James A. Garfield, 1868 https://t.…</t>
  </si>
  <si>
    <t>RT @AnnaBD20: #MemorialDayWeekend2018 #HonortheFallen  
#RollingThunder2018 
https://t.co/qGleWZVuS2</t>
  </si>
  <si>
    <t>RT @Combat_Vet_: Someone once opined that the definition of an honest politician is one that actually stays bribed. Obama is such an accomp…</t>
  </si>
  <si>
    <t>RT @MaureenHarleyP3: @Patriotic_Va @RubyRockstar333 @jerseygirl2you @MAGAKrissy @JDsMindcrime @Real_PeachyKeen @LisaSmith4680 @SonofLiberty…</t>
  </si>
  <si>
    <t>RT @w_terrence: .@ChelseaClinton your Daddy Bill Clinton Degrades what it means to be an American by not claiming his black son. But you cl…</t>
  </si>
  <si>
    <t>RT @Baby___Del: @martinl30346020 The best way to protest #Twitter is to mute all advertisements after Tweeting to the advertisers why you w…</t>
  </si>
  <si>
    <t>Attention Patriots! Please check out my YouTube channel. https://t.co/kchTjo3TQy</t>
  </si>
  <si>
    <t>On this Memorial Day I'm dedicating myself to doing all can to support @realDonaldTrump to ##MAGA by sharing Truth and Knowledge with the masses! https://t.co/kchTjo3TQy</t>
  </si>
  <si>
    <t>RT @realDonaldTrump: Thank you for joining us on this solemn day of remembrance. We are gathered here on the sacred soil of @ArlingtonNatl…</t>
  </si>
  <si>
    <t>RT @kimUSAStrong: 🛑RT YOUR SUPPORT🛑
🛑Show your support of free speech
🛑Show your support Of freedom of the press
🛑Show your support of Tom…</t>
  </si>
  <si>
    <t>RT @Joy_Villa: They just won’t leave Stone, alone. #fighter #maga ROGER STONE EXCLUSIVE: Mueller Can Indict a Ham Sandwich But I'm Not Inte…</t>
  </si>
  <si>
    <t>RT @MagniFieri: North Korea tried to pull a fast one so President @realDonaldTrump canceled the summit ...
Hours later Kim Jong Un &amp;amp; North…</t>
  </si>
  <si>
    <t>RT @Truthseeker126: A YUGE thank you to these two patriots who continue to serve in order to #MAGA! #MemorialDay #AmericaFirst https://t.co…</t>
  </si>
  <si>
    <t>RT @WhiteHouse: Today, President Trump participated in a Memorial Day ceremony at Arlington National Cemetery to honor and remember our nat…</t>
  </si>
  <si>
    <t>RT @realDonaldTrump: “We now find out that the Obama Administration put the opposing campaigns presidential candidate, or his campaign, und…</t>
  </si>
  <si>
    <t>RT @TrumpsDC: This is pretty awesome. Thank God for the ones that still see how great our nation is and thank God for the ones that still h…</t>
  </si>
  <si>
    <t>RT @LionelMedia: #HappyMemorialDay 
Join me at Noon ET for my daily #LionelNation YouTube Live Stream discussing today the latest on the in…</t>
  </si>
  <si>
    <t>RT @TrumpTrainMRA4: From the AltLeft to Right...
The Life &amp;amp; Times of...
Crooked HilLIARy StumbleLina Rotten Clinton
@HillaryClinton @BillCl…</t>
  </si>
  <si>
    <t>RT @MICHELL59952525: 🇺🇸#WeThePeople #Remember &amp;amp;
#WeHonorOurFallen Who Have
#Sacrificed For Our #Freedom 
We Sincerely Say #ThankYou
To :The…</t>
  </si>
  <si>
    <t>RT @TrumpTrainMRA4: The Ever Evolving AltLeft StarBucks...
Now you can:
Loiter 
Defecate 
Demand FREE coffee because of coffee skin color
E…</t>
  </si>
  <si>
    <t>RT @AnnaApp91838450: GOOD MORNING PATRIOTS PRAY FOR OUR PAST 🙏 PRESENT/MILITARY FOR OUR FREEDOM/THEY GAVE ULTIMATE SACRIFICE FOR US 
I WILL…</t>
  </si>
  <si>
    <t>RT @jd_gameon: Simply touching! 🇺🇸 https://t.co/NAk0uVbpnx</t>
  </si>
  <si>
    <t>RT @buzzman888: 🇺🇸🇬🇧🇺🇸🇬🇧🇺🇸🇬🇧🇺🇸🇬🇧🇺🇸🇬🇧🇺🇸🇬🇧🇺🇸🇬🇧🇺🇸🇬🇧🇺🇸🇬🇧🇺🇸🇬🇧
#FreeTommyRobinson     #FreeTommyRobinson     #FreeTommyRobinson 
#FreeTommyRobin…</t>
  </si>
  <si>
    <t>RT @Malibu3John: ON THISMEMORIAL DAY, KEEP THIS IN MIND...
THOSE WHO WOULD DISRESPECT AND DESICRATE
THE FLAG, HAVE NEVER BEEN HANDED A FOLD…</t>
  </si>
  <si>
    <t>RT @KayaJones: Thank you for the ultimate sacrifice 🇺🇸🙏🏼❤️ #memorialday https://t.co/fV4tybxSAN</t>
  </si>
  <si>
    <t>RT @FoxNews: This Memorial Day, we honor the men and women who gave their lives fighting for our great country. https://t.co/JXYd9fGio1</t>
  </si>
  <si>
    <t>RT @trumpism_45: The intelligence community is run by Communists and members of the illuminati. #DrainTheDeepState https://t.co/ZLeAKC5R0W</t>
  </si>
  <si>
    <t>RT @ReneeCarrollAZ: #MondayMotivation
Congratulations to my dear friend, @Jamierodr10 for reaching 35K followers! 👏👏👏👏
If you're not alre…</t>
  </si>
  <si>
    <t>RT @MilitaryEarth: Never forget those who have fallen for our country! #MemorialDay https://t.co/DYDTq1ufMu</t>
  </si>
  <si>
    <t>RT @jerome_corsi: What is going on in the UK is SAME THING that Communist DEMOCRATS planned for HERE if HILLARY won- no 1st Amendment, no 2…</t>
  </si>
  <si>
    <t>RT @SheriffClarke: I’ll spend Memorial Day remembering those brave servicemen who sacrificed everything for the love of their country and t…</t>
  </si>
  <si>
    <t>RT @kwilli1046: I’m calling for the incarceration of Obama, Hillary, Brennan, Comey, Clapper, Rice, Yates, Lynch, Schiff, Lerner, Holder...…</t>
  </si>
  <si>
    <t>RT @realDonaldTrump: Happy Memorial Day! Those who died for our great country would be very happy and proud at how well our country is doin…</t>
  </si>
  <si>
    <t>RT @Redhead4645: 6/5 Primaries! Iowa📣South Dakota📣New Mexico📣New Jersey📣Mississippi📣California 📣Montana📣Idaho📣 Vote good republicans up &amp;amp; d…</t>
  </si>
  <si>
    <t>RT @AnnaApp91838450: @Jamierodr10 
🚨PATRIOTS PLEASE GIVE SHOUT OUT &amp;amp; FOLLOW TO 
A GREAT PATRIOT. 🎊🎈🎉
JUST HIT 35K FOLLOWERS
💥🔥💥🔥💥🔥💥🔥💥🔥 http…</t>
  </si>
  <si>
    <t>RT @veteranhank: Keep these selfless men and women in your prayers. They're protecting us from foreign nationals who have no respect for th…</t>
  </si>
  <si>
    <t>RT @MaryAnn29393212: @FoxNews @SteveMotley @DiamondandSilk I drove nearly 1 hour, took my bigly flag, to attend the Memorial Day Tribute at…</t>
  </si>
  <si>
    <t>RT @mitchellvii: Rubio is incredibly butthurt Trump destroyed him in the 2016 Presidential Campaign. In light of that, Rubio is now claimin…</t>
  </si>
  <si>
    <t>RT @RealJamesWoods: How forward thinking of @Starbucks to have installed baby changing stations in all of their #HomelessHotels. Now drug a…</t>
  </si>
  <si>
    <t>RT @birdman8272: Great job Mr. President, Sen.Hatch and Sen.Corker. 
https://t.co/WYdfxDqN39</t>
  </si>
  <si>
    <t>RT @FoxNews: .@DiamondandSilk: “If you don’t want to stand for the flag and you don’t like the patriotism in this country and you don’t lik…</t>
  </si>
  <si>
    <t>RT @WLouT2: I’d really like to see this sniveling liar back on Capitol Hill under oath What a a disgrace. 
#MAGA #Mueller 
#LockThemAllUp
#…</t>
  </si>
  <si>
    <t>RT @Lauren_Southern: Tommy Robinson has just been sentenced to jail for 13 months. There is a UK reporting ban. No one there is allowed to…</t>
  </si>
  <si>
    <t>RT @K0RANlSBURNING: Let’s make it easy https://t.co/XEFacUv5Q7</t>
  </si>
  <si>
    <t>RT @RealJamesWoods: Trump, like him or not, has “journalists” dancing like cats on a hot tin roof... https://t.co/SivtcP5BZg</t>
  </si>
  <si>
    <t>RT @MazurikL: Swedish investigative reporter, Bechir Rabini, found dead in his home Friday night under “suspicious circumstances” shortly a…</t>
  </si>
  <si>
    <t>RT @Sniper64286433: Remembering my grandfather, on this Memorial Day holiday. And all the other brave soldiers that fought for freedom!🇺🇸…</t>
  </si>
  <si>
    <t>RT @ReneeCarrollAZ: #SundayMorning
🇺🇸 VOTE @kelliwardaz 🇺🇸
"Dr. Ward is by far the most competent To the conservative populist cause. She…</t>
  </si>
  <si>
    <t>RT @Jamierodr10: 100 GANG MEMBERS ARRESTED in Memorial Day Raids!! Dozens of Guns and Drugs Confiscated! This is What We Call #Winning 💯 Th…</t>
  </si>
  <si>
    <t>RT @Truthseeker126: So how will the #FakeNews media spin it this time? They’ll be in a state of denial of @realDonaldTrump’s accomplishment…</t>
  </si>
  <si>
    <t>I have 438 new followers from USA, Australia, UK., and more last week. See https://t.co/Z5SFmgjj3M https://t.co/7Rh1jfDWgp</t>
  </si>
  <si>
    <t>RT @beth2_k3: Rolling Thunder holding their 31st ride for freedom this day on Memorial Weekend.  I think only @FoxNews is covering this hon…</t>
  </si>
  <si>
    <t>RT @ntmessage: This week Mr. Nunes' efforts paid off.
It forced the stunning admission that the FBI had indeed spied on the Trump campaign.…</t>
  </si>
  <si>
    <t>RT @joshdcaplan: Dramatic video shows flash flooding in Ellicott City, Maryland as heavy rain pounds the state.  https://t.co/KTS6AetK1E</t>
  </si>
  <si>
    <t>RT @IsraelUSAforevr: Retweet if you agree ⤵
#FreeTommyRobinson https://t.co/jqRlEfNblV</t>
  </si>
  <si>
    <t>RT @JMReflectionsof: .#ClintEastwood said
 one day we will realize
 that "President #Obama 
was the greatest hoax 
ever perpetrated
 on the…</t>
  </si>
  <si>
    <t>RT @inittowinit007: 💥🔥WAR UPON US.🔥💥
  Learn💥Teach💥Archive
     🇺🇸UNITE and FIGHT🇺🇸
       WINNING=TARGET
      🙏 TRUST GOD 🙏
      🇺🇸TRUST…</t>
  </si>
  <si>
    <t>RT @KatTheHammer1: @GenFlynn 
Good morning fellow patriots! 
#GODBLESSAMERICA  
#GodBlessOurTroops  
#DismissFlynnCase 
#ISTANDWITHGENFLY…</t>
  </si>
  <si>
    <t>RT @Patriotic_Va: #MemorialDay it’s more than cookouts, boating, &amp;amp; going to the beach.  While you are doing those things please take a mome…</t>
  </si>
  <si>
    <t>RT @realDonaldTrump: Our United States team has arrived in North Korea to make arrangements for the Summit between Kim Jong Un and myself.…</t>
  </si>
  <si>
    <t>RT @KatTheHammer1: Journalism is dead in the U.K.  
Where is #TheresaMay
cc: @realDonaldTrump 
#FreeTommyRobinson https://t.co/if7zDyDXlp</t>
  </si>
  <si>
    <t>RT @WLouT2: Nunes is a National Hero! Be smart CA - vote him in! 
#RedTidalWaveRising 
#MCAGA #MAGA https://t.co/VCUtIrSjOp</t>
  </si>
  <si>
    <t>RT @starcrosswolf: Trey Gowdy &amp;amp; Bob Goodlatte have secured 3 FBI agents to testify on the FBI’s mishandling of the Clinton emails. Giacalon…</t>
  </si>
  <si>
    <t>RT @WiretappedL: Rocket Man has decided to play ball. https://t.co/Mbu9gEtY6X</t>
  </si>
  <si>
    <t>RT @adjunctprofessr: Scalia did not die in vain.
Justice will be done in his name.
Loretta Lynch is shameless.
We know rampant corruption w…</t>
  </si>
  <si>
    <t>RT @MEL2AUSA: “Anybody that doesn’t want to stand for our national anthem should leave our country.” 
~Sgt. Artie Muller 
Rolling Thunder…</t>
  </si>
  <si>
    <t>RT @TestyTarheel: Well, she’s ba-aaack! 
Chelsea Clinton proclaims~
"Trump degrades what it means to be American..." 
No dear cankle chi…</t>
  </si>
  <si>
    <t>RT @poconomtn: MARK TAYLOR PROPHECY 05/26/2018 https://t.co/yuLF5VgJHj via @YouTube
If you’ve never watched his prophesies...you should 
He…</t>
  </si>
  <si>
    <t>RT @SusanStormXO: ✝️Dear Fallen Soldiers,
   May you be resting in peace in heaven ,never forgotten here on Earth 🌏.As your Honor &amp;amp; Sacrifi…</t>
  </si>
  <si>
    <t>RT @RealJamesWoods: When you’re way past your 15 minutes... https://t.co/dZ1OHK5RYb</t>
  </si>
  <si>
    <t>@buzzman888 @JeffFlake @realDonaldTrump @ArizonaKayte @vachilly64 @PamB60 @AnnaApp91838450 @MEL2AUSA @bbusa617 @ChristineMAGAMD @DeplorableChoir @jen4trump1 Just STFU Jeff Flake you FreakZoid. #WeThePeople don’t want to hear anything you have to say!</t>
  </si>
  <si>
    <t>RT @1Romans58: Accuse your opposition of what you are guilty of.  We know your game, you are exposing yourself.  Times almost up.
A NEW LO…</t>
  </si>
  <si>
    <t>RT @RealJack: If Hillary Clinton won, what happened to Tommy Robinson in the UK would probably be happening to Americans. It’s the leftist…</t>
  </si>
  <si>
    <t>RT @buzzman888: 🇺🇸🇬🇧 Massive Crowd Protesting The Arrest of Journalist #TommyRobinson 🇬🇧🇺🇸 #FreeTommyRobinson @JessieJaneDuff @therealrosea…</t>
  </si>
  <si>
    <t>RT @buzzman888: 🇺🇸🇺🇸 @POTUS President Trump: “Welcome Home Josh” - Amazing Things Being Accomplished by a President Who Loves The People of…</t>
  </si>
  <si>
    <t>RT @codeofvets: YAY! I got my tickets for Trump's rally for Marsha Blackburn on Tuesday night in Nashville TN🇺🇸SO EXCITED! I will livestrea…</t>
  </si>
  <si>
    <t>RT @RealJamesWoods: Madeleine Stowe stops the pig with a shake of the finger. I worked with her in General’s Daughter. A fabulous actress,…</t>
  </si>
  <si>
    <t>RT @OliverMcGee: You know @realDonaldTrump is doing a great job when Chelsea Clinton says Trump degrades what it means to be an American.…</t>
  </si>
  <si>
    <t>RT @RealMattCouch: We're fighting against impossible odds to solve the Seth Rich murder. Two frivolous lawsuits filed to try to silence our…</t>
  </si>
  <si>
    <t>RT @SIEMPRE_FIDEL: This morning, I’m visiting with #ChrisKyle, American sniper.  No matter how many times I come down here to visit him, I…</t>
  </si>
  <si>
    <t>RT @The_Trump_Train: @realDonaldTrump The media’s smear machine has falsely labeled and attacked people with their conspiracy theories...…</t>
  </si>
  <si>
    <t>RT @realDonaldTrump: Who’s going to give back the young and beautiful lives (and others) that have been devastated and destroyed by the pho…</t>
  </si>
  <si>
    <t>RT @realDonaldTrump: Fantastic to have 400,000 GREAT MEN &amp;amp; WOMEN of Rolling Thunder in D.C. showing their patriotism. They love our Country…</t>
  </si>
  <si>
    <t>RT @RealMattCouch: Liberal trolls, you have to be the most moronic people on the planet.. 
Just had a moron on our YouTube channel say "Ho…</t>
  </si>
  <si>
    <t>RT @buzzman888: 🇺🇸🇺🇸 Rudy Giuliani: “It’s Us, The Lawyers Who Have to Convince Him @POTUS That This Is a Trap.” 🇺🇸🇺🇸  #MAGA     #Cody🐯45 ht…</t>
  </si>
  <si>
    <t>RT @realDonaldTrump: To the @NavalAcademy Class of 2018, I say: We know you are up to the task. We know you will make us proud. We know tha…</t>
  </si>
  <si>
    <t>RT @realDonaldTrump: Good news about the release of the American hostage from Venezuela. Should be landing in D.C. this evening and be in t…</t>
  </si>
  <si>
    <t>RT @realDonaldTrump: The Failing @nytimes quotes “a senior White House official,” who doesn’t exist, as saying “even if the meeting were re…</t>
  </si>
  <si>
    <t>RT @RuthieRedSox: If any American isn’t concerned about what is happening in the UK - you should be. Pull your heads out of the sand - it c…</t>
  </si>
  <si>
    <t>RT @RealSaavedra: This is what Democrats want in America. https://t.co/D35G7Vybhx</t>
  </si>
  <si>
    <t>RT @RealMattCouch: The British are taking to the streets over Tommy Robinson.. 
WHERE IN THE HELL IS THE UNITED STATES MEDIA?????
SHAME O…</t>
  </si>
  <si>
    <t>RT @poconomtn: Retweet if you are completely fed up with the corruption the lies and the dirty politics ...our tax dollars wasted on the ve…</t>
  </si>
  <si>
    <t>RT @FirstFlag1776: Non Political Tweet 
No monkey business here 
🐵 😂🐵😂https://t.co/zO4KlacoLG</t>
  </si>
  <si>
    <t>RT @DiamondandSilk: Just In: DOJ Finally Caves, Agrees To Hand Over Documents To Congress.  
Time to investigate the investigators. https:/…</t>
  </si>
  <si>
    <t>RT @kwilli1046: I'm not sure how everyone else feels, but every time that I hear Schumer, Pelosi, Waters, Schiff, Brennan, Clapper, Comey,…</t>
  </si>
  <si>
    <t>RT @StephenMilIer: Remember all the talk that a sitting president cannot be indicted? Unfortunately for @BarackObama, he's no longer a *sit…</t>
  </si>
  <si>
    <t>RT @The_Trump_Train: RT if you agree: Barack Obama should be locked up in Guantanamo Bay for treason.</t>
  </si>
  <si>
    <t>RT @LisaSmith4680: Dana Perino makes me SICK! 
I'm TIRED of her &amp;amp; every other Elitist, country club Republican who is betraying Pres. Trump…</t>
  </si>
  <si>
    <t>RT @mike_Zollo: Here are two illegal alien MS13 members in court laughing and waving to the cameras. They are on trial for murdering a 15 y…</t>
  </si>
  <si>
    <t>RT @BackTheCops: God bless our ladies! https://t.co/I91ag7EXio</t>
  </si>
  <si>
    <t>RT @The_Trump_Train: By the end of Trump’s presidency, Barrack Obama will be in prison.
Remember this tweet.</t>
  </si>
  <si>
    <t>RT @USAHotLips: 🤣😍🐾My non political tweet of the day😭🐕
Just like that sibling that would NEVER stop annoying you as a kid‼️😂😅🐶
#DogLovers…</t>
  </si>
  <si>
    <t>RT @MarkDice: Someone needs to have their graduation party at a @Starbucks and get the food and drinks delivered from somewhere else since…</t>
  </si>
  <si>
    <t>RT @RealJack: Tomorrow, Members of Congress are calling for a second special counsel to investigate 3 MAJOR items:
Investigation into the…</t>
  </si>
  <si>
    <t>RT @StephenMilIer: So Hillary Clinton had a mole inside the Trump campaign that was reporting back to her (through the FBI) everything that…</t>
  </si>
  <si>
    <t>RT @TestyTarheel: First Obama flunky, Susan Rice joined Netflix board of directors. 
Now Barry &amp;amp; Michelle get a gig. 
The attempt to cont…</t>
  </si>
  <si>
    <t>RT @AtomicRooster62: @TestyTarheel @gbroh10 @girl4_trump @ForrestCSmith @rcjhawk86 @Real_PeachyKeen @scali_gianna @LoriinUtah @JenNongel @L…</t>
  </si>
  <si>
    <t>RT @RealJamesWoods: “We haven’t been allowed to change our bathroom codes since April. So almost all the junkies and homeless people know t…</t>
  </si>
  <si>
    <t>RT @RealJamesWoods: Consider Muller’s staff (16/17 of his top lawyers contributed over $50K to the Clinton campaign), the Stzrok-Page texts…</t>
  </si>
  <si>
    <t>RT @DiamondandSilk: It's time to stop dividing ourselves by skin color and start uniting ourselves as Americans.  We are one race and that'…</t>
  </si>
  <si>
    <t>RT @johncardillo: The Deep State and its cronies are in melt down panic mode tonight. 
Time to crush them.</t>
  </si>
  <si>
    <t>RT @shadowfax_82: Shout out to the “misogynist” Trump for appointing:
Gina Haspel - CIA DIR 
Kirstjen Nielsen - Chief of HLS 
Betsy Devo…</t>
  </si>
  <si>
    <t>RT @AlwaysActions: 🚨 Judge Andrew dropped
a bombshell about #Hillary
#Clinton causing #murders
of US intel agents! 🚨🚨🚨 https://t.co/7DFj0hp…</t>
  </si>
  <si>
    <t>RT @realDonaldTrump: Things are really getting ridiculous. The Failing and Crooked (but not as Crooked as Hillary Clinton) @nytimes has don…</t>
  </si>
  <si>
    <t>RT @realDonaldTrump: ....At what point does this soon to be $20,000,000 Witch Hunt, composed of 13 Angry and Heavily Conflicted Democrats a…</t>
  </si>
  <si>
    <t>RT @realDonaldTrump: What ever happened to the Server, at the center of so much Corruption, that the Democratic National Committee REFUSED…</t>
  </si>
  <si>
    <t>RT @realDonaldTrump: ....and why hasn’t the Podesta brother been charged and arrested, like others, after being forced to close down his ve…</t>
  </si>
  <si>
    <t>RT @DiamondandSilk: .@DiamondandSilk full interview with @JesseBWatters on @FoxNews talking about Spike Lee disparaging comments and the Mu…</t>
  </si>
  <si>
    <t>RT @DiamondandSilk: No Proof + No Truth= Witch Hunt.   A waste of taxpayers dollars. 
Shut this S.ugar, H.oney, I.ce, T.ea down now........…</t>
  </si>
  <si>
    <t>RT @Debe78123265: Yup. Been poked one time too many. #QArmyVsClownArmy https://t.co/skZDkJhsWn</t>
  </si>
  <si>
    <t>RT @USFreedomArmy: This simple statement is very hard to argue with. The #USFA invites you to enlist at https://t.co/oSPeY48nOh. Patriots o…</t>
  </si>
  <si>
    <t>RT @OliverMcGee: .@POTUS @realDonaldTrump: “I hereby demand, officially tomorrow, that the DOJ look into whether or not FBI/DOJ infiltrated…</t>
  </si>
  <si>
    <t>RT @PATRIOTINDIXIE: @luluHru @sofakingbadass @GeanineC @BartlettDaveJr1 @ZIPPY4451 @cjdtwit @melanieusn1979 @jimlibertarian @arie_brawley @…</t>
  </si>
  <si>
    <t>RT @WashTimes: "Let’s be clear, The DOJ and FBI, under Barack Obama, investigated and spied on the Trump presidential campaign complete wit…</t>
  </si>
  <si>
    <t>RT @SteveMotley: #PureLight is the New Company Everyone is Talking About! We're Looking for Marketing Reps to Help Us Get The Word Out! htt…</t>
  </si>
  <si>
    <t>RT @tracybeanz: 1. OIG BOMBSHELL!! Hidden within the OIG report on McCabe's leak to Barrett of the WSJ, is an astronomically damning correl…</t>
  </si>
  <si>
    <t>RT @tracybeanz: 1. I am about to blow your minds with this thread. It is massive. You will want to pay VERY close attention. The Senate Int…</t>
  </si>
  <si>
    <t>RT @President1Trump: #NEWSFLASH: George Soros right hand man arrested for rape and human trafficking https://t.co/kOdyyk1aGP</t>
  </si>
  <si>
    <t>RT @USFreedomArmy: They don't care about the rules. They want your guns any way they can get them. Enlist with us at https://t.co/oSPeY3QMp…</t>
  </si>
  <si>
    <t>RT @President1Trump: “We do it for airports. We do it with our concerts. We need to do it for schools. It’s a national security issue”! @Pl…</t>
  </si>
  <si>
    <t>RT @JackPosobiec: Tom Fitton is correct
If Barack Obama ordered political spying of Candidate Trump he must be impeached, and barred from…</t>
  </si>
  <si>
    <t>RT @John_KissMyBot: Hillary Is Still Out There Bragging About Her Biggest Accomplishment👉LOSING 
This Time At Yale University👉 She told Ya…</t>
  </si>
  <si>
    <t>RT @buzzman888: 🇺🇸🇺🇸 #AmericanPatriots - A Message to Roseanne @therealroseanne 🇺🇸🇺🇸
*We Stand As #One* You're a Strong Voice For Us &amp;amp; The…</t>
  </si>
  <si>
    <t>RT @AdrianPeterson: Without you guys I am nothing 🙏. https://t.co/5dFzwlWYZ7</t>
  </si>
  <si>
    <t>U.S. Imported More than 10M Immigrants in Last Decade, Exceeding the Population of NYC | Breitbart https://t.co/BGXET97Wx1 via @BreitbartNews</t>
  </si>
  <si>
    <t>RT @Newsweek: Roger Stone will be indicted in Mueller probe, former Trump campaign advisor says https://t.co/tXVMIH0zDt https://t.co/4cZE8A…</t>
  </si>
  <si>
    <t>RT @xcountrymom: If you are a sheeple, if your 3rd Eye remains closed, if you don’t want to believe you’ve been lied to by your own Gov’t w…</t>
  </si>
  <si>
    <t>RT @The____Guardian: Liberal Institutions like @Harvard continue to lose relevance as their unhinged endorsement of the lying, rapist enabl…</t>
  </si>
  <si>
    <t>RT @John_KissMyBot: Harvard Law Professor (Democrat) Alan Dershowitz SAYS  Asst Attorney General Rod Rosenstein should Recuse Himself From…</t>
  </si>
  <si>
    <t>RT @SheriffClarke: The Democrat Party's biggest fear is no longer just @realDonaldTrump. This picture is their BIGGEST problem.
Black unemp…</t>
  </si>
  <si>
    <t>RT @Jillibean557: The following are protected by security and armed guards.
🔴Celebrities 
🔴Politicians 
🔴Banks
🔴Concert Venues
🔴Airports…</t>
  </si>
  <si>
    <t>RT @Baby___Del: “Any man can attempt a Coup d’ état, but not without the help of Obama’s CIA Director.”
- Baby Del 
(1969-? A.D.) https://…</t>
  </si>
  <si>
    <t>RT @intheMatrixxx: @therealroseanne Bring it! https://t.co/yEbDsfClbV</t>
  </si>
  <si>
    <t>RT @LouDobbs: Give 'em hell, Mr. President! This is now a fight worth having, to preserve the constitution and root out the political corru…</t>
  </si>
  <si>
    <t>RT @Thomas1774Paine: BUSTED: Mueller’s New Star Witness Against Trump Caught Partying at Exclusive Island Resort with Bill Clinton https://…</t>
  </si>
  <si>
    <t>RT @gregdoniger: @jerome_corsi All will be coming out during next week and by the end of the week with the dreaded IG report. President Tru…</t>
  </si>
  <si>
    <t>RT @jerome_corsi: Carter Page WAS FBI paid agent - entrapment SPY planted in Trump campaign - compromised @jeffsessions in discussions over…</t>
  </si>
  <si>
    <t>RT @RealMAGASteve: A Trump supporter carrying an American Flag and wearing a handgun on his hip came to Santa Fe High School to offer "supp…</t>
  </si>
  <si>
    <t>RT @MAGAKrissy: There are no dots to connect. No Russian collusion. Keep dreaming, Maxine. You’re all going down. Especially when you’re on…</t>
  </si>
  <si>
    <t>RT @veteranhank: It’s a good look for her. https://t.co/SRupRUPykC</t>
  </si>
  <si>
    <t>RT @vannsmole: So when Sessions refuses this direct order, Trump can replace him. https://t.co/DZrsn9R8RQ</t>
  </si>
  <si>
    <t>RT @NevadaJack2: According to Sean Hannity, Senator Kamala Harris funneled around $90,000 into Maxine Waters’ campaign fund between 2010 an…</t>
  </si>
  <si>
    <t>RT @TestyTarheel: 🔜🔜🔜🔜🔜🔜🔜🔜🔜🔜🔜
🌀🌀🌀🌀🌀🌀🌀🌀🌀🌀🌀Patience is bitter, but its fruit is sweet. ~ Aristotle   
🌀🌀🌀🌀🌀🌀🌀🌀🌀🌀🌀
🔜🔜🔜🔜🔜🔜🔜🔜🔜🔜🔜 https://t.co/df…</t>
  </si>
  <si>
    <t>#LockHerUp https://t.co/Mct8wCfFiv</t>
  </si>
  <si>
    <t>RT @polishprincessh: What a joke this school has become. The left has destroyed it.
Tells you everything you need to know about our colleg…</t>
  </si>
  <si>
    <t>I have 408 new followers from USA, India, Canada, and more last week. See https://t.co/Z5SFmgjj3M https://t.co/OMCOdqeCs4</t>
  </si>
  <si>
    <t>RT @Project_Veritas: We exposed it, now @Twitter is openly admitting it – they are censoring speech. Make sure to follow us on @facebook be…</t>
  </si>
  <si>
    <t>RT @RealJamesWoods: Got to drop by the office of my dear friend @GarySinise this week. I’d love to remind all my fellow Americans about the…</t>
  </si>
  <si>
    <t>RT @PhxKen: LARGE MOUTH BASS.....LARGE MOUTH ASS! https://t.co/NLcizlJZJS</t>
  </si>
  <si>
    <t>RT @JackPosobiec: Hi @JohnBrennan! Do you know who paid CIA asset Stefan Halper to start spying on the Trump campaign even before the FBI o…</t>
  </si>
  <si>
    <t>Roger Stone says Trump may not run in 2020, pledges to line up challenger to Pence-Haley ticket https://t.co/U1l8H9yqRo</t>
  </si>
  <si>
    <t>Cambridge professor outed as FBI informant inside Trump campaign https://t.co/N21SehUAWc via @nypost</t>
  </si>
  <si>
    <t>RT @TheTrumpLady: Retweet if You Believe The Democratic Party Is NOT For America
🤪They Sided With Iran Over @POTUS
🤪They Sided With Hamas…</t>
  </si>
  <si>
    <t>RT @kwilli1046: MS-13, Hamas, Hezbollah, Pornstar,  Pornstar Lawyer,  Terrorists,  ISIS, Liars,  Corrupt Politicians...all get favorable tr…</t>
  </si>
  <si>
    <t>RT @bbusa617: BOMBSHELL REPORT Mueller Allegedly Blackmailed Gen Flynn Signing ‘Guilty Plea’ https://t.co/ufLRhpYuNh
GENERAL FLYNN Signed…</t>
  </si>
  <si>
    <t>RT @1Romans58: Count me in!  Jordan is what we need, a no BS #MAGA man with the balls to call out the establishment. 
Conservatives Campai…</t>
  </si>
  <si>
    <t>RT @President1Trump: WOW, Never Trumper Glenn Beck finally puts on his make America great again hat and will vote for @POTUS in 2020! “Enou…</t>
  </si>
  <si>
    <t>RT @DiamondandSilk: .@DiamondandSilk go off on Jay-Z for convincing rapper Meek Mill to be a no show for the Prison Reform Summit at the Wh…</t>
  </si>
  <si>
    <t>RT @warrant05_tony: Liberalism is destroying the very fabric in which this country was built. Americans need to realize if liberals take ov…</t>
  </si>
  <si>
    <t>RT @therealcornett: 🚨BREAKING: Sources are confirming that former President Barack Obama has called Jay-Z several times over the past month…</t>
  </si>
  <si>
    <t>RT @SteveMotley: Teens watch classmates die on morning of chaos as shooter opens fire at Santa Fe school https://t.co/Oz2ghou4h4 via @houst…</t>
  </si>
  <si>
    <t>RT @Jamierodr10: “We need to harden these targets (schools) like we do Federal Buildings “ @DanPatrick.  They need School Security at doors…</t>
  </si>
  <si>
    <t>RT @jbirdinga: I had a good Friend who was a Former DI retired ,  but still a Marine always.
Now deceased
One of the best , &amp;amp; most honorabl…</t>
  </si>
  <si>
    <t>RT @kwilli1046: I'm tired of hearing Clapper Lied, Brennan Lied, Comey Lied... I want to see indictments, handcuffs, conviction then jail t…</t>
  </si>
  <si>
    <t>RT @realDonaldTrump: If the FBI or DOJ was infiltrating a campaign for the benefit of another campaign, that is a really big deal. Only the…</t>
  </si>
  <si>
    <t>Teens watch classmates die on morning of chaos as shooter opens fire at Santa Fe school https://t.co/Oz2ghou4h4 via @houstonchron</t>
  </si>
  <si>
    <t>RT @amazingnature33: Beautiful. https://t.co/Bmrw1Bg7QI</t>
  </si>
  <si>
    <t>RT @trumpism_45: @realDonaldTrump The 15,000 bikers are headed to Washington D.C. to confront The Deep State Mueller team to demand the Wit…</t>
  </si>
  <si>
    <t>RT @JenNongel: “For the life of me, I’ll never understand how the Democrats can question our President’s sanity while continuing to put Rep…</t>
  </si>
  <si>
    <t>RT @realDonaldTrump: Great to have our incredible First Lady back home in the White House. Melania is feeling and doing really well. Thank…</t>
  </si>
  <si>
    <t>RT @MarkDice: Trump’s phone autocorrected Melania to Melanie in a tweet, and so the Fake News media are accusing him of not knowing how to…</t>
  </si>
  <si>
    <t>Hotel pools linked to many disease outbreaks https://t.co/tGlZFCZJ4X</t>
  </si>
  <si>
    <t>Hurry up and get your sorry ass over to the Spirit World so you can be properly dealt with you freaking Traitor! https://t.co/rYxM0uLnoh</t>
  </si>
  <si>
    <t>RT @MAGANinaJo: 💣HRC: ‘We are going 2 take back the country we love💣 Obama &amp;amp; the Dems destroyed our country &amp;amp; they have absolutely no idea…</t>
  </si>
  <si>
    <t>RT @kwilli1046: I've turned off the news. I'm sick of Liberal B.S...by tomorrow, Liberals will call shotguns and revolvers weapons of mass…</t>
  </si>
  <si>
    <t>RT @realDonaldTrump: America is blessed with extraordinary energy abundance, including more than 250 years worth of beautiful clean coal. W…</t>
  </si>
  <si>
    <t>RT @MarkDice: Is anyone in the media going to dare point out that Santa Fe shooter Dimitrios Pagourtzis is a Satanist?  Notice the Baphomet…</t>
  </si>
  <si>
    <t>RT @Dennis17Viper: Why was Clinton eager to shut down US miners?
She thought they could become competition..... https://t.co/3AY3gNkltU</t>
  </si>
  <si>
    <t>RT @TammyPerdue5: Kimberly Guilfoyle and Donald Trump Jr?  I just don’t see it.</t>
  </si>
  <si>
    <t>RT @joyreaper: OMG HUGE  THE FBI HAD A MOLE (SPY) ON PAYROLL IN THE TRUMP CAMPAIGN OR WHITE HOUSE LOOK &amp;gt;&amp;gt;&amp;gt;  WSJ: The FBI Hid A Mole In The…</t>
  </si>
  <si>
    <t>RT @NewsBud_: FBI Whistleblower Exposes Government Pedophile Dennis Hastert- The Clinton Scandals, FBI &amp;amp; the COINTELPRO II Directive https:…</t>
  </si>
  <si>
    <t>RT @LastWave2014: (The Reason Most Of These Actors Are Washed Up, is Because They Have Spent A Decade Buying Into The Democrats Political C…</t>
  </si>
  <si>
    <t>I hope this new guy is at least a Veteran! #POTUS should hire a retired Marine with 20 plus years who has spent years dealing with the VA system! I could get this shit straighten up in no time! Too many beuracrates involved with the VA who don't know jack shit! https://t.co/zeLygdF0Le</t>
  </si>
  <si>
    <t>RT @LauraLoomer: Students at the Santa Fe high school that just got shot up had an “active shooter drill” a couple weeks ago, according to…</t>
  </si>
  <si>
    <t>RT @MEL2AUSA: Retweet if you agree with .@POTUS that any member of the murdering, raping, criminal gang MS-13 is an “animal.” https://t.co/…</t>
  </si>
  <si>
    <t>RT @RodStryker: @mflynnJR #FullOfSchiff
#SchiffForBrains https://t.co/n88VV4OChD</t>
  </si>
  <si>
    <t>RT @1Romans58: Look what we found
Don't bother deleting it, we saved it for you
So if Trump calls one of the most ruthless gangs in the w…</t>
  </si>
  <si>
    <t>RT @politicalelle: MS-13 showing itself to be a strong contender to speak at the Women's March next year.</t>
  </si>
  <si>
    <t>Hurry up and get  your sorry ass out of D.C. Paul Ryan you freaking Eddie Munster All Grown Up! https://t.co/XgDFeSCmZP</t>
  </si>
  <si>
    <t>RT @realDonaldTrump: School shooting in Texas. Early reports not looking good. God bless all!</t>
  </si>
  <si>
    <t>RT @The_Trump_Train: RT if you agree: MS-13 members are disgusting animals and deserve deportation from our country.</t>
  </si>
  <si>
    <t>RT @Protectcare: A man on dialysis sent an email to classmates he hadn't spoken to in 50 years. From that email, he found a kidney donor:
h…</t>
  </si>
  <si>
    <t>RT @MarkDice: Watch Nancy Pelosi defend MS-13 gang members who have infiltrated America.  If you want her to be the Speaker of the House ag…</t>
  </si>
  <si>
    <t>RT @DougSides: 💥 Don’t forget the real reason Gen. Michael Flynn was targeted by Obama, Clapper, &amp;amp; Brennan...  He told Americans the truth…</t>
  </si>
  <si>
    <t>RT @TruthFeedNews: Plug the Leaks! White House Gearing up for Another DEEP STATE PURGE https://t.co/7S5OBLW1ER</t>
  </si>
  <si>
    <t>RT @FedupWithSwamp: Pope is having a bad May.... 
Every Chilean bishop in Rome has submitted their resignation to Pope Francis. https://t.…</t>
  </si>
  <si>
    <t>RT @FriendlyJMC: #EnemiesOfTheState 
The first three who need to be locked up IMO.
They violated their government authority and the Consti…</t>
  </si>
  <si>
    <t>RT @jerome_corsi: Discussion in DC: If the IG report does not recommend criminal prosecutions, Horowitz will have joined Rosenstein &amp;amp; Sessi…</t>
  </si>
  <si>
    <t>RT @AnnaApp91838450: https://t.co/OtBLmnMIzN
🚨MAJORITY OF AMERICANS KNOW HILLARY IS A CORRUPT CRIMINAL💥
WHAT WE WANT IS JUSTICE
LOCK HER SO…</t>
  </si>
  <si>
    <t>RT @mike_Zollo: Hey liberals, I have news for you. The 10 MS-13 thugs who stabbed a man 100 times, decapitated him, then cut his heart out…</t>
  </si>
  <si>
    <t>RT @RealMAGASteve: KABOOM! Former U.S. Attorney Joe Digenova: John Brennan Will Soon Be Hauled Off In Front Of A Grand Jury [Video] https:/…</t>
  </si>
  <si>
    <t>RT @SecOfState70: How does Operation "Lock em Up" sound?
It's starting!</t>
  </si>
  <si>
    <t>RT @realDonaldTrump: “Apparently the DOJ put a Spy in the Trump Campaign. This has never been done before and by any means necessary, they…</t>
  </si>
  <si>
    <t>RT @realDonaldTrump: Fake News Media had me calling Immigrants, or Illegal Immigrants, “Animals.” Wrong! They were begrudgingly forced to w…</t>
  </si>
  <si>
    <t>RT @TT45Pac: KABOOM! Former U.S. Attorney Joe Digenova: John Brennan Will Soon Be Hauled Off In Front Of A Grand Jury [Video] https://t.co/…</t>
  </si>
  <si>
    <t>RT @wattsjim: @RealMattCouch 🤣🤣🤣</t>
  </si>
  <si>
    <t>RT @LauraAJarrett: DOJ’s Inspector General has informed lawmakers that a draft of the long-awaited report examining how FBI/DOJ leadership…</t>
  </si>
  <si>
    <t>RT @Zippityd00dah: A vintage, patriotic Good Night ...
🔴⚪💠🔴⚪💠🔴⚪💠🔴⚪💠🔴
#MaxWarriors 
#TheMaxRadioBroadcast https://t.co/QkWl7EtoZV</t>
  </si>
  <si>
    <t>RT @AnnaApp91838450: https://t.co/Zof2USF4M6
n/amp/?__twitter_impression=true
🚨REPOST
DEBBIE YOU NEED TO GO BACK TO THE BOX YOU KEEP YOUR V…</t>
  </si>
  <si>
    <t>RT @thebradfordfile: Black America isn't just joining the MAGA conversation on Twitter. They are talking about freedom with their friends,…</t>
  </si>
  <si>
    <t>RT @RealMAGASteve: BREAKING: Devin Nunes Just Made A VERY BOLD Prediction on the Russia Probe and Confirms What Many Have Suspected All Alo…</t>
  </si>
  <si>
    <t>RT @KimStrassel: 2. Biggest takeaway: Govt "sources" admit that, indeed, the Obama DOJ and FBI spied on the Trump campaign. Spied. (Tho NYT…</t>
  </si>
  <si>
    <t>RT @TuckerCarlson: Mueller's investigation grinds on, as it has for an 1 yr. So far the whole thing has produced zero evidence that Trump c…</t>
  </si>
  <si>
    <t>RT @alozras411: 👉@SpeakerRyan IF YOU’RE NOT GOING TO SUPPORT PRESIDENT TRUMP STEP DOWN! #Resign #RinoTraitor https://t.co/6c3faDapX1</t>
  </si>
  <si>
    <t>RT @kwilli1046: 94% of Americans Don't Trust the Media.  Retweet if you agree. https://t.co/StKJuxOR0u</t>
  </si>
  <si>
    <t>RT @BackThePolice: First nightshift of my career tonight!! https://t.co/gkdub7hDZX</t>
  </si>
  <si>
    <t>RT @TT45Pac: 🇺🇸🦅 President Donald J. Trump's 
         Accomplishment List
Please save the link and share with 
others who have not heard…</t>
  </si>
  <si>
    <t>RT @MareLovesUSA11: @SandraTXAS @ClintonMSix141 @VFL2013 @GemMar333 @AppSame @888Scott @winegirl73 @GaetaSusan @mavrick803 @Patriot_Drew @T…</t>
  </si>
  <si>
    <t>RT @NevadaJack2: Hillary Clinton’s presidential campaign has transferred nearly $150,000 of leftover campaign funds to a company she solely…</t>
  </si>
  <si>
    <t>RT @Redhead4645: Danny Tarkanian is a #MAGA candidate! He is a true conservative and has been a fierce supporter of our President and his a…</t>
  </si>
  <si>
    <t>RT @Patriotic_Va: 🎉CONGRATS🎉
🇺🇸Way to go JJ, @1Romans58 on hitting 30K! Slaying libs with facts daily! 🇺🇸
🇺🇸Deplorable United🇺🇸 https://t…</t>
  </si>
  <si>
    <t>RT @AnnaApp91838450: https://t.co/YR0SToD17Q
🚨POCAHONTAS HAVE YOU BEEN SMOKING CRACK PIPE AGAIN💥HERE YOU GO AGAIN SPEAKING WITH FORK TONGUE…</t>
  </si>
  <si>
    <t>RT @ClintonMSix141: This 12 second video says it all.
When someone tells you who they are- BELIEVE THEM!! https://t.co/GT2EHz4mSc</t>
  </si>
  <si>
    <t>RT @jerome_corsi: NOW POSTED a LIVE CHAT today, Wednesday, May 16, 5:00 pm ET, on my YouTube Channel https://t.co/nlHlDsDQtT  @Potus moves…</t>
  </si>
  <si>
    <t>RT @1Romans58: Please...  Your entire existence is one big lie.  If the democrats stopped lying the only sounds they would make would be gr…</t>
  </si>
  <si>
    <t>RT @SaraCarterDC: Absolutely. It was also confirmation that our intelligence apparatus was being used to spy on a presidential campaign. #C…</t>
  </si>
  <si>
    <t>RT @realDonaldTrump: Gina Haspel is one step closer to leading our brave men and women at the CIA. She is exceptionally qualified and the S…</t>
  </si>
  <si>
    <t>RT @DiamondandSilk: After a great first season of @therealroseanne show, @ABC wants to now dial back politics in the second season.......Se…</t>
  </si>
  <si>
    <t>RT @jerome_corsi: The SENATE is voting this afternoon on the REPEAL of the GEORGE SOROS-supported Obama-era NET NEUTRALITY rules that allow…</t>
  </si>
  <si>
    <t>RT @jerome_corsi: PSYOP NEW Q traced to REDDIT https://t.co/iIcDXJkfja HATE-CORSI, HATE-A.JONES postings by SerialBrain2, who migrated to h…</t>
  </si>
  <si>
    <t>RT @june1_k2: I don't normally RT CNN but I think this one needs America's prayers for our First Lady @FLOTUS Melania.  May God be with her…</t>
  </si>
  <si>
    <t>RT @RobChristie11: https://t.co/1Jr0MeOYJ6</t>
  </si>
  <si>
    <t>RT @realDonaldTrump: The so-called leaks coming out of the White House are a massive over  exaggeration put out by the Fake News Media in o…</t>
  </si>
  <si>
    <t>RT @RealMAGASteve: Green Beret waterboards himself in support of Trump's CIA pick Gina Haspel and says, “it’s not torture.” [VIDEO]
https:/…</t>
  </si>
  <si>
    <t>RT @MareLovesUSA1: RIP Margot Kidder 🙏 Free now 🙏
 https://t.co/cHy6YJVNkY</t>
  </si>
  <si>
    <t>RT @realDonaldTrump: President Xi of China, and I, are working together to give massive Chinese phone company, ZTE, a way to get back into…</t>
  </si>
  <si>
    <t>I have 576 new followers from USA, India, Brazil, and more last week. See https://t.co/Z5SFmgjj3M https://t.co/7jRtN7PzBJ</t>
  </si>
  <si>
    <t>RT @SteveMotley: I just learned some interesting things from a group of intelligent, but wild and crazy women! CRAFT = Can't Remember a Fuc…</t>
  </si>
  <si>
    <t>RT @jerome_corsi: Another waste-of-time STATE-THE-OBVIOUS post by PSYOP NEW Q cites an Anon who found a roster-list of OBAMA's NSC staff. Q…</t>
  </si>
  <si>
    <t>RT @realDonaldTrump: Remember how badly Iran was behaving with the Iran Deal in place. They were trying to take over the Middle East by wha…</t>
  </si>
  <si>
    <t>RT @Smoochie6005: Have a Great Day Patriots 🇺🇸 https://t.co/mNpvrRyQKm</t>
  </si>
  <si>
    <t>RT @jerome_corsi: Qanon group now attacking @realalexjones and his family does this look like a stable genius? Not really.  The jig is up!…</t>
  </si>
  <si>
    <t>I just learned some interesting things from a group of intelligent, but wild and crazy women! CRAFT = Can't Remember a Fucking Thing! CRS = Can't Remember Shit!</t>
  </si>
  <si>
    <t>RT @realDonaldTrump: During Small Business Week, we celebrate the great, hard-working entrepreneurs across our country who have started and…</t>
  </si>
  <si>
    <t>RT @1Romans58: This race baiting imbecile had shoved her foot in her mouth so many times her throat has athletes foot. 
Maxine Waters expl…</t>
  </si>
  <si>
    <t>RT @Jordan_Sather_: This is the most beautiful time in history to be alive.
This is only going to get more intense and FUN as evil, deceit…</t>
  </si>
  <si>
    <t>RT @bfowler7: Pilot and Flying J truck stops announced they were taking down the American Flag. They started the American Flag was offensiv…</t>
  </si>
  <si>
    <t>RT @RealJamesWoods: Five ISIS leaders killed. If this had happened under Obama, the press would have given him another tongue bath.</t>
  </si>
  <si>
    <t>RT @gotspeed2burn: Update: More gun manufacturers drop Dick's Sporting Goods. 
Why? They seem to have a problem with that whole "hiring gu…</t>
  </si>
  <si>
    <t>RT @ArizonaKayte: Everyone seems so astonished by the success of #Roseanne. Im not. Its really not that difficult. Roseanne is you, me. Her…</t>
  </si>
  <si>
    <t>RT @intheMatrixxx: #QAlert 5/11/2018 This will be my thread for all posts for May 11, 2018. 
“Welcome to the Deep State.
Future to prove p…</t>
  </si>
  <si>
    <t>RT @TempusSpiritus: 📉⬇️👎 #FakeNewsCNN down 20%
Yeah! It’s that bad...
https://t.co/07DJh0WIjm</t>
  </si>
  <si>
    <t>McCain is the absolute worst Senator in U.S. political history and a Traitor to boot! https://t.co/UMrTKlcGoU</t>
  </si>
  <si>
    <t>RT @DallasIrey: #Trumpville
❦@TraciLbertyBell
❦@DallasIrey
❦@Iwillhavemyday2
❦@gkautz
❦@BingoSkunky
❦@M_Matrian_69
❦@HanifeLong
❦@halomoma…</t>
  </si>
  <si>
    <t>RT @steve_fadness: @Thomas1774Paine @JPW3775  https://t.co/GbJTIOQIaY</t>
  </si>
  <si>
    <t>RT @Calimerog11: President Trump doesn't need his $400,000 government pay check could he be getting paid $millions to be a talking head for…</t>
  </si>
  <si>
    <t>RT @SheriffClarke: I wouldn't normally tell Lieut Col Ollie North, President of @NRA, what to do but he would do himself good to ignore thi…</t>
  </si>
  <si>
    <t>RT @inittowinit007: https://t.co/6TG8Ktzsqs</t>
  </si>
  <si>
    <t>RT @t2gunner: There was no intent...
#TrumpRussia #WitchHunt #MuellerGate #ComeyInterview https://t.co/miwrfxYGHM</t>
  </si>
  <si>
    <t>RT @TrumpsDC: I absolutely love watching President🇺🇸Trump at his rallies! He really has to do these from time to time to counter all the ne…</t>
  </si>
  <si>
    <t>RT @dcexaminer: Trump: "But at two in the morning, I had the incredible honor of greeting three brave Americans who had been held in North…</t>
  </si>
  <si>
    <t>Jeff Sessions is not compromised and he is not Deep State!  Wake up Patriots, he Mueller and Rosenstein are all working for Trump! They fooled most of you! You’ll see clearly soon! https://t.co/944gZ4Mj9s</t>
  </si>
  <si>
    <t>RT @goodmedicine4us: The Deep State is very real. They want to control the narrative and implement their Agenda(21).  Propaganda MKUltra Mo…</t>
  </si>
  <si>
    <t>RT @CraigRSawyer: What kind of American attacks the President who’s actually fixing things for the people?  Will McCain’s diatribe of hatre…</t>
  </si>
  <si>
    <t>RT @Trumpfan1995: Chuck Schumer, like a typical liberal, constantly whines about Trump’s successes in office.
Now says Americans returning…</t>
  </si>
  <si>
    <t>RT @RealMAGASteve: The only thing left for Obama and Kerry to do for Iran, since Trump eviscerated their precious nuclear agreement, is to…</t>
  </si>
  <si>
    <t>RT @gr8tjude: You know you live in a great country when even the people who detest it refuse to leave! 
🇺🇸🇺🇸🇺🇸🇺🇸🇺🇸🇺🇸🇺🇸🇺🇸🇺🇸🇺🇸🇺🇸🇺🇸 https://t.…</t>
  </si>
  <si>
    <t>RT @alozras411: .@POTUS: "In every action, with every decision, we will stand up for America." 
#AmericaFirst 
#MAGA
#AmyLovesTrump
https…</t>
  </si>
  <si>
    <t>RT @TrumpsDC: Everytime I watch Tucker Carlson, I feel like jumping through the TV &amp;amp; knocking heads together...
I cannot believe how MIND…</t>
  </si>
  <si>
    <t>RT @MARINECORPS8541: 1.
Let's do another recap of today's news:
⚪Trump brought back 3 prisoners from Noko
⚪5 Top ISIS leaders captured
⚪DO…</t>
  </si>
  <si>
    <t>RT @Dennis17Viper: And we're all so very thankful..... https://t.co/JKRveaQBw4</t>
  </si>
  <si>
    <t>RT @realDonaldTrump: Five Most Wanted leaders of ISIS just captured!</t>
  </si>
  <si>
    <t>RT @RealMAGASteve: To bad Gina Haspel can’t use “enhanced interrogation techniques” on Democrats. #MAGA #KAG https://t.co/ngBGv6DGtL</t>
  </si>
  <si>
    <t>RT @SteveMotley: Maam, I am so very sorry for your loss! I’m a retired Marine doing what I can to stop this insanity of so many of our best…</t>
  </si>
  <si>
    <t>RT @ReneeCarrollAZ: #CelebrateWomen
#ThursdayThoughts
#TinyLivesAtStake 🙏🙏
"We don't want the word to get out that we want to exterminate…</t>
  </si>
  <si>
    <t>RT @SoldiersWhisper: My dad, Walter Morton served with USMC from 1955 to 1985. He was in Vietnam during Operation Deckhouse &amp;amp; exposed to Ag…</t>
  </si>
  <si>
    <t>RT @BCKNBLK1: We must ALL stand together!! https://t.co/FL3KgTfBt6</t>
  </si>
  <si>
    <t>RT @Jamierodr10: “We will have those Borders extremely strong, extremely powerful and we will have laws that match the Borders”@POTUS #MAGA…</t>
  </si>
  <si>
    <t>RT @realDonaldTrump: On behalf of the American people, WELCOME HOME! https://t.co/hISaCI95CB</t>
  </si>
  <si>
    <t>RT @RodStryker: Patriots chanting "Build that wall" inside Trump Rally🇺🇸 #ElkhartIndiana👌
#RedWaveRising
#BuildTheWall
#DeportThemAll
#MA…</t>
  </si>
  <si>
    <t>RT @DiamondandSilk: Ever wonder how a lot of these congressmen &amp;amp; women are able to get filthy rich off of $174,000 salary a year? Where doe…</t>
  </si>
  <si>
    <t>RT @jerome_corsi: Nothing has convinced me that I was CORRECT to DROP #QAnon as an impostor starting 4/28 than to experience the VEHEMENT,…</t>
  </si>
  <si>
    <t>Exclusive -- Dennis Miller Says Trump 'Rope-a-Dope' Working: 'If You're Going to Be the Cool Kids, You Cannot Be Hysterical Every Day' https://t.co/faqIjMYH3i via @BreitbartNews</t>
  </si>
  <si>
    <t>RT @StephenMilIer: The lives of the 3 released Americans will be engraved in President Trump's Legacy, and no Democrat president can revise…</t>
  </si>
  <si>
    <t>Right on the money Jordan! Keep sharing the Truth! Full Disclosure is closer than you think! The more #TheSwamp is drained the closer we get to #Disclosure https://t.co/HGxI8XoOnK</t>
  </si>
  <si>
    <t>RT @1Romans58: Yes.  Communists HATE Christianity.  They must replace God with the State.  They hid it well for a long time, but now many a…</t>
  </si>
  <si>
    <t>RT @DallasIrey: #Trumpville 
❦@porrello_dana 
❦@Greg_Hasty
❦@pattygilli 
❦@DallasIrey
❦@FarmgirlBucks 
❦@mrtimwalsh
❦@MattMcKeithan 
❦@Spri…</t>
  </si>
  <si>
    <t>Maam, I am so very sorry for your loss! I’m a retired Marine doing what I can to stop this insanity of so many of our best and brightest taking this route! I will intensify my efforts on behalf of your beloved Marine! Blessings to you and your family! Semper Fi https://t.co/YXIoj4qPkb</t>
  </si>
  <si>
    <t>RT @Tattoobear: #Trumpman
#NRA #1A #2A
#AmericaFirst
#MAGA #KAG
#RealTCU
@TattooBear
@Kentneilparrot
@MABardino
@Politechblog
@grannylynn56…</t>
  </si>
  <si>
    <t>RT @FoxBusiness: .@RealCandaceO on new study finding that 39% of "top-tier liberal arts colleges" in the US don't have any Republicans on t…</t>
  </si>
  <si>
    <t>RT @JackPosobiec: I’m proud of the country my baby is being born into https://t.co/IMAzg4YvMN</t>
  </si>
  <si>
    <t>RT @FDRLST: Just like Iran, Kim Jong-Un comes to the negotiation table in a weak position following President Trump's big recent foreign po…</t>
  </si>
  <si>
    <t>RT @FoxNews: .@POTUS: "My proudest achievement will be, this is a part of it, will be when we denuclearize that entire peninsula." https://…</t>
  </si>
  <si>
    <t>As I read Charlie’ s words it sounded like I wrote it myself! Great job Charlie....you took the words right out of my mouth Brother! #MAGA https://t.co/07dQ64bqfd</t>
  </si>
  <si>
    <t>RT @SassySculptor: I think Charlie pretty much hits the nail on the head!👊🏼 https://t.co/3YdNPvgYPo</t>
  </si>
  <si>
    <t>RT @heykhosrow: As an Iranian, I would like to say: Dear President @realDonaldTrump, Iranians are very grateful for your decision to #Cance…</t>
  </si>
  <si>
    <t>RT @Golfinggary522: Agree completely @DineshDSouza! At most, you made a mistake. .@rosie violated the law purposefully, using aliases and f…</t>
  </si>
  <si>
    <t>RT @codeofvets: We are dealing with life &amp;amp; death! PTSD! WE WILL OVERCOME! WE WILL RIGHT THE WRONGS IN OUR COMMUNITY! #Grassroots
https://t.…</t>
  </si>
  <si>
    <t>RT @Jamierodr10: Another California City ‘Wakes Up’ and joins Trump Admin in opposing State Sanctuary Laws!! This Makes 20 cities! 👏🏻👏🏻👏🏻 #…</t>
  </si>
  <si>
    <t>RT @JenNongel: “Song Bird” McCain has no regrets about releasing the Steele Dossier. Says he’d do it again even though he “could not indepe…</t>
  </si>
  <si>
    <t>RT @RoseHasMoreFun: Good morning twitter land. Friday is right around the corner. It’s great to be alive, with so much WINNING.  I’m so pro…</t>
  </si>
  <si>
    <t>RT @MossbergCorp: Here is our official statement regarding Dick’s Sporting Goods.   https://t.co/GC6ALPUmtk https://t.co/vfkeKr5xs4</t>
  </si>
  <si>
    <t>RT @AnnaApp91838450: @lyons784x4 #MAGA 
 🙏💯🇺🇸 https://t.co/bMASnYLH8p</t>
  </si>
  <si>
    <t>RT @Real_PeachyKeen: Congrats to my very good friend, Veteran, and true Patriot @hickorymtnman for reaching 40,000 followers!!!!
His voice…</t>
  </si>
  <si>
    <t>RT @Chicago1Ray: #RT IF YOU AGREE WITH THIS ? https://t.co/08bxG2KfPX</t>
  </si>
  <si>
    <t>Freaking Idiots One and All https://t.co/jS7AvMYrQs</t>
  </si>
  <si>
    <t>RT @ChuckNASCAR: Shepard Smith reminds me of Anderson Cooper, just as Liberal &amp;amp; just as... well you know.</t>
  </si>
  <si>
    <t>RT @Fuctupmind: BUSTED: Treasury Dept. Inspector General Opens Federal Probe of how Stormy Daniels’ Lawyer got Cohen’s bank Intel https://t…</t>
  </si>
  <si>
    <t>RT @REALtrumpbureau: ONE OF #AMERICASANGELS IS ABOUT TO HIT 100,000 FOLLOWERS GRETCHEN SMITH @codeofvets IS SO SPECIAL AND SUCH A WONDERFUL…</t>
  </si>
  <si>
    <t>Follow QAnon to stay on top of this! https://t.co/7fgnN0wmtj https://t.co/LYBbDSIE4e</t>
  </si>
  <si>
    <t>RT @Redhead4645: May 15TH get out the red vote ! Primaries are important ! The dems want us crushed! #RedWave2018 We have to show up or shu…</t>
  </si>
  <si>
    <t>RT @ThyConsigliori: #ClearFlynnNow https://t.co/KjRhWD8IMc</t>
  </si>
  <si>
    <t>RT @jamestrumpster1: TRUMP ISSIS POLICY; KILLEM &amp;amp; TAKE THEIR SHIT https://t.co/NKU1wzrrJN</t>
  </si>
  <si>
    <t>RT @realDonaldTrump: The Fake News is working overtime. Just reported that, despite the tremendous success we are having with the economy &amp;amp;…</t>
  </si>
  <si>
    <t>RT @gr8tjude: Trump has mastered rationality with irrationality and it’s working!
#TheTrumpEffect https://t.co/BoCx3RQ2d1</t>
  </si>
  <si>
    <t>RT @Jamierodr10: Despite the 90% Negative Coverage In The #FakeNewsMedia, President Trump Polls Continue To Improve!! #Winning #MAGA  https…</t>
  </si>
  <si>
    <t>RT @Dawn_DeMore1: Defending The Defenseless And Saving Our Children From Predators
@CraigRSawyer Founded #V4CR To Expose And Combat The Ev…</t>
  </si>
  <si>
    <t>Trump celebrates 3 Americans freed from North Korea in victorious return to the US - Business Insider https://t.co/qHQtoJUgkC</t>
  </si>
  <si>
    <t>RT @GrizzleMeister: Extremely rare to elect a President or any public official that does exactly what they campaign on. 
‘President Trump i…</t>
  </si>
  <si>
    <t>RT @John_KissMyBot: Enough With The ‘Double Standards’ 👉Liberals Should be HELD ACCOUNTABLE 
👉John Kerry’s Spokesperson Just Admitted He I…</t>
  </si>
  <si>
    <t>RT @realDonaldTrump: I am pleased to inform you that Secretary of State Mike Pompeo is in the air and on his way back from North Korea with…</t>
  </si>
  <si>
    <t>RT @Dawn_DeMore1: #JeffSessions Please, Please Do Something!
Sean Hannity To Jeff Sessions: 'Are You Part Of The Swamp? Are You Part Of Th…</t>
  </si>
  <si>
    <t>RT @FoxNewsInsider: Oliver North: @realDonaldTrump Should Sanction Iran and Anybody Who Does Business With Them @foxandfriends https://t.co…</t>
  </si>
  <si>
    <t>RT @MilitaryEarth: Say a prayer for us. https://t.co/QGFYU7uo5Y</t>
  </si>
  <si>
    <t>RT @kwilli1046: Attention All #Trump  Supporters - Many Patriots Are Being Shadow Banned Again! Shadow Banning Limits Free Speech by Restri…</t>
  </si>
  <si>
    <t>RT @Dawn_DeMore1: #AmericaFirst 
#POTUS Advises Iran NOT To Restart It's Nuclear Program, Warns "They'll Be Very Severe Consequences" If T…</t>
  </si>
  <si>
    <t>RT @Sunrise51052: This is how much Iran respected Obama &amp;amp; his Iran Deal.
You'll never see anything like this from any country while Trump'…</t>
  </si>
  <si>
    <t>Boy Scouts Loses 425,000 Boys, Just Week After It Decides To Drop ‘Boy’ From Name https://t.co/lxXAeDVsmA</t>
  </si>
  <si>
    <t>RT @OnPlanetDiscord: Great admiration and respect Dr Corsi.  God Bless and Protect you and yours https://t.co/7Wtu3AMUHm</t>
  </si>
  <si>
    <t>RT @IWillRedPillU: This article is the most detailed breakdown &amp;amp; analysis of Q Crumbs you'll find on the internet, guaranteed. I spent seve…</t>
  </si>
  <si>
    <t>RT @RealBoomBoomPow: 🎯 Modern #Socialist 🎯
Takes an #Uber to the #Starbucks where they post on #social media from an #iPhone to complain a…</t>
  </si>
  <si>
    <t>Hey I’m a Patriot! Add me to your list! https://t.co/bRGOAUFRfz</t>
  </si>
  <si>
    <t>This is amazing! R/T please https://t.co/VsMOIoTbGg</t>
  </si>
  <si>
    <t>RT @realshady8kers: Hopeful that Kim Jong Un leaves the North’s legacy behind him. https://t.co/6TQPuQiv1R https://t.co/yxJzlas3Uz</t>
  </si>
  <si>
    <t>RT @thebradfordfile: RAISE YOUR HAND if you know John Kerry is a diplomatic fool.
Legacy: Cash to Iran. https://t.co/32kfiz600o</t>
  </si>
  <si>
    <t>https://t.co/syTPrpRrXT</t>
  </si>
  <si>
    <t>RT @USAHotLips: I can no longer defend Sessions. It’s time to do something. 
House Intelligence Committee Chairman Rep. Devin Nunes said S…</t>
  </si>
  <si>
    <t>RT @PolToons: Enough is Enough! @AFBranco #DrainTheSwamp #DemocratLiesMatter Always #VoteGOP #NoRINOs #MAGA #DemocratsBeingDemocrats 
http…</t>
  </si>
  <si>
    <t>RT @realDonaldTrump: I recently had a terrific meeting with a bipartisan group of freshman lawmakers who feel very strongly in favor of Con…</t>
  </si>
  <si>
    <t>RT @GrrrGraphics: #RobertMueller's Overreach  #BenGarrison #cartoon #PresidentTrump @GenFlynn #WitchHunt #HillaryClinton Your #SundayMornin…</t>
  </si>
  <si>
    <t>RT @TheLastRefuge2: McNaughton: “There comes a time when you have to take a stand the Expose the Truth!”… https://t.co/Mt4SvBDh52 https://t…</t>
  </si>
  <si>
    <t>RT @CoreyLMJones: Americans were sick of the Clintons.
Americans were sick of the corruption.
Americans were sick of the lies.
Americans we…</t>
  </si>
  <si>
    <t>RT @AssangeMrs: What American citizens can do right now to protect Julians life..
Write to..
President Donald Trump
The Whitehouse
1600 Pe…</t>
  </si>
  <si>
    <t>RT @stevenkb4ech: @SiddonsDan @starcrosswolf @FLOTUS Help me Please https://t.co/5GqnGXcWT4</t>
  </si>
  <si>
    <t>RT @ClintonMSix141: I want this man in prison now
Retweet if you agree!
@realDonaldTrump https://t.co/VlwKfy2G81</t>
  </si>
  <si>
    <t>RT @TrumpTrainMRA4: Today @POTUS Trump @realDonaldTrump Ended the 
Iran Nuclear Agreement JCPOA. An Agreement put in place by the DemonCrap…</t>
  </si>
  <si>
    <t>RT @Belle4DJT: America Is Back Thanks To @realDonaldTrump keeping his PROMISES! 
#MAGA 
#PromisesKept https://t.co/y5nCoB0F1l</t>
  </si>
  <si>
    <t>RT @TimpatriotTk: 07sec New NRA President!!
Congrats Oliver North!!
#NRAOLIVERNORTH 
#TimPATRIOT https://t.co/70FP0qDhqF</t>
  </si>
  <si>
    <t>RT @kwilli1046: A No-Brainer! Retweet if you agree. https://t.co/M1ZsDRMwGN</t>
  </si>
  <si>
    <t>RT @demsrloosers: This Clown needs https://t.co/ed9LnIYCdh prosecuted for trying to Undermine POTUS        John Kerry is clearly violating…</t>
  </si>
  <si>
    <t>RT @PrisonPlanet: Kanye may not be the most eloquent person or have the perfect message.
But simply having authenticity and amplifying a m…</t>
  </si>
  <si>
    <t>RT @ChuckNASCAR: President Donald J. Trump DESERVES a @NobelPrize for PEACE on the Korean penisula. @POTUS @realDonaldTrump https://t.co/SA…</t>
  </si>
  <si>
    <t>RT @LadyKnightFury: I hired @realDonaldTrump exactly for this 👇 Thank you #Potus for keeping your promises ⚔️💋⚔️ https://t.co/hfK8EFXdqz</t>
  </si>
  <si>
    <t>RT @Golfinggary522: Gina Haspel should be approved as next CIA director based on her experience and dedicated service. Democrats oppose her…</t>
  </si>
  <si>
    <t>RT @realDonaldTrump: Is this Phony Witch Hunt going to go on even longer so it wrongfully impacts the Mid-Term Elections, which is what the…</t>
  </si>
  <si>
    <t>RT @KatTheHammer1: @GenFlynn
Good morning fellow patriots! Stay United! 
#GodBlessAmerica 
#GodBlessOurTroops  
#DismissFlynnCase 
#ISTAN…</t>
  </si>
  <si>
    <t>RT @jerome_corsi: Boom! POTUS Trump Calls Out Lovebirds Strzok and Page -- Asks Why Is Peter Strzok Still Working at FBI? https://t.co/NtHg…</t>
  </si>
  <si>
    <t>RT @President1Trump: Michael Caputo whose life was destroyed by Mueller: “There is no Russian collision on the Trump campaign. There never…</t>
  </si>
  <si>
    <t>RT @realDonaldTrump: The 13 Angry Democrats in charge of the Russian Witch Hunt are starting to find out that there is a Court System in pl…</t>
  </si>
  <si>
    <t>RT @jimlibertarian: Good morning Mr. President &amp;amp; I endorse Gina Haspel 100%, because terror must be met with terror,&amp;amp; 🇺🇸must never show mer…</t>
  </si>
  <si>
    <t>RT @SecOfState70: How long will it be until a judge from the 9th circuit court orders President Trump not to meet with North Korea?</t>
  </si>
  <si>
    <t>RT @JackPosobiec: @realDonaldTrump  https://t.co/Fs0IjTdHVp</t>
  </si>
  <si>
    <t>RT @GemMar333: Most people on their death beds make amends...ask for forgiveness...apologize for past aggression....NOT John McCain...He wi…</t>
  </si>
  <si>
    <t>RT @vannsmole: As Chicago weather warms, 81 people shot in nation's third-largest city, Chicago in last week.
Chicago -
No.#1 In Gun contr…</t>
  </si>
  <si>
    <t>RT @poconomtn: If you think the Deep State is easy to dismantle look at the last man that tried! Our president needs our support and patien…</t>
  </si>
  <si>
    <t>RT @RichardGrenell: Thank you for coming all the way up. You are brilliant, strong and beautiful. #SHS https://t.co/UZFaUwByak</t>
  </si>
  <si>
    <t>RT @kwilli1046: #Bongino: "Mueller's sole purpose right now is to run a smoke screen while investigating Donald #Trump to protect Hillary a…</t>
  </si>
  <si>
    <t>RT @realDonaldTrump: The United States does not need John Kerry’s possibly illegal Shadow Diplomacy on the very badly negotiated Iran Deal.…</t>
  </si>
  <si>
    <t>RT @jerome_corsi: Facebook Has Dozens of Ex-Obama and Ex-Hillary Staffers in Senior Positions | Breitbart https://t.co/8D8SMIIl7s ZUCK is i…</t>
  </si>
  <si>
    <t>RT @polishprincessh: It is offensive to suggest that all women should have voted for Hillary, simply because she is a woman. This is NOT en…</t>
  </si>
  <si>
    <t>RT @AMike4761: Tens of thousands of Londoners took to the streets to drive radical Islam out of London.  We are running Low on patience wit…</t>
  </si>
  <si>
    <t>RT @poconomtn: Refugees are coming over the border with diseases we havnt even seen yet..it would take very few to come over with Small Pox…</t>
  </si>
  <si>
    <t>RT @RoseHasMoreFun: Good morning twitter land. Since today is #MilitaryMonday I’d like to do a shout out for my grandson who is 18, and in…</t>
  </si>
  <si>
    <t>I have 538 new followers from USA, Australia, India, and more last week. See https://t.co/Z5SFmgjj3M https://t.co/qMIYusgyLK</t>
  </si>
  <si>
    <t>RT @StandingDarrell: “Judging by Mueller's history, it doesn't matter who he has to threaten, harass, prosecute or bankrupt to get to alleg…</t>
  </si>
  <si>
    <t>RT @John_KissMyBot: Have You Noticed How Liberals Call Everyone They Disagree A Racist 
Well, CNN’s Star Snowflake ❄️ Don Lemon 🍋 Recently…</t>
  </si>
  <si>
    <t>RT @vannsmole: Trump on US border control: 'We may have to close up our country'
"You can't allow people to pour into our country like the…</t>
  </si>
  <si>
    <t>RT @favoriteauntssi: LOCK THEM UP! Newly Released Unredacted Documents Were Not a National Security Threat - Instead Show DOJ-FBI was PROTE…</t>
  </si>
  <si>
    <t>RT @jdolan2020: Good Morning Patriots!!!  I pray this Sunday that a Bill in Minnesota passes permitting our  motto be placed in schools ove…</t>
  </si>
  <si>
    <t>RT @AMike4761: PARIS Mayor Backs Communist Party Plan to Turn Public Park into Migrant Camp.  Tourism Kaput!  Paris Kaput!  France Kaput!…</t>
  </si>
  <si>
    <t>RT @jerome_corsi: MUELLER knows his time is short, so already MSM is positioning to extend Special Counselor investigation to 2020 - WON'T…</t>
  </si>
  <si>
    <t>RT @jdolan2020: A second Federal Judge wants to know the “scope of his authority” and from where it came‼️ https://t.co/p126SPnPzg</t>
  </si>
  <si>
    <t>RT @FoxNews: .@RealCandaceO: “I blame Obama, his 8 years in office did a lot of damage in terms of race relations in this country and… Hill…</t>
  </si>
  <si>
    <t>RT @MAGANinaJo: Tide may be turning.  Another judge, Dabney Friedrich, has questioned the prosecutor investigating the 3 Russian bots. The…</t>
  </si>
  <si>
    <t>RT @kwilli1046: As an conservative American, when I hear Candace Owens speak about being on the "Brink of a Cultural Shift", I really belie…</t>
  </si>
  <si>
    <t>RT @jerome_corsi: Devin Nunes tweets ‘send in the G-men’ after John Kerry’s reported shadowy attempt to save Iran Deal https://t.co/BCCM0gV…</t>
  </si>
  <si>
    <t>RT @PaulLee85: Don Lemon is as foolish as ever. But one thing he does well is play the race card, but that doesn’t work so well anymore bec…</t>
  </si>
  <si>
    <t>RT @SaraCarterDC: .@DevinNunes sent classified letter to AG Sessons asking for info/ AG Sessions DOJ ignored—-Move forward with contempt re…</t>
  </si>
  <si>
    <t>Use https://t.co/Rwo9OmEuDM, and they'll reward us both with a US$25 gift! https://t.co/pN61E8DJ49</t>
  </si>
  <si>
    <t>RT @FiveRights: Snoop Dogg thinks that Kanye West recognizing Trump's abilities makes Kanye white.
Look around, Mr. Dogg.
ISIS is gone.
tax…</t>
  </si>
  <si>
    <t>RT @Jamierodr10: GOOD MORNING PATRIOTS 🇺🇸🇺🇸          Today I’m Praying For The Men And Women Who Put Their Lives On The Line For Us Everyda…</t>
  </si>
  <si>
    <t>RT @yojudenz: https://t.co/6iL3W9QhwD</t>
  </si>
  <si>
    <t>RT @UnitedWeStandDT: @SassyT_Joy @donjone38970700 @IamDeplorable4 @Sissy_USMC @RickRainmaker77 @TRUTH_USA_2016 @MrKimbles 😂😂😂😂😂 https://t.c…</t>
  </si>
  <si>
    <t>RT @Bohicamf1: @Sissy_USMC @BusterUSMC @roncole651 @bclew70 @bksgtmaj @retireleo @Marine_4Ever @SumnerRdsumner @LeatherneckVic @brianwg1967…</t>
  </si>
  <si>
    <t>RT @Marine_4Ever: @Bohicamf1 @Sissy_USMC @BusterUSMC @roncole651 @bclew70 @bksgtmaj @retireleo @SumnerRdsumner @LeatherneckVic @brianwg1967…</t>
  </si>
  <si>
    <t>RT @Sissy_USMC: 🌟Honoring🌟
Master Gunnery Sergeant 
Larry E. Boyd
United States Marine Corps 
Retired
Passed December 19 2014
My Best Frien…</t>
  </si>
  <si>
    <t>RT @Sissy_USMC: BREAKING: Mike Pence's Physician Who Targeted Admiral Ronny Jackson RESIGNS https://t.co/j0Gh4NSYgO</t>
  </si>
  <si>
    <t>RT @yojudenz: https://t.co/gQ2CXOcE6O</t>
  </si>
  <si>
    <t>5.0-magnitude earthquake rattles Hawaii's Big Island https://t.co/QS2M91FTOO via @YahooNews</t>
  </si>
  <si>
    <t>Pentagon Confirms Chinese Fired Lasers at U.S. Pilots via @freebeacon https://t.co/iHcxj8HFzQ</t>
  </si>
  <si>
    <t>Mueller focusing sharply on ties between Roger Stone and former Trump campaign official Rick Gates: Sources https://t.co/RXj6RzjoHT</t>
  </si>
  <si>
    <t>Giuliani May Have Exposed Trump to New Legal and Political Perils https://t.co/yICYcPjmce</t>
  </si>
  <si>
    <t>Facebook's dating service is a chance to meet the catfisher, advertiser or scammer of your dreams https://t.co/rxKErzu3jS via @SFGate</t>
  </si>
  <si>
    <t>Burglar hits LA-area homes while residents attend funerals https://t.co/24YpHTdTVz via @YahooNews</t>
  </si>
  <si>
    <t>Trevor Jackson dodges bullets in action-packed "Superfly "trailer https://t.co/fJjTBE9jUP via @ew</t>
  </si>
  <si>
    <t>Here's every superhero movie coming out through 2020 https://t.co/4eAKNEZgUs via @ew</t>
  </si>
  <si>
    <t>Buffett's Berkshire Hathaway bought stunning 75 million Apple shares in first quarter https://t.co/72GCU2FsEA</t>
  </si>
  <si>
    <t>10 SEALs Set to be Separated from the Service for failing Drug Tests; Investigation Underway https://t.co/kymYevGAzN</t>
  </si>
  <si>
    <t>Peeing in trash cans, constant surveillance, and asthma attacks on the job: Amazon workers tell us their warehouse horror stories https://t.co/eCPVg6UjGD via @businessinsider</t>
  </si>
  <si>
    <t>Man Stabs Co-worker To Death At Philadelphia International Airport After Fight Over Light, Police Say https://t.co/QcseinCmsC</t>
  </si>
  <si>
    <t>RT @seanhannity: RUDY: It's time for Sessions to SHUT IT DOWN... https://t.co/OfWKdBoQ7x</t>
  </si>
  <si>
    <t>RT @CraigRSawyer: I founded Vets 4 Child Rescue to expose &amp;amp; combat the evil world of #ChildTrafficking in the USA. Thanks 4 your prayers, d…</t>
  </si>
  <si>
    <t>RT @adjunctprofessr: Americans must keep our right to bear arms; we stand as the last major bulwark against the curse of globalization.
#WW…</t>
  </si>
  <si>
    <t>RT @Tombx7M: Yes it would 
#hannity #IngrahamAngle #KAG #Trump #QANON 
#MAGA https://t.co/GWEtah5PFJ</t>
  </si>
  <si>
    <t>RT @kilburn_hall: The FBi has been dirty for years. These guys, Robert Mueller, James Comey, Andrew McCabe, Rob Rosenstein are all dirty-co…</t>
  </si>
  <si>
    <t>RT @TrumpTrainMRA4: I’ll Just Let This Speak for Itself...
Narcissism is of the Devil... https://t.co/eQFPBockPX</t>
  </si>
  <si>
    <t>RT @martindorman855: Hillary like Medusa seems to destroy everything she touches https://t.co/7iwNXGn3wf</t>
  </si>
  <si>
    <t>RT @LoriinUtah: Today is National Prayer Day. Start your days in sincere prayer. I pray for our Nation. I believe we can pray anywhere and…</t>
  </si>
  <si>
    <t>RT @PlaysTrumpCard: ❤️@therealroseanne for starting a great conversation and being willing to take the ridiculous heat from the people who…</t>
  </si>
  <si>
    <t>RT @dragonflyklm: @POTUS #Stop5GNOW https://t.co/JL1aEz4GaI</t>
  </si>
  <si>
    <t>RT @syqau: Former Cowboy Gerald Sensabaugh Comes Out in Support of Kanye West https://t.co/qnt2N4ZJXC</t>
  </si>
  <si>
    <t>Use https://t.co/Rwo9OmEuDM, and they'll reward us both with a US$25 gift! https://t.co/xvntAO007x</t>
  </si>
  <si>
    <t>https://t.co/R5DjAoCtQi</t>
  </si>
  <si>
    <t>Retired Marine - QAnon, Black Helicopters, Boy Scouts &amp;amp; Big Ass Alligators! https://t.co/0lcEIcIzWO #Marines #SemperFi #MAGA</t>
  </si>
  <si>
    <t>RT @MilitaryEarth: Independence comes at a price https://t.co/DuHZ63edP6</t>
  </si>
  <si>
    <t>RT @tom46236928: Tonight could be fun ! The shills come out at night! Take your pick soy boy about time to wake up and climb them basement…</t>
  </si>
  <si>
    <t>RT @QTheRainmakers: #TrumpNobelPrize #CO45
#PresidentTrump #TrumpforNobel 
#TheRainMakers #Trumpworld 
#MeToo #QAnon #QArmy #Nk @realDonald…</t>
  </si>
  <si>
    <t>RT @SFCA4Trump: @gypsyjoo I need follow backs 
I'm up against 5k and will have to start purging 
Thanks and maga!
#mutekanye #Pompeo #th…</t>
  </si>
  <si>
    <t>RT @Tombx7M: You have no idea 
 #Foxandfriends #morningjoe
#Trump #QAnon #MAGA https://t.co/LtCSED7AkM</t>
  </si>
  <si>
    <t>#LockHimUp https://t.co/hPbeszcvpk</t>
  </si>
  <si>
    <t>#Patriots Boycott this POS! https://t.co/Cahng7BnGt</t>
  </si>
  <si>
    <t>The Red Cross is a Trafficing Front for the CIA! Never ever give them any money! https://t.co/6AAlBllPaJ</t>
  </si>
  <si>
    <t>RT @intheMatrixxx: Trust the plan. Be heard. Be loud. Be Proud. #QArmy
#TrustThePlan #QAnon #WWG1WGA #TheGreatAwakening https://t.co/wkuiqx…</t>
  </si>
  <si>
    <t>RT @adjunctprofessr: Let's Go Red!
Rosenstein's running out the clock for the November elections?
He thinks Democrats will takeback the Hou…</t>
  </si>
  <si>
    <t>Roseanne Barr defends Kanye West: People 'do not want to hear the truth' https://t.co/ZVNZKnZ8MR #FoxNews</t>
  </si>
  <si>
    <t>RT @NJ_Optimist: JOBS REPORT https://t.co/9oK9oLOGxa</t>
  </si>
  <si>
    <t>RT @Golfinggary522: Is this a good reason to End the Deep State?? 
I THINK SO!
#EndTheDeepState 
#DrainTheDeepStateSwamp 
#golfinggary 
👇👇👇…</t>
  </si>
  <si>
    <t>RT @RodStryker: @LadyRedStorm @MAGANinaJo @RuthieRedSox @CB618444 @DjLots3 @FriendlyJMC @larryelder @KNP2BP @kwilli1046 @mike_Zollo #MAGA #…</t>
  </si>
  <si>
    <t>RT @newtgingrich: Setting up a precedent that a prosecutor is allowed to dig into your life until finding a crime is a threat to the rule o…</t>
  </si>
  <si>
    <t>RT @Alokla: #qanon https://t.co/EwOR7a1YV1</t>
  </si>
  <si>
    <t>Come on Mike! #WeThePeople know who you really are! Give it a break Bro! https://t.co/lsSZdkqHk2</t>
  </si>
  <si>
    <t>RT @KMGGaryde: Jeff Sessions it's time to address the out of control corrupt DOJ under Rosenstein. R you going to sit this one out while Ex…</t>
  </si>
  <si>
    <t>RT @KatTheHammer1: This Nation owes a debt of gratitude to .@GenFlynn  
🔴 Defense Distinguished Service Medal
🔴 Defense Superior Svc. Meda…</t>
  </si>
  <si>
    <t>RT @Oil_Guns_Merica: How about criticizing gun ownership when you don’t own a gun? https://t.co/PRPwNqLaz1</t>
  </si>
  <si>
    <t>RT @realDonaldTrump: The White House is running very smoothly despite phony Witch Hunts etc. There is great Energy and unending Stamina, bo…</t>
  </si>
  <si>
    <t>Total POS! I will never watch another movie with this liberal Freakzoid. He SUCKS! https://t.co/1zRTAyMseV</t>
  </si>
  <si>
    <t>RT @davealvord164: 1/
News Feed ----- 5-2-2018 --- Wed 
Gotta admit.
That RED MAGA Hat is serious symbolism and power.
You don't have to b…</t>
  </si>
  <si>
    <t>RT @Carolin17951107: https://t.co/gVgAifGMOR
Maxine Waters wants #KanyeWest to shut up and sing! She thinks he doesn't mean any harm and ne…</t>
  </si>
  <si>
    <t>RT @FoxNews: Joe diGenova on Mueller investigation: "There is no authority under federal law to issue a subpoena to a president of the Unit…</t>
  </si>
  <si>
    <t>RT @KMGGaryde: Congratulations to friend &amp;amp; colleague GRIZZLE @GrizzleMeister on cracking 100K followers. There is no stronger Patriot &amp;amp; 2A…</t>
  </si>
  <si>
    <t>RT @realDonaldTrump: I have been briefed on the U.S. C-130 “Hercules” cargo plane from the Puerto Rico National Guard that crashed near Sav…</t>
  </si>
  <si>
    <t>RT @Patriotic_Va: 🎉CONGRATS🎉
My friend @RubyRockstar333 has 55k awesome followers! 
If you’re not following her you’re missing her clever…</t>
  </si>
  <si>
    <t>RT @NRA: .@NRAILA announced that @realDonaldTrump will headline the annual NRA-ILA Leadership Forum in Dallas on Friday. “I am honored to w…</t>
  </si>
  <si>
    <t>RT @jonella_moore: Clintons &amp;amp; Rothchild's Linked To Allison Mack, &amp;amp; Obama Lied On Iran Nucl... https://t.co/mMv6lpv9Kd via @YouTube
#DeepSt…</t>
  </si>
  <si>
    <t>RT @RodStryker: @hyemom10 @politik10111 Liberals are trying to rewrite history to fit their globalist agenda. We can't allow that to happen…</t>
  </si>
  <si>
    <t>RT @sxdoc: Snopes Exposed As Liberal CIA Disinformation Operation: We are supposed to believe one man, David Mikkelson, with “assistants” h…</t>
  </si>
  <si>
    <t>RT @GrandOpUSA: Rudy Giuliani spoke what was on everybody’s mind.
Trump has touched the hearts of Americans in ways that no other presiden…</t>
  </si>
  <si>
    <t>RT @poconomtn: The swamp is so deep that even with Trump having peace talks with N. And S. Korea and getting N. Korea to release American c…</t>
  </si>
  <si>
    <t>RT @KatTheHammer1: "We learn our history wrong. We learn that LBJ was the greatest President for black America and that couldn't be more fa…</t>
  </si>
  <si>
    <t>RT @The_Trump_Train: @realDonaldTrump The United States and China can mutually benefit from fair but great trade deals... $500 billion down!</t>
  </si>
  <si>
    <t>RT @TuckerCarlson: Let's review. Trump ran promising to improve relations w/ Russia...voters agreed. But permanent DC hated the idea. They’…</t>
  </si>
  <si>
    <t>RT @realDonaldTrump: Our great financial team is in China trying to negotiate a level playing field on trade! I look forward to being with…</t>
  </si>
  <si>
    <t>RT @John_KissMyBot: It Was NEVER ABOUT Russia Collusion 
Sessions (Mistakingly) Recused Himself, Then Comey Leaked Classified Information…</t>
  </si>
  <si>
    <t>RT @Chicago1Ray: "The Deputy #AG today disqualified himself from continued service in the #DOJ/@jeffsessions now has an absolute responsibi…</t>
  </si>
  <si>
    <t>RT @TrumpsBIonde: Apparently it took lots of #forged #documents to put #Obama in the White House. Sharing the Obama #MOAB. 146 pages of dat…</t>
  </si>
  <si>
    <t>Cobb was leading the administration’s legal response to special counsel Robert Mueller’s Russia investigation. https://t.co/jEym046pN7 via @HuffPostPol</t>
  </si>
  <si>
    <t>RT @Steve_Pippin: 🇺🇸 Both Washington Outsiders dismissed as serious candidates
🇺🇸 Both PASSIONATE in their beliefs 
🇺🇸 Both attacked by the…</t>
  </si>
  <si>
    <t>RT @goodmedicine4us: https://t.co/FU8dFto8mw</t>
  </si>
  <si>
    <t>RT @AnonymousInfo3: 🎇🎇🎇🎇🎇🎇🎇🎇🎇
Q Anon is fight vs Devils !
Choose wisely which Side You are going to be .💣 
Wake up !
#QAnon #MAGA #Grea…</t>
  </si>
  <si>
    <t>RT @LadyKnightFury: 🔥#WakeUp #RedPill #IfSlaveryWasAChoice Don’t join Q the ☔️ groups. Farming info for software by an Irishman who lives i…</t>
  </si>
  <si>
    <t>RT @PamB60: @inittowinit007 @realDonaldTrump @POTUS @_America_First @TrumpTrainMRA4 @MEL2AUSA @Sissy_USMC @HrrEerren @buzzman888 @SierraWhi…</t>
  </si>
  <si>
    <t>RT @HMLoeschMcK: Hillary... a fake &amp;amp; a fraud. She takes, she lies &amp;amp; because of her bad ways; people have died. She would have made America…</t>
  </si>
  <si>
    <t>RT @intheMatrixxx: VIDEO: Security Footage of Savannah C-130 Crash
@POTUS #QAnon #Qarmy #C130 #c130crash https://t.co/E7ch7Pl1WV</t>
  </si>
  <si>
    <t>RT @PradRachael: BREAKING: NORTH KOREA RELEASES ALL US DETAINEES AT THE REQUEST OF PRESIDENT TRUMP. 
THANK YOU PRESIDENT TRUMP 
FOR PUTTING…</t>
  </si>
  <si>
    <t>RT @intheMatrixxx: #QAlert 5/2/18 This will be my thread for all of #Q's posts on Wednesday, May 2, 2018. We have pictures... let's check i…</t>
  </si>
  <si>
    <t>RT @GartrellLinda: U of NC Chapel Hill STUDENT Throws Disgusting BLOOD &amp;amp; RED INK On  Confederate Statue
She's arrested &amp;amp; the judge should f…</t>
  </si>
  <si>
    <t>RT @John_KissMyBot: 18 House Republicans Formally Nominate President Trump For The Nobel Peace Prize For His efforts to end the decades-lon…</t>
  </si>
  <si>
    <t>RT @goodmedicine4us: https://t.co/pmVsuVm5sW</t>
  </si>
  <si>
    <t>RT @codeofvets: WE CAN DO THIS! VETERANS IN DISTRESS! WE WILL TAKE CARE OF OUR OWN UNTIL WE CAN GET OUR VETERAN/OUTSIDER CANDI… https://t.c…</t>
  </si>
  <si>
    <t>RT @sxdoc: Dr. Jennifer Pena was next in line after Admiral Ronny Jackson to be Trumps physician. She’s reportedly member of NXIVM sex cult…</t>
  </si>
  <si>
    <t>RT @RodStryker: @DavisBoykin @Hoosiers1986 @stuntmangene White Privelege doesn't exist. The term was created by Globalists to create more d…</t>
  </si>
  <si>
    <t>RT @Chicago1Ray: Dos Amigos !!! 
@realDonaldTrump changing the landscape in the Country ✔
@kanyewest could exact change in the African Am…</t>
  </si>
  <si>
    <t>RT @carrieksada: Auntie Maxine’s favorite flavor, “ImPEACH” 😂😂
#BadIceCreamFlavours 
#KeepAmericaGreat 
#Trump2020 
@GrrrGraphics https:/…</t>
  </si>
  <si>
    <t>https://t.co/Hjz0VluFvz</t>
  </si>
  <si>
    <t>RT @EvonneSadrey157: Iran, is a Middle Eastern country with population of 83+M. 
A Shia-Islamic ruled by the fundamentalist Mullahs, with a…</t>
  </si>
  <si>
    <t>RT @jeepsuzih2: I LOVE PREZ TRUMP SUPPORTERS 🇺🇸❤🇺🇸 THEY ARE THE NICEST  PEOPLE THAT WANT THE BEST FOR OUR GREAT COUNTRY!! 🇺🇸 #KAG2020 THEY…</t>
  </si>
  <si>
    <t>RT @seanhannity: “Russia collusion is total fake news.”—Mayor Rudy Giuliani #hannity</t>
  </si>
  <si>
    <t>RT @seanhannity: “I do not know why the Justice Department is not investigating Hillary Clinton. James Comey rigged the whole case.”—Mayor…</t>
  </si>
  <si>
    <t>RT @RealMAGASteve: “Comey you're a liar. A disgraceful liar. You should be prosecuted for leaking confidential FBI information. Trump is th…</t>
  </si>
  <si>
    <t>RT @jdolan2020: Rudy Giuliani on Hannity commented he regrets turning down the AG job when asked. Hey Rudy!  About 65-70 million voters reg…</t>
  </si>
  <si>
    <t>RT @Thomas1774Paine: BRAVO, Mr. Mayor -- Rudy Giuliani Slams Mueller Probe on Hannity: ‘Totally Garbage Investigation’ (VIDEO) https://t.co…</t>
  </si>
  <si>
    <t>RT @junogsp5: John Scary Kerry Susan Dirty Rice Val Jarrett 
Little Bob Corker Jeff Flake Out All Outraged over 
Iran 🇮🇷 Deal Exit
💯 Proof…</t>
  </si>
  <si>
    <t>RT @RealJack: Tonight, Rudy Giuliani said “Comey should be prosecuted for leaking confidential FBI information."
Lock him up. Lock Hillary…</t>
  </si>
  <si>
    <t>RT @John_KissMyBot: WOW !Actor Robert De Niro Attacked WH press secretary Sarah Sanders, saying the “bullies” &amp;amp; “liars” in President Donald…</t>
  </si>
  <si>
    <t>RT @RealMAGASteve: “What Mueller did to Paul Manafort I used to do to the mafia.” –Rudy Giuliani https://t.co/gFchJGPERz</t>
  </si>
  <si>
    <t>RT @1Romans58: Please... Romney it's a little late for this, and no you wouldn't have done what Trump did.  Not even close. 
Romney praise…</t>
  </si>
  <si>
    <t>RT @DiamondandSilk: How can Mueller be "Fair" in this investigation when Mueller &amp;amp; Comey are Homeys? Why is Mueller believing Comey; who is…</t>
  </si>
  <si>
    <t>RT @RodStryker: Liberals are getting Kanye's words twisted about "400 years of slavery being a choice"🤔
I believe he is saying this:
Slav…</t>
  </si>
  <si>
    <t>RT @FiveRights: What Rosenstein is doing is the definition of obstructing justice.
He needs to be prosecuted and sent to prison for it.</t>
  </si>
  <si>
    <t>RT @bbusa617: https://t.co/kulHL7GABC
WITH THE DOJ &amp;amp; FBI CORRUPT WITH SESSIONS ROSENSTEIN &amp;amp; WRAY GOP LEADERS PAUL RYAN &amp;amp; MITCH McCONNELL R…</t>
  </si>
  <si>
    <t>RT @Thomas1774Paine: Trump threatens to use presidential ‘powers’ to intervene in ‘rigged’ Justice Department https://t.co/iUyc76Ut9w</t>
  </si>
  <si>
    <t>Facebook Has Begun To Rank News Organizations By Trust, Zuckerberg Says https://t.co/MI6iXHzUnN via @buzzfeedben</t>
  </si>
  <si>
    <t>RT @Stump_for_Trump: President @realDonaldTrump is trying to run the country while Mueller &amp;amp; Rosenstein are trying to ruin the country with…</t>
  </si>
  <si>
    <t>RT @TheGreatFeather: Face the facts! You have it all wrong... you are brainwashed liberals! The Republicans have ALWAYS had your backs and…</t>
  </si>
  <si>
    <t>RT @LadyRedStorm: THE audacity! Jumping on the bandwagon waaay to late @MittRomney! THAT train, THE #TrumpTrain left the station a looong t…</t>
  </si>
  <si>
    <t>RT @martinl30346020: Hump day Trump Train🚂🚂
@DonHensarling 
@4AmericanKat 
@kr_romm 
@martinl30346020 
@lmchristi1 
@Legaleagle1953 
@dnaul…</t>
  </si>
  <si>
    <t>RT @dawg_lb: Maxine, who are you to determine when anybody is allowed to speak. Guess you have not read the constitution or you are unable…</t>
  </si>
  <si>
    <t>RT @1Romans58: Freedom of speech is under attack.
The weapons of hate, shame, and conformity used against you.
Speak your mind freely and…</t>
  </si>
  <si>
    <t>RT @johngort3: @FoxNews @RepMaxineWaters @kanyewest @realDonaldTrump We Got A Runaway ! https://t.co/QVQjI3m6Zd</t>
  </si>
  <si>
    <t>RT @TrumpTrainMRA4: #TotalWitchHunt 🧙🏻‍♂️🧙🏻‍♂️🧙🏻‍♂️🧙🏻‍♂️
Robert Muller - ❌FBI Director
James Comey - ❌FBI Director
 Andrew McCabe - ❌FBI De…</t>
  </si>
  <si>
    <t>RT @PradRachael: KISSING IN THE RAIN ☂️☂️☂️☂️☂️☂️☂️☂️☂️
#TheRainMakers 
#America4Sale #EndIranNuclearDeal 
#IranDeal #U1
#trumpworld 
#One…</t>
  </si>
  <si>
    <t>RT @gr8tjude: Agree Rush-Everybody knows Trump won’t get the same treatment as Hillary!
We have an unfair justice system! https://t.co/XLwB…</t>
  </si>
  <si>
    <t>RT @Golfinggary522: Hmmm, now maybe THAT was obstruction of justice!
#Obstruction 
#golfinggary
👇👇👇👇👇👇👇👇👇 https://t.co/3Kom0MVpsz</t>
  </si>
  <si>
    <t>RT @RealMAGASteve: Here they come again. Despite being under investigation, the Clinton Foundation is revving back up despite ethical cloud…</t>
  </si>
  <si>
    <t>RT @alozras411: #DrainTheSwamp- Joe diGenova: Rosenstein is clearly unfit legally &amp;amp; professionally to serve as Deputy Attorney General &amp;amp; sh…</t>
  </si>
  <si>
    <t>RT @realDonaldTrump: NEW BOOK - A MUST READ! “The Russia Hoax - The Illicit Scheme to Clear Hillary Clinton and Frame Donald Trump” by the…</t>
  </si>
  <si>
    <t>RT @Kimbraov1: PAUL JOSEPH WATSON on "What they're not telling you about the dramatic upsurge in violence in London" https://t.co/wfn63gVL7…</t>
  </si>
  <si>
    <t>RT @gr8tjude: Good morning Patriots 🇺🇸
Have a wonderful Wednesday my friends🙋
#GodBlessAmerica 🇺🇸🦅 https://t.co/rmrJCzgPlk</t>
  </si>
  <si>
    <t>RT @jerome_corsi: May 1, DECODE #4:  #QAnon #Qanon8chan #1248119 @realDonaldTrump Hillary paid $147 million on U1 deal  (Foundation) Muelle…</t>
  </si>
  <si>
    <t>RT @PrisonPlanet: Netherlands: 85% of "refugees" remain unemployed 4 years later because "there is little financial incentive to move off u…</t>
  </si>
  <si>
    <t>Sean Hannity Exposes the REAL MOTIVE Behind Media ‘Leaking’ Mueller’s Questions https://t.co/UL7SF08qRF via @truthfeednews</t>
  </si>
  <si>
    <t>RT @davis1988will: The person who did this video did an excellent job on it!!
Definitely a must watch and retweet!! https://t.co/yAdllaTvGm</t>
  </si>
  <si>
    <t>RT @RightWingLawMan: @KanyeWest says 400 years of slavery was a choice for African-Americans.
#TRUTH 🎯
https://t.co/cthMRW3JUZ</t>
  </si>
  <si>
    <t>RT @JonReynolds6: USAGSessions - We the People are calling on you to fire Rosenstein and a letter to POTUS, recommending he fire SC Mueller…</t>
  </si>
  <si>
    <t>RT @polishprincessh: How many agree that giving our veterans jobs protecting our children is a great idea? It would both help our veterans…</t>
  </si>
  <si>
    <t>RT @NevadaJack2: A high school in North Carolina suspended several students last week after they allegedly refused to take down Confederate…</t>
  </si>
  <si>
    <t>RT @JackPosobiec: And there it is https://t.co/f11yaEFLX5</t>
  </si>
  <si>
    <t>RT @_The_Watchers_: #QAnon #MAGA #TrustThePlan #DrainTheSwamp #ReleaseTheTexts #InternetBillOfRights #photo @POTUS @realDonaldTrump https:/…</t>
  </si>
  <si>
    <t>RT @Belle4DJT: Wake Up America! Dont talk to me about slavery...Truth of the matter is, No One, in this lifetime has ever experienced it...…</t>
  </si>
  <si>
    <t>RT @RealWolvesUSA1: “We learn from our history wrong. We learn that LBJ was the greatest President for black America and that couldn’t be m…</t>
  </si>
  <si>
    <t>Facebook Has Begun To Rank News Organizations By Trust, Zuckerberg Says https://t.co/h6PDtsUcBA via @buzzfeedben</t>
  </si>
  <si>
    <t>RT @RealMAGASteve: BREAKING: Mueller threatens Trump with a subpoena if he fails to help him in Russia probe.
The witch-hunt continues. Mu…</t>
  </si>
  <si>
    <t>RT @Dawn_DeMore1: .@GenFlynn 
Good Morning Patriots 🇺🇸
We Are One Nation Under One AMAZING GOD🙏
Stay Strong in Your Faith, And Stay Unite…</t>
  </si>
  <si>
    <t>RT @Jonatha07038538: @DallasIrey @GenFlynn @navyvet55 @trglossersr @partytime1776 @Cruz_Crew125 @Night_Terrors69 @covfefeartist @vmwilliams…</t>
  </si>
  <si>
    <t>RT @IWillRedPillU: Trump to Meet Kim Jong Un with Bravery as a General Would, On The DMZ
#NoKo #NorthKorea #SouthKorea
#DMZ #Trump #GreatAw…</t>
  </si>
  <si>
    <t>RT @carrieksada: President Trump to Attend 
NRA Meetings in Dallas 
#MyPresident 
#2ADefenders 
#ShallNotBeInfringed 
#NRA 
https://t.co/…</t>
  </si>
  <si>
    <t>RT @ChrissyUSA1: #MAGA #Patriot #Qanon #WeThePeople #TheGreatAwakening 🇺🇸 #JESUSLIVES #HTURTTRUTH #WWG1WGA #GodIsInCharge #RedWaveRising #C…</t>
  </si>
  <si>
    <t>RT @jerome_corsi: Jerome Corsi Live Stream Tuesday, May 1 -- Current Events Update: https://t.co/AyontG1WSN via @YouTube</t>
  </si>
  <si>
    <t>RT @jerome_corsi: NYT bestselling author Dr. Corsi reveals secret plan to destroy @realDonaldTrump https://t.co/pVCompw9uz KILLING THE DEEP…</t>
  </si>
  <si>
    <t>RT @Don_Vito_08: A culture shift is happening in America... @kanyewest https://t.co/oSELakhcC2</t>
  </si>
  <si>
    <t>RT @PhilMcCrackin44: 💥A San Antonio man shows his disgust with FAKE NEWS @ABC on the giant billboard below.
Well played !…</t>
  </si>
  <si>
    <t>RT @RobChristie11: https://t.co/My7xz4SFyh</t>
  </si>
  <si>
    <t>RT @RealMAGASteve: Netanyahu reveals who the Iranian's duped into believing the lie that they would stop their nuclear weapons program. htt…</t>
  </si>
  <si>
    <t>RT @bbusa617: DOPE SMOKIN COCAINE SNORTING PERVERT THAT BECAME THE WORST PRESIDENT IN AMERICAN HISTORY... https://t.co/Dpfrr6moAn</t>
  </si>
  <si>
    <t>RT @Bokem44: @MarkDice  https://t.co/Ath0gdYh80</t>
  </si>
  <si>
    <t>RT @danbar32: @MarkDice They need to stop. https://t.co/H8IMlua6aP</t>
  </si>
  <si>
    <t>RT @pr_uxc: @MarkDice  https://t.co/WhHYOyGfUB</t>
  </si>
  <si>
    <t>RT @MarkDice: Blue jeans, and a jean jacket!?  My culture is NOT your damn costume, Jackie Chan!   #CulturalAppropriation #PromDress https:…</t>
  </si>
  <si>
    <t>RT @gr8tjude: What we know:
Rosenstein hired Mueller as special counsel &amp;amp; recommended Comey’s firing &amp;amp; won’t release unredacted files to Co…</t>
  </si>
  <si>
    <t>RT @GrizzleMeister: Despite the vicious attack @PressSec received, she remained calm, cool, &amp;amp; collected never batting an eyelash. That’s ou…</t>
  </si>
  <si>
    <t>RT @skramerbyu_82: 🇺🇸 @realDonaldTrump ignores liberal chatter&amp;amp;continues2put #AmericaFirst EVERYDAY!🇺🇸
American CITIZENS first! 
#ProLife…</t>
  </si>
  <si>
    <t>RT @Rgrm002000: @DanCovfefe1 @GrizzleMeister @thebradfordfile @Zola1611 @rektredpill @Trumperland @RuthieRedSox @stacy_redvirgo @poconomtn…</t>
  </si>
  <si>
    <t>International Workers' Day rally in London features banners of Stalin https://t.co/yVOH6xbN1i via @MailOnline</t>
  </si>
  <si>
    <t>22 Police Cars Vandalized in Antifa Hotbed Portland on May Day https://t.co/LrMwVUkj8C #Trending via @pjmedia_com</t>
  </si>
  <si>
    <t>ISIS fanatics turn terrified captured Syrian soldier into missile by attaching bomb to his head and throwing him from building https://t.co/miH0aUDqno</t>
  </si>
  <si>
    <t>RT @kwilli1046: Homeless Servicemen Should Come Before Any Refugee. Retweet if you agree! https://t.co/Dw9CuffNUj</t>
  </si>
  <si>
    <t>RT @bonniemurphy: Our President Rocks! 
Thank you @realDonaldTrump for keeping your promises!
#RESULTS SPEAK LOUDER THAN #FAKENEWS 
#MAG…</t>
  </si>
  <si>
    <t>RT @ProAmericaOnly: What have you done to #MAGA today?  It's time to get proactive about supporting #PresidentTrump and encouraging others…</t>
  </si>
  <si>
    <t>RT @AnnaApp91838450: https://t.co/F0wsbesUbG
PATRIOTS RT IN SUPPORT OF PRESIDENT TRUMP NOT MEETING MUELLER / HE'S A SNAKE NO GOOD CRIMINAL…</t>
  </si>
  <si>
    <t>RT @DiamondandSilk: I think it's time for the American people to ask Mueller some questions:
1. Why are you still spending tax payers dolla…</t>
  </si>
  <si>
    <t>RT @bonniemurphy: The #WHCD is more proof that @realDonaldTrump is right by bypassing the #MSM and Tweeting - so his message gets heard by…</t>
  </si>
  <si>
    <t>https://t.co/yGtM52ePEV</t>
  </si>
  <si>
    <t>RT @tinfoilhatmedia: @RubinReport @LindaSuhler That's because Dems are all socialist fascists now. Individuality is the antithesis of their…</t>
  </si>
  <si>
    <t>RT @_The_Watchers_: Michael Flynn Is Back on the Campaign Trail in Montana to Unseat Jon Tester https://t.co/ib1kNn5xqO via @thedailybeast</t>
  </si>
  <si>
    <t>RT @KMGGaryde: Patriots! Do Not Be Complacent!
#KAG!🇺🇸
#MAGA🇺🇸
#DoNotBeComplacent
#ChannelYouDragonEnergy🔥
#Vote2IncreaseTheGOPMajority
#R…</t>
  </si>
  <si>
    <t>RT @realDonaldTrump: Today, it was my great honor to thank and welcome heroic crew members and passengers of Southwest Airlines Flight 1380…</t>
  </si>
  <si>
    <t>RT @Belle4DJT: Jeeez, Condoleezza Rice to Donald Trump: Let Experts Handle North Korea Details...Hey Condi, No Thanks, these globalists are…</t>
  </si>
  <si>
    <t>RT @bonniemurphy: 🎯Plan Day 1: Destroy Trump🎯
#MSM #DeepState and #Democrats driven by hate for Trump over what’s best our country
#Tuesd…</t>
  </si>
  <si>
    <t>RT @RodStryker: @Goz_1911 Democrats are Marxist Communist Socialist Traitors to America.
#RedWaveRising https://t.co/yhZySMcjcz</t>
  </si>
  <si>
    <t>RT @bigjinks: @Mhdude1Mhdude1 @pixiedust5135 Stupid is as stupid does</t>
  </si>
  <si>
    <t>RT @RoseHasNoThorns: Folks, be sure you consider the source. Verify everything. Do not trust any media, or things you see on social media.…</t>
  </si>
  <si>
    <t>RT @JoanneTirado09: I agree with @therealroseanne🌷 https://t.co/XMoESbq365</t>
  </si>
  <si>
    <t>RT @skramerbyu_82: DayAFTERday DemocRats🐀prove toB biggest obstacle2 success of @POTUS @realDonaldTrump
Dems would rather see #America fai…</t>
  </si>
  <si>
    <t>RT @CapUSA1: 🔴YOU CAN'T MAKE THIS SHIT UP.
...they never thought she would lose.
Barry Soetoro &amp;amp; Killary Cankles are #Traitors...#LockThemA…</t>
  </si>
  <si>
    <t>RT @USAHotLips: I. Can’t. Stop. Laughing 😭😭😭😭😭😭😭😭😭😭😭😭😭😭😭😭
@DNC wants their money back from @HillaryClinton 🤣
Clinton should return the $1…</t>
  </si>
  <si>
    <t>RT @Chicago1Ray: "I BELIEVE IN LESS GOV'T ,FISCAL RESPONSIBILITY &amp;amp; ALL THE THINGS THAT REPUBLICANS USED TO BELIEVE IN, BUT DON'T ANYMORE."…</t>
  </si>
  <si>
    <t>RT @pjbowles4: #Trumpville
#MayDay 
@lielelja1222
@DanAndr66 
@NotBuyingIt34 
@Monsters2017 
@BobHarr1944 
@Barnett20Todd 
@wwwillstand
@Am…</t>
  </si>
  <si>
    <t>RT @DallasIrey: ‘Maxine Waters’ discredits Kanye West for praising President Trump. 
She says “he talks out of turn and sometimes needs ass…</t>
  </si>
  <si>
    <t>RT @Baby___Del: @DineshDSouza @AmbDermer How is it possible that so many people in America can think of this POS as a great American Presid…</t>
  </si>
  <si>
    <t>RT @HyltonRobin: @MAGANinaJo @POTUS @ScottPresler @SebGorka #VoteInYourPrimary
#VoteOutNeverTrumpers
#VoteRed
#VoteMAGA
#VoteOutRINOS https…</t>
  </si>
  <si>
    <t>RT @DineshDSouza: Yesterday, I exposed the fictitious conversion of LBJ to the cause of civil rights at his own alma mater, @txst. Didn't c…</t>
  </si>
  <si>
    <t>Oh Please! Romney is a total Globalist Deep State NeoCon RINO! https://t.co/p0Yx73Vb76</t>
  </si>
  <si>
    <t>RT @car_done: Third woman accuses Tom Brokaw of unwanted sexual advances https://t.co/p3qnmOmxNc #FoxNews</t>
  </si>
  <si>
    <t>RT @hrtablaze: Kanye West coming out as a Trump Supporter is bigger than you think. This isn't about Republican vs Democrat. This is about…</t>
  </si>
  <si>
    <t>RT @Golfinggary522: “The ruse that it’s all ok because it is comedy- that is the shield of immunity with which all of these liberal ‘comedi…</t>
  </si>
  <si>
    <t>RT @Sheckyi: 🤬🤬🤬🤬🤬🤬🤬🤬
I THINK NOT... https://t.co/VX4qx8jGzS</t>
  </si>
  <si>
    <t>RT @TresDeplorable: .#TuesdayThoughts 😂 https://t.co/PlFaVWURmt</t>
  </si>
  <si>
    <t>RT @WakeTheUnicorns: and to think: this is only the tip of the iceberg. 
#SuitUp, #myFam ✊🏽💜 
.
#RedPill #WeThePeople #ItsHappening #Great…</t>
  </si>
  <si>
    <t>RT @MAGANinaJo: One week from today, the primaries begin!  Do NOT be complacent!  We only lose when Republicans stay home.  Numbers of Rs v…</t>
  </si>
  <si>
    <t>RT @GrrrGraphics: My favorite #MichelleWolff joke is "Michelle Wolf makes Butthead’s teeth
look like a Crest white strips ad.  Her gums are…</t>
  </si>
  <si>
    <t>RT @realDonaldTrump: Congratulations @ArmyWP_Football! https://t.co/rmaLoZMWtK</t>
  </si>
  <si>
    <t>RT @GMA4Trump_: I think Space Force is an awesome idea! It will show other Countries our level of technology  and how advanced we are! Many…</t>
  </si>
  <si>
    <t>RT @atrupar: Trump to the Army football team: "You will be part of the 5 proud branches of the U.S. armed forces -- Army, Navy, Marines, Ai…</t>
  </si>
  <si>
    <t>RT @RodStryker: If Trump wins a Nobel Peace Prize, Liberals are going to blow a gasket unlike anything we've seen yet.
He's winning over t…</t>
  </si>
  <si>
    <t>RT @TresDeplorable: Reports: Soros funding border caravan invasion #WednesdayWisdom #TuesdayThoughts @realDonaldTrump @USANEWS007 https://t…</t>
  </si>
  <si>
    <t>RT @KatTheHammer1: American liberals - take note!  You can't fill a life boat well beyond capacity and expect it to float. Everyone drowns.…</t>
  </si>
  <si>
    <t>RT @Don_Vito_08: Only US citizens should vote in US elections  
Only US citizens should be able to receive government benefits  
Only US ci…</t>
  </si>
  <si>
    <t>RT @MAGANinaJo: 🇺🇸VOTE IN YOUR PRIMARY🇺🇸
Conservatives, this is what we are up against. The Dems will rescind all that @Potus has gained f…</t>
  </si>
  <si>
    <t>RT @AnnaApp91838450: https://t.co/Wyuo018cNm
AMAZING I BELIEVE ALL OF AMERICA COULD FIGURE THAT ONE OUT/ LAST 8YRS
SUPPRISED THE TREASURY H…</t>
  </si>
  <si>
    <t>RT @John_KissMyBot: Obama’s Iran Deal Was A Complete FAILURE And Bibi Netanyahu Exposes It In His Press Conference With Devastating Evidenc…</t>
  </si>
  <si>
    <t>RT @thebradfordfile: The Obama | Kerry legacy:
Iran https://t.co/21sIfTJyHM</t>
  </si>
  <si>
    <t>RT @AnnaApp91838450: @GrizzleMeister WOW / Holy Crap Grizzle
#2NDAMENDMENT 
#SupportNRA 
#TrumpsArmy
🙏🇺🇸💯 https://t.co/owdzJZXzOz</t>
  </si>
  <si>
    <t>RT @goodmedicine4us: https://t.co/dGJPbJuXt0</t>
  </si>
  <si>
    <t>RT @TrumpsBIonde: #ChildTraffickers #Clinton #Rothschilds BOOM💥💥💥
The extent to which the connections to Nxivm reach into corridors of powe…</t>
  </si>
  <si>
    <t>RT @NevadaJack2: Rap superstar Kanye West was spotted hanging out with conservative activists Candace Owens and Charlie Kirk in Los Angeles…</t>
  </si>
  <si>
    <t>RT @ClintonMSix141: Paris- this is what happens to a country when you let in hoards of refugees...
Welcomed in the name of tolerance and d…</t>
  </si>
  <si>
    <t>RT @Redhead4645: 7 crucial states! #VoteRed Lets keep our pride! Lets keep our tax cuts! Lets get more jobs! Lets keep our economy growing!…</t>
  </si>
  <si>
    <t>RT @KMGGaryde: Good Night Patriots! Put out the Fire for the night!🔥😴 https://t.co/vERrxW30KG</t>
  </si>
  <si>
    <t>RT @KatTheHammer1: "I'm NEVER going to stop hammering Obama/Clinton/Jerrett on Benghazi. My mission: make them face their COWARDLY lying he…</t>
  </si>
  <si>
    <t>RT @FoxNews: On Twitter Sunday, @kanyewest spoke up for the "silent majority." https://t.co/MR4tnCQCG0</t>
  </si>
  <si>
    <t>Pedophile Who Raped 5-Year-Old Found Dead in Prison With 'Testicles Missing' https://t.co/iK5FDfVf7a</t>
  </si>
  <si>
    <t>What a Great Time to Be Alive! 
The Globalist Criminal Deep State Cabal is Being Defeated. 
Keep Up The Fight Patriots!
Justice is Coming! https://t.co/Uj92itYG1Z</t>
  </si>
  <si>
    <t>Retired Marine  - OMG! QAnon Was Right! This Has Started Off As a "Boom Week" https://t.co/RyKh5IitT7 #QAnon</t>
  </si>
  <si>
    <t>Massive Fireballs Light Up Syrian Sky After Israeli Strike; "Dozens" Of Iranian Soldiers Reportedly Killed | Zero Hedge https://t.co/urFtj1lw5O</t>
  </si>
  <si>
    <t>Confederate battle flag raised over Orange County https://t.co/9MkGQUyOI1</t>
  </si>
  <si>
    <t>Thousands of U.S. troops are likely suffering brain damage while training on their own weapons, a new study says  https://t.co/CMyAAIc2Ol via @WSJ</t>
  </si>
  <si>
    <t>RT @Vengeance_X2: Call me naive but I sort of always looked at the FBI as this mysterious group of bad asses put in place to protect the pe…</t>
  </si>
  <si>
    <t>RT @realDonaldTrump: The migrant ‘caravan’ that is openly defying our border shows how weak &amp;amp; ineffective U.S. immigration laws are. Yet De…</t>
  </si>
  <si>
    <t>RT @Tombx7M: Clapper and Tapper the wiretapper 
#hannity #IngrahamAngle #MAGA #Qanon #Trump https://t.co/kgBN1scXYW</t>
  </si>
  <si>
    <t>RT @Chicago1Ray: OUR ANCESTORS CAME TO THIS COUNTRY LEGALLY 🇺🇸
1) ADOPTED ITS CULTURE ✔
2) DIDN'T SPIT ON OUR TRADITIONS ✔
3) DIDN'T COST…</t>
  </si>
  <si>
    <t>RT @TrumpsBIonde: The Stage is set. Mueller and Rosenstein were granted immunity to investigate the crimes they themselves were involved in…</t>
  </si>
  <si>
    <t>Sweet! https://t.co/UNHDQGQCMF</t>
  </si>
  <si>
    <t>Screw You Holy See!  #WeThePeople are not giving up our guns so take your dumb ass back to Rome and leave us #Deplorables alone! #MAGA https://t.co/catfbVgUPI</t>
  </si>
  <si>
    <t>RT @AnnaApp91838450: GOOD NITE PATRIOTS/Bad ASS POST/IRAN LIARS/STORMYSUEING/RODMAN CLAIMS HE MADE NORTH KOREA HAPPEN/COULDN'T SAVE OTTO/PR…</t>
  </si>
  <si>
    <t>RT @RealDuckies: Fox don’t you dare give this BS any legs. If you’re going to mention it, then mention it for what it is. A pathetic MSM mo…</t>
  </si>
  <si>
    <t>RT @FoxNews: .@RepPeteKing on alleged dossier leak: "This is a whole dark period in American intelligence." #TheStory https://t.co/Jh5zRqFT…</t>
  </si>
  <si>
    <t>RT @GrizzleMeister: Relationship advice from Grizz😍 https://t.co/twe0n8tdof</t>
  </si>
  <si>
    <t>RT @BackTheCops: Emotional moment for Florida police officer Andre Jenkins as he signs off for the last time after 30 years of service. Tha…</t>
  </si>
  <si>
    <t>Kasich is a total Prick! #WeThePeople don't care what this Globalist POS has to say! https://t.co/3QkneG5gxE</t>
  </si>
  <si>
    <t>RT @DiamondandSilk: .@DiamondandSilk will be on live, in studio, with the one and only @LouDobbs.  Tonight at 7:30pm ET @FoxBusiness.  We a…</t>
  </si>
  <si>
    <t>RT @RealJamesWoods: The closest I got to working with Ed Harris was in Nixon. We didn’t really have scenes together, but I had the pleasure…</t>
  </si>
  <si>
    <t>RT @USFreedomArmy: The students are aided &amp;amp; abetted in this matter by liberal instructors. PATRIOTS ----&amp;gt; Join us at https://t.co/oSPeY48nO…</t>
  </si>
  <si>
    <t>RT @syqau: Mystery: Two Broward County Sheriffs deputies have died since the Parkland, Florida shootings and no one knows why.. A rising nu…</t>
  </si>
  <si>
    <t>RT @Belle4DJT: HUGE, If This Just Happened! ‘Smallville’ Star Confesses She Sold Children To Rothschilds And Clintons...Please God let this…</t>
  </si>
  <si>
    <t>RT @goodmedicine4us: https://t.co/JxHwIpnCjL</t>
  </si>
  <si>
    <t>RT @Redhead4645: #WeNeedMoreRepublicans!!! Every republican has to get out and vote! Don't take backward steps ! #KAG https://t.co/flDWYVai…</t>
  </si>
  <si>
    <t>RT @RealJamesWoods: It was a secret more baffling than the riddle of the Sphinx evidently. https://t.co/HLD8ThisDx</t>
  </si>
  <si>
    <t>RT @TrumpsBlonde: Nxivm Sex Trafficking Cult Now Connected to Arkansas Supreme Court Justice, Clinton Fundraiser, Not Just Smallville Actre…</t>
  </si>
  <si>
    <t>RT @gr8tjude: 🇺🇸President Trump: White House Correspondents’ Dinner A Disgrace; Time to Kill It!
https://t.co/gSrRTx5YYz</t>
  </si>
  <si>
    <t>RT @NevadaJack2: https://t.co/z6Wn08JOg8</t>
  </si>
  <si>
    <t>RT @DiamondandSilk: Rep. Hakeem Jeffries, who is a black man, said @DiamondandSilk was part of a circus. Just because he's one of the gatek…</t>
  </si>
  <si>
    <t>RT @JackPosobiec: If the Mueller investigation ended tomorrow with no charges, what exactly would the Democrats be standing for in 2018?</t>
  </si>
  <si>
    <t>RT @KatTheHammer1: TUNE IN MONDAY! 
IT'S GOING DOWN! https://t.co/bVUsK9ujax</t>
  </si>
  <si>
    <t>RT @MarkDice: If white people can't wear dreadlocks because it's 'cultural appropriation' then black women have to stop straightening their…</t>
  </si>
  <si>
    <t>RT @realDonaldTrump: Headline: “Kim Prepared to Cede Nuclear Weapons if U.S. Pledges Not to Invade” - from the Failing New York Times. Also…</t>
  </si>
  <si>
    <t>Retired Marine - Trump is My President So “Get Down On It”! - 03/17/2018 https://t.co/ise0mnvZ5m #TrumpIsMyPrfesident #MAGA</t>
  </si>
  <si>
    <t>I have 728 new followers from USA, Japan, UK., and more last week. See https://t.co/Z5SFmgjj3M https://t.co/T8yrOicCZs</t>
  </si>
  <si>
    <t>@realDonaldTrump #POTUS Sir, Please pardon General Flynn and bring him back to the WH to truly  # MAGA https://t.co/zDi6VBmLy4</t>
  </si>
  <si>
    <t>RT @MichaelDelauzon: Check this out. This was the line of vehicles heading to President Trump's rally.  https://t.co/8NtXTfoaOT</t>
  </si>
  <si>
    <t>RT @OliverMcGee: Retweet if you stand with @PressSec. https://t.co/Cc0Hdmlupw</t>
  </si>
  <si>
    <t>I have personally had it with these Main Stream Liberal Media Freakzoids! #WeThePeople needs to unite and "Sound Off" against these pathetic demons far and wide! #MAGA https://t.co/1kJkGTnLLq</t>
  </si>
  <si>
    <t>RT @dbongino: It’s fascinating that open-borders liberals actually believe that incidents and images like this advance their lawless agenda…</t>
  </si>
  <si>
    <t>RT @reason2sense: #QAnon Sarah Huckabee Sanders  @PressSec  Deepest respect and appreciation for the job you do. We are sorry for all the b…</t>
  </si>
  <si>
    <t>RT @kimUSAStrong: I have never witnessed such hatred and vitriol directed towards a President by the opposing party as @realDonaldTrump in…</t>
  </si>
  <si>
    <t>RT @TestyTarheel: Hey did ya’ll see Rachel Dolezal host the WHCD last night? 
Wait? That was Michelle Wolf? Who the hell is that? 
What do…</t>
  </si>
  <si>
    <t>RT @ColumbiaBugle: #BREAKING The Migrant Caravan is preparing to breach our border!
Look to our defenses President Trump!!!! #StopTheCarav…</t>
  </si>
  <si>
    <t>RT @KamVTV: The George Soros Express has arrived at our border here in SoCal with their professionally orchestrated signs. https://t.co/IpA…</t>
  </si>
  <si>
    <t>RT @KurtSchlichter: I can't think of anything that has promoted conservative wokeness so much as the events of the last seven days...
#Joy…</t>
  </si>
  <si>
    <t>RT @Trump2016Chi: "The only war on women that I see is the one that's being waged against every woman and every female that is close to thi…</t>
  </si>
  <si>
    <t>RT @GR8_2B_alive: My son is a Veteran of the United States Army. He went to the #VA in Salt Lake City yesterday. This was the condition of…</t>
  </si>
  <si>
    <t>RT @VicToensing: Not one person from the @realDonaldTrump administration should attend the @WHCD (White House Correspondents Dinner) next y…</t>
  </si>
  <si>
    <t>These freaking pedophile human traffickers need to all be hung and removed from planet earth NOW! https://t.co/h9ROn4XxEr</t>
  </si>
  <si>
    <t>RT @Hoosiers1986: #Sunday Morning
Sarah Sanders vs. Michelle Wolf
RT if you think Sarah is a great ROLE MODEL &amp;amp; Michelle is just a disgus…</t>
  </si>
  <si>
    <t>RT @favoriteauntssi: Good morning to everyone except the fake supporters who have infiltrated and are trying to divide us. ❤️❤️ https://t.c…</t>
  </si>
  <si>
    <t>RT @RealJamesWoods: Because class shines bright in the face of low class trash. They were beacons in a night of liberal embarrassment and s…</t>
  </si>
  <si>
    <t>RT @mschlapp: Hey @SarahHuckabee you have a lot of class to listen to that bs tonight. America was watching and it's why they hate the swamp</t>
  </si>
  <si>
    <t>RT @LeahR77: Democrats the party of inclusion &amp;amp; compassion;
Label Blacks, Women, Hispanics &amp;amp; ANYONE who disagrees w them traitors, stupid &amp;amp;…</t>
  </si>
  <si>
    <t>RT @TracyMFinch: I challenge every great American patriot that follows to pledge one dollar to this Great American hero who served our coun…</t>
  </si>
  <si>
    <t>RT @Jamierodr10: 💥💥BOMBSHELL💥💥 HOUSE INTEL REPORT: CLINTON PAID TOP RUSSIAN OFFICIALS FOR RESEARCH AGAINST TRUMP!! #ClintonCollusion #Dirty…</t>
  </si>
  <si>
    <t>RT @LouDobbs: Tester should apologize to Admiral Jackson and the nation, and do exactly what @POTUS says-resign immediately #MAGA #AnericaF…</t>
  </si>
  <si>
    <t>RT @LastWave2014: How Pathetic Is Our #Government That Anyone Would Have To 'Cut Deals' To See The criminal Actions Of ANY POLITICIAN.. We…</t>
  </si>
  <si>
    <t>RT @trumpism_45: @JudgeJeanine DRAIN THE DEEP STATE https://t.co/54CDrFkMr6</t>
  </si>
  <si>
    <t>RT @Trumplican101: GUYS on the RIGHT 
FOLLOW BACK WEEKEND EDITION
@MAGANinaJo 
@PlantLady1234 
@Dixiedaisy99 
@DagnyTaggart65 
@Oriska12 
@…</t>
  </si>
  <si>
    <t>RT @fishslayer56: @LouDobbs @realDonaldTrump #BrennanKnew and planned #ObamaGate.  If the Republic is to exists as the USA w the original C…</t>
  </si>
  <si>
    <t>RT @moekamerow: @LouDobbs @realDonaldTrump  https://t.co/x9S9lLdpHh</t>
  </si>
  <si>
    <t>RT @2AStars: @LouDobbs @realDonaldTrump  https://t.co/HFDlQJAnEf</t>
  </si>
  <si>
    <t>RT @EcenarroLazaro: @LouDobbs @realDonaldTrump @realDonaldTrump @POTUS @VP @AP @infowars @RealAlexJones @tomlacovara @LiveTRUTHRADIO @Diane…</t>
  </si>
  <si>
    <t>WATCH: Cartel Operator Gunned Down in Mexican Border State https://t.co/dzfMryzIMZ via @BreitbartTexas</t>
  </si>
  <si>
    <t>RT @Mmarty1230: Diamond and Silk Testify Before Congress on Social Media Censorship Against Conservatives | Breitbart https://t.co/crnaOEwN…</t>
  </si>
  <si>
    <t>RT @StacyLStiles: I have said from the get go that @SaraCarterDC was going to bring back honest Journalism. Her reporting will go down in h…</t>
  </si>
  <si>
    <t>RT @KMGGaryde: President Trump fired up the crowd calling out the Liars &amp;amp; leakers!🔥
He skipped the room full of Fake News Liberals who hate…</t>
  </si>
  <si>
    <t>RT @FoxNews: .@kanyewest releases new song, doubling down on support for President @realDonaldTrump. https://t.co/Sp86r2rUoK https://t.co/V…</t>
  </si>
  <si>
    <t>RT @ata2dtoo: If Your Told Something
     Often Enough
          Long Enough
You WILL Start Believing It https://t.co/CzJJAicpAf</t>
  </si>
  <si>
    <t>RT @TimpatriotTk: 57sec Craziness 
Pre-election we were called "Deplorable"
Then we won🇺🇸
Post-election we're now called...
"Crazy" 
62,979…</t>
  </si>
  <si>
    <t>RT @Chicago1Ray: Sam Elliott reflects on how elections matter in this Country 
There's a reason the rear view mirror  is smaller than your…</t>
  </si>
  <si>
    <t>RT @intheMatrixxx: Godspeed, Patriot(s).
Stay strong.
Stay united.
BOOM week ahead. 
Q
@POTUS #QArmy #QAnon #MAGA https://t.co/qYP4i93UkW</t>
  </si>
  <si>
    <t>RT @poconomtn: Trump talks TO us....Dems talk AT us. That’s the diffrence https://t.co/vdWcHlXWTG</t>
  </si>
  <si>
    <t>#LockHimUp https://t.co/VKOJDQ78M8</t>
  </si>
  <si>
    <t>RT @ROHLL5: .@POTUS 🇺🇸 His True Leadership is Making A Difference for America &amp;amp; the entire Globe 🌎
#RT if you feel #PresidentTrump🇺🇸 Shoul…</t>
  </si>
  <si>
    <t>RT @RealJamesWoods: Oh. This is going to be more fun than Disneyland when you were a kid!   https://t.co/oBbTdYanW0</t>
  </si>
  <si>
    <t>RT @AnnaApp91838450: GOOD MORNING AMERICA🇺🇸
PATRIOTS KEEP SPREADING FACTS/GOD KNOWS LYING FAKE NEWS WON'T REPORT ANYTHING ABOUT CORRUPT DEM…</t>
  </si>
  <si>
    <t>RT @YourAuntieMame: https://t.co/mmQyURjQMk</t>
  </si>
  <si>
    <t>RT @Mike_Press19: Keanu Reeves “For Me Trump Is The Symbol Of A Successful Man And A Role Model For Every Young American. &amp;lt; America Fans ht…</t>
  </si>
  <si>
    <t>Go screw yourself UN Secretary General. @realDonaldTrump #POTUS Sir, Please get the U.S. out of the UN and then kick those UN Globalist Communist Bastards out of America! https://t.co/hZpRzgkiJx</t>
  </si>
  <si>
    <t>@BradThor is is a freaking Communist!  I threw away all of his books when I heard him bad mouthing @realDonaldTrump https://t.co/IQqAtdw064</t>
  </si>
  <si>
    <t>RT @AugustinaG_C: https://t.co/l0YZckGgD8</t>
  </si>
  <si>
    <t>RT @goodmedicine4us: https://t.co/4wOF0QQlPy</t>
  </si>
  <si>
    <t>RT @trumpism_45: 🇺🇸🇺🇸🇺🇸🇺🇸🇺🇸🇺🇸🇺🇸🇺🇸🇺🇸🇺🇸🇺🇸🇺🇸🇺🇸🇺🇸🇺🇸🇺🇸🇺🇸🇺🇸🇺🇸🇺🇸😁🇺🇸🇺🇸🇺🇸🇺🇸🇺🇸🇺🇸🇺🇸🇺🇸🇺🇸
 https://t.co/2kbJcAngN2</t>
  </si>
  <si>
    <t>RT @Thehealingguy: @inittowinit007 @_America_First @PamB60 @TrumpTrainMRA4 @MEL2AUSA @buzzman888 @Sissy_USMC @RNRKentucky @HrrEerren @PhilM…</t>
  </si>
  <si>
    <t>RT @MrsESK: DiamondandSilk: We ain't new to this, we true to this, just want everyone to know that we been off the Democrat plantation, the…</t>
  </si>
  <si>
    <t>RT @Lady_Vi_2U: The drug Sovaldi will cost $1,000 per pill. A typical course of treatment will last 12 weeks and run $84,000, plus the cost…</t>
  </si>
  <si>
    <t>RT @ColumbiaBugle: @realDonaldTrump The World is a more peaceful place with this man leading the United States of America! https://t.co/a1u…</t>
  </si>
  <si>
    <t>RT @JDugudichi: Follow back all patriots
@JDugudichi
@IceStationMrphy
@ninjanicole319
@TracyMFinch
@jimsheehy1
@wokearmyteen
@KevinStAug
@D…</t>
  </si>
  <si>
    <t>RT @KatTheHammer1: "The left wants to strap black people to this idea that they are victims --they want black people to focus on their past…</t>
  </si>
  <si>
    <t>RT @GrizzleMeister: South Carolina Senator Tim Scott informing liberals that they do not under any circumstances own a specific minority gr…</t>
  </si>
  <si>
    <t>RT @Jamierodr10: “We Have Senate Republicans Who Are More Worried About Protecting Bob Mueller Than They Are About The United States Border…</t>
  </si>
  <si>
    <t>RT @bbusa617: ABSOLUTELY BFF'S 👇 With Broward Co One Of The Most Corrupt Sheriff Dept's In The Country... https://t.co/7NQKbdyo8S</t>
  </si>
  <si>
    <t>RT @realDonaldTrump: House Intelligence Committee rules that there was NO COLLUSION between the Trump Campaign and Russia. As I have been s…</t>
  </si>
  <si>
    <t>RT @poconomtn: Anyone who questions @realDonaldTrump ‘s loyalty to our country needs to listen to every interview with him going back 30 yr…</t>
  </si>
  <si>
    <t>RT @thebradfordfile: The TRUMP Effect:
North and South Korea Peace. https://t.co/00c4qXw9gg</t>
  </si>
  <si>
    <t>RT @LiverLipLouie: Breaking News,Trump colluded with Korea.Trump colluded with Korea. Oh No the North &amp;amp; South are talking. How could this h…</t>
  </si>
  <si>
    <t>This is total freaking BS! https://t.co/SkA1MRsgMF</t>
  </si>
  <si>
    <t>RT @EdenVision: @jerome_corsi @realDonaldTrump @POTUS @jeffsessions #RETWEET hashtags! 
#ThunderUp #HearMeRoar #QAnon #WWG1WGA #HornsUp #MA…</t>
  </si>
  <si>
    <t>RT @realDonaldTrump: Is everybody believing what is going on. James Comey can’t define what a leak is. He illegally leaked CLASSIFIED INFOR…</t>
  </si>
  <si>
    <t>RT @LisaMei62: 19. Frustrated anon responds to Q's last drop. Arrests made by FBI &amp;amp; DOJ; can't do it w/DS still embedded in FBI. Need to cl…</t>
  </si>
  <si>
    <t>RT @Rambobiggs: Real Americans who love true freedom will call out both sides and demand truth and honor. I will never be loyal to a party…</t>
  </si>
  <si>
    <t>RT @RealMAGASteve: "To be a conservative means that you allow independent thinking. They do not allow that on the left whatsoever." — Canda…</t>
  </si>
  <si>
    <t>RT @JackPosobiec: While they were calling him a warmonger, a homophobe, and a racist, Donald Trump ended the Korean War, appointed the firs…</t>
  </si>
  <si>
    <t>RT @hickorymtnman: Historic negotiations on the Korean Peninsula with China's help
Syria called to account for chemical weapons
ISIS brok…</t>
  </si>
  <si>
    <t>Check out this Amazon deal: Killing the Deep State: The Fight to Save Pre... by Jerome R. Corsi Ph.D. https://t.co/7QcmgkXcfK via @amazon</t>
  </si>
  <si>
    <t>Mamma Mia! ABBA make new music after 35 years https://t.co/0SgPssDGZM via @YahooNews</t>
  </si>
  <si>
    <t>Trump: Russia probe 'MUST END NOW!' https://t.co/syn0vhA6SJ</t>
  </si>
  <si>
    <t>MSNBC in tough spot as NBC News legend Tom Brokaw, a regular contributor, faces sex misconduct allegations https://t.co/ayBzWYlcsb #FoxNews</t>
  </si>
  <si>
    <t>Students storm library to denounce conservative 'hate speech' https://t.co/Dk3gxIQhpf</t>
  </si>
  <si>
    <t>Amid allegations against Lauer and Brokaw, NBC faces doubts on harassment reforms https://t.co/veLyxznw58 via @mercnews</t>
  </si>
  <si>
    <t>RT @bbusa617: Look Which Retailer Removed All YETI Products From Their Stores https://t.co/2uHmVFy1vK
"OZARK SPORTSMAN &amp;amp; OZARK OUTPOST" Ab…</t>
  </si>
  <si>
    <t>RT @watspn1013: Where We Go One We Go All
💥RELEASE THE TEXTS💥
💥NO REDACTIONS💥
💥We Want The Whole Truth💥
#MAGA
#ReleaseTheTexts 
#NoRed…</t>
  </si>
  <si>
    <t>RT @GartrellLinda: All minorities still on the #Demonrat plantation of poverty &amp;amp; control need to read the @DineshDSouza book The Big Lie.
H…</t>
  </si>
  <si>
    <t>RT @poconomtn: Donald Trump
The Man
The Myth
The Legend!
MAGA🇺🇸 https://t.co/jLeQzwwitz</t>
  </si>
  <si>
    <t>RT @_Discernment_: @kanyewest  https://t.co/gZ8iT5ieaN</t>
  </si>
  <si>
    <t>RT @_Discernment_: @B75434425  https://t.co/1PNaPkixXZ</t>
  </si>
  <si>
    <t>RT @seanhannity: https://t.co/SUYCaAaz38</t>
  </si>
  <si>
    <t>RT @DiamondandSilk: .@RickeySmiley look like you didn't get the memo.  We see that fake news is real. You got 24 hours to Retract that, Cor…</t>
  </si>
  <si>
    <t>RT @jenn_027: Truth is rarely accepted; it makes people bitter, defensive &amp;amp; scared
Still - press on with the truth
If one head turns, one…</t>
  </si>
  <si>
    <t>RT @RealMAGASteve: Meet the leader of the "Ideological Black Revolution."
Her crusade is against democrats &amp;amp; leftists who have kept blacks…</t>
  </si>
  <si>
    <t>RT @LucySullivan888: Happy Birthday...
Beautiful Melania ❤️ https://t.co/pe42jPeQhB</t>
  </si>
  <si>
    <t>RT @GriffRig: @edbenson98 @inittowinit007 @realDonaldTrump @POTUS  https://t.co/0hvkaPGQuk</t>
  </si>
  <si>
    <t>RT @TCrawford98: Cowboys Nation! Help me welcome @VanderEsch38 to the Boise State / @dallascowboys 😂😂!!! #Winners #BleedBlue #CowboysNation…</t>
  </si>
  <si>
    <t>RT @etherzone: This would be great TV! https://t.co/kxzlddQ5uA</t>
  </si>
  <si>
    <t>RT @battleofever: It's R.E.D. FRIDAY again!
Remember Everyone Deployed 🇺🇸
 &amp;amp;
Thank our #Military! 🇺🇸
#2ADefenders 
#MAGA ❤️ https://t.co/o…</t>
  </si>
  <si>
    <t>RT @NFL: Your 2018 #NFLDraft First Round Picks! ✔️ https://t.co/4cs5clJqrf</t>
  </si>
  <si>
    <t>RT @NFL: Welcome to the NFL!
Class is in session, rookies. #NFLDraft https://t.co/DKDFFkCHMg</t>
  </si>
  <si>
    <t>RT @USFreedomArmy: If Mitch was the only one it would be easy. There are hundreds more. Our patriot army awaits your enlistment at https://…</t>
  </si>
  <si>
    <t>RT @AnnaApp91838450: GOOD MORNING AMERICA🇺🇸
PATRIOTS GOD IS MOVING USA🇺🇸UNIFY ROLL TO BRING IT HOME/ONE AMERICA FOR ALL/IF ONLY 15% BLACK A…</t>
  </si>
  <si>
    <t>RT @Stump_for_Trump: Big announcement next week... Stay tuned! #MAGA 🇺🇸 https://t.co/OSYF1ji449</t>
  </si>
  <si>
    <t>RT @TJdrumsalot: @thebradfordfile @CassandraRules @KamVTV @Corrynmb @steph93065 @StacyLStiles @redpillrekt @writemombritt @PaulLee85  https…</t>
  </si>
  <si>
    <t>RT @gjonesc3: @RealTT2020 @Kardixon @ThomasWictor @jihadaeon1 @PhoebeDRobinson @therealroseanne @DanScavino @Scavino45 @DonaldJTrumpJr @Eri…</t>
  </si>
  <si>
    <t>RT @yojudenz: Congress Pursues Clinton for Hiding Fusion GPS Payments - American Greatness https://t.co/f7g6jHERrz</t>
  </si>
  <si>
    <t>RT @RealMAGASteve: The historic moment Kim Jong Un walks across the border between North and South Korea and shook hands with Moon Jae-I.
h…</t>
  </si>
  <si>
    <t>RT @GingerMcQueen: These are the trailblazers who were out there fighting way before Kanye made it cool. 
Wayne, Bobby, William, Oliver, th…</t>
  </si>
  <si>
    <t>RT @PrisonPlanet: Retweet if you think populism is the new punk.
(It REALLY annoys them when I say this). 😄
SHARE: https://t.co/ravwnO2gA…</t>
  </si>
  <si>
    <t>RT @MarkDice: Kanye West Joins Trump Train  https://t.co/Mb4mdXoHwG https://t.co/egqhve1uwK</t>
  </si>
  <si>
    <t>RT @jerome_corsi: Hey, #QAnon &amp;amp; @realDonaldTrump WHEN do you CALL a PLUMBER? when the TOILET IS BACKED UP - like it is right now w REDACTED…</t>
  </si>
  <si>
    <t>RT @HillestadNils: DOJ HIDING DAMAGING STRZOK-PAGE TEXTS, RELEASED SAFE ONES TO CONGRESS
DOJ is continuing the cover up as they hand over…</t>
  </si>
  <si>
    <t>RT @Sniper64286433: I truly believe liberalism is a mental disorder or disease I don't know if it's the water or some sort of alien demonic…</t>
  </si>
  <si>
    <t>RT @KellsBellsSC: @DaZipstahh @Pixinamerica1 @David_MagaUSA @Briteeye777 @dybarb @TeedIsMe @LindaKing913 @_IamAnita_D @ElleHart2Hart @BCMso…</t>
  </si>
  <si>
    <t>RT @pjbowles4: #TrumpTrain
#Texas
@kirkmorph3811
@formulalol
@GovAbbott
@TejasPsycho
@missvicki12
@sellinshovels
@DallasIrey
@Mrrandy123RP…</t>
  </si>
  <si>
    <t>RT @FoxNews: .@RealCandaceO on Chicago: "It's a war zone, and @POTUS offered to send the National Guard and the Democrats majorly opposed h…</t>
  </si>
  <si>
    <t>RT @sweetatertot2: Wow! THIS IS SO REAL.. Twitter is censoring my tweets. They hate Black people who are not slaves to their mentality. The…</t>
  </si>
  <si>
    <t>RT @sweetatertot2: As a black woman I stand with Kanye West. The Democratic Party feeds black people a defeatist victim mentality that has…</t>
  </si>
  <si>
    <t>RT @CarbaseUK: The fastest #SUV in the world is a 237mph #Nissan #Qashqai, created by British tuners  Severn Valley Motorsport! 🚙💨 https://…</t>
  </si>
  <si>
    <t>RT @DeborahYoung54: Good evening all Trump supporters🇺🇸Don’t forget to climb aboard The Trump Trains not only to spread info but to build a…</t>
  </si>
  <si>
    <t>RT @GartrellLinda: 'Deep State' Author Jerome Corsi: Trump Will Prosecute Obama, Hillary
NO ONE is supposed to be above the law.
The corrup…</t>
  </si>
  <si>
    <t>RT @thebradfordfile: No duty.
No class.
No honor.
No loyalty.
No discipline.
NO CONFIDENCE.
Broward County Sheriff Israel. https://t.co/bkr…</t>
  </si>
  <si>
    <t>RT @Education4Libs: 10 ways to piss off liberals....
- Love America
- Love the flag
- Believe in God
- Have a job
- Make money
- Serve you…</t>
  </si>
  <si>
    <t>RT @Chadwick_Moore: Just searched 5 popular gay sites and NONE have reported on @RichardGrenell making history today when Senate confirmed…</t>
  </si>
  <si>
    <t>RT @AIIAmericanGirI: DOJ Hiding Damaging Strzok-Page Texts, Released Safe Ones To Congress https://t.co/dGiMYLKm9G @RickRWells #AAG</t>
  </si>
  <si>
    <t>RT @Pickles0201: 🇺🇸 THANK YOU 🇺🇸
To the brave men &amp;amp; women past/present who fought/defended/put their lives on line/died for the FREEDOM of…</t>
  </si>
  <si>
    <t>RT @USATrump45: 10 Poorest Cities in America - % below poverty level
1. Detroit 32.5%
2. Buffalo 29.9%
3. Cincinnati 27.8%
4. Cleveland 27…</t>
  </si>
  <si>
    <t>RT @RealMattCouch: Amazing! ;) https://t.co/pP6fSNon7x</t>
  </si>
  <si>
    <t>RT @GayRepublicSwag: Today is a big day for the gay community. Trump's openly gay pick for ambassador to Germany Richard Grenell has finall…</t>
  </si>
  <si>
    <t>RT @kwilli1046: #Breaking - North Korean Leader Kim Jong Un crosses inter-Korean border to begin  summit meeting with South Korean Presiden…</t>
  </si>
  <si>
    <t>RT @jdolan2020: Gee Bill, I just used up my weekly allotment of “sympathy” on your 52 victims and unfortunately have none left for you. But…</t>
  </si>
  <si>
    <t>RT @DiamondandSilk: Fake News @donlemon needs to get his facts straight before calling us liars. Playing edited parts of a video don't make…</t>
  </si>
  <si>
    <t>RT @jerome_corsi: I am COMPLETELY DISGUSTED w DOJ/FBI still being run by Obama and Hillary - WE ARE RUNNING OUT OF PATIENCE TRUSTING @jeffs…</t>
  </si>
  <si>
    <t>RT @MarkDice: Kim Jung Un just stepped into South Korea for peace talks and shook hands with South Korean President Moon Jae-in, and all to…</t>
  </si>
  <si>
    <t>RT @RealWolfiesPac1: THE TWO BILLS ......................  🤭😱😳🤪😝🤭
CAPTION THIS ‼️‼️ https://t.co/mrmxJC2zf8</t>
  </si>
  <si>
    <t>RT @B75434425: BREAKING: AG Sessions has called for the end of the Mueller Investigation. He also stated that he will NOT be appointing a s…</t>
  </si>
  <si>
    <t>RT @vannsmole: Now they need to go after Bill Clinton with the same intensity as they went after Cosby.
There’s more evidence against Bill…</t>
  </si>
  <si>
    <t>RT @jerome_corsi: So, exactly how is it you guys LOST YOUR NERVE? @realDonaldTrump &amp;amp; #QAnon -- @jeffsessions put me to sleep today.  BLAH,…</t>
  </si>
  <si>
    <t>RT @TuckerCarlson: The big digital monopolies demand that we conform to their worldview and shut us down when we dissent. They have too muc…</t>
  </si>
  <si>
    <t>RT @GartrellLinda: John Bolton says National Security Council staff changes are coming, and some employees aren't happy
#DrainTheSwamp is t…</t>
  </si>
  <si>
    <t>RT @TestyTarheel: “Reporter Jim Acosta says too many Americans can’t see through President Trump’s “act” because they “don’t have all their…</t>
  </si>
  <si>
    <t>RT @jdolan2020: Hey McConnell!!!  There are exactly 286 Trump nominees still needing Senate confirmation, and the man has been President fo…</t>
  </si>
  <si>
    <t>RT @syqau: Kanye West: 'Obama was in Office Eight Years and Nothing in Chicago Changed' https://t.co/Kt5Z78KoMY</t>
  </si>
  <si>
    <t>RT @ALWAYSAPATRIOT2: GOOD MORNING AMERICA - It is time to get up and put on the whole armor of GOD and fight the battle for our great natio…</t>
  </si>
  <si>
    <t>RT @FoxNews: .@POTUS on Ronny Jackson withdrawing as nominee for VA secretary @foxandfriends https://t.co/PvljihV7ig https://t.co/s9JEbvR0Hx</t>
  </si>
  <si>
    <t>RT @NRATV: .@dbongino has a message for the DC establishment trying to tarnish VA Secretary Nominee Ronny Jackson. “You wanna start naming…</t>
  </si>
  <si>
    <t>RT @PhilMcCrackin44: 💥 Hey @kanyewest ,  While you’re at it, perhaps you could show some love to these two independent thinking, voices of…</t>
  </si>
  <si>
    <t>RT @IvanTrumpovic1: @GrizzleMeister @ArizonaKayte @alozras411 @junogsp5 @PhilMcCrackin44 @bbusa617 @Hoosiers1986 @Jamierodr10 @PaulLee85 @j…</t>
  </si>
  <si>
    <t>RT @TurbanedPatriot: #ThursdayThoughts #ThursdayMotivation . Wishing all my patriots Family and Patriots Nation a great thursday https://t.…</t>
  </si>
  <si>
    <t>RT @TurbanedPatriot: @BostonSprtsNews @polarbear52710 @Liz_Griffin12 @kjenkinsnpj @sidzig5 @gemcos12 @pats_junkie @bean9970 @HeartEyes4Brad…</t>
  </si>
  <si>
    <t>RT @_SierraWhiskee: We have Kanye. The left has the old, decrepit washed up Eminem. https://t.co/E8DwOGwrtk</t>
  </si>
  <si>
    <t>RT @Golfinggary522: “Genius is Initiative on Fire.”
~Holbrook Jackson
Let’s set out initiative on fire 🔥🔥
#ThursdayThought 
#inspirational…</t>
  </si>
  <si>
    <t>RT @occulturalism: Happy Birthday to this Beautiful White Hat. #FLOTUS #QAnon https://t.co/Iz4J4kFsiU</t>
  </si>
  <si>
    <t>RT @John_KissMyBot: The ‘FAKE INDIAN’ , Elizabeth Warren, DOESN’T Like ‘The ‘REAL INDIANS’ Campaign Signs 
HIS SIGNS ROCK !!!  
💥The REAL…</t>
  </si>
  <si>
    <t>RT @VanWalker67: @DarrenDillon13 @PVHenryConLLC @battleofever @Steve_Pippin @mtebert84 @Lnr57 @dtannie @BelBlok @winkinss @Firefly44 @kilro…</t>
  </si>
  <si>
    <t>RT @CRTV: First there was Trump Derangement Syndrome ... and now there is a new strain: Melania Trump Derangement Syndrome
@DeneenBorelli…</t>
  </si>
  <si>
    <t>RT @my2006bmw: Kanye West and brother @Potus calls it DRAGON POWER! Let's roll! An individual thinker and a #StableGenius can get the grove…</t>
  </si>
  <si>
    <t>RT @KatTheHammer1: 💯🎆💯🎆💯🎆💯🎆💯
CONGRATULATIONS ON 25K FOLLOWERS!! 
👉 @Jamierodr10 👈
YOU'RE MISSING OUT IF YOU'RE NOT FOLLOWING!! GREAT PAT…</t>
  </si>
  <si>
    <t>RT @trumpism_45: The Caravan is here. 
We're gonna need some backup.
#MakeAmericaGreatAgain https://t.co/Ygf2XQVEHP</t>
  </si>
  <si>
    <t>RT @_Discernment_: #ComeyTownHall #ComeyMemos #ComeyInterview #ComeyTheLeaker #ComeyURNext #qanon #8chan #TrumpArmy #maga #redpill #Memes #…</t>
  </si>
  <si>
    <t>RT @NickJFuentes: I attack boring, stangant, stale, mediocre people and surprisingly these are the only people who have a problem with what…</t>
  </si>
  <si>
    <t>RT @thebradfordfile: Dear Silent Trump Supports:
When you decide to experience what freedom feels like--just be honest. Trump is changing…</t>
  </si>
  <si>
    <t>RT @realDonaldTrump: Thank you Kanye, very cool! https://t.co/vRIC87M21X</t>
  </si>
  <si>
    <t>RT @trumpism_45: Macron didn't come here representing France, he was representing The United Nations and The Deep State illuminanti New Wor…</t>
  </si>
  <si>
    <t>RT @buzzman888: 🇺🇸🇺🇸 @michellemalkin Michelle Malkin: “Illegal Immigrants Provide Cheap Labor And Cheap #Votes to The Democrats.” 🇺🇸🇺🇸 #MAG…</t>
  </si>
  <si>
    <t>RT @pjbowles4: #Trumpville
#Texas
@Smoochie6005
@TomTomray45
@SpringAmerican6
@texasjasper
@TexasKenJSmith
@TexTerri
@suprdupe
@tonia_in_te…</t>
  </si>
  <si>
    <t>RT @GartrellLinda: Hungary Introduces 'Stop George Soros' Bill Effectively Forcing out the Billionaire’s Organization 
RISE UP AGAINST #Evi…</t>
  </si>
  <si>
    <t>RT @GrizzleMeister: Anyone care to take a stab at what generated this fundraising increase? 😁https://t.co/Z4vQv2SUm6</t>
  </si>
  <si>
    <t>RT @realDonaldTrump: .@FLOTUS did a spectacular job hosting the President of France @EmmanuelMacron and his wife Brigitte. Every detail was…</t>
  </si>
  <si>
    <t>RT @MansardtheGreat: North Korea’s mountain nuclear test site has collapsed — leading one  researcher to suggest that is why Kim Jong Un sh…</t>
  </si>
  <si>
    <t>RT @_L_o_r_i_: .🚨Attention Patriot🚨
🎊Help Me Wish 🎉
🎂Happy Birthday🎂 
To A True Patriot and A Wonderful Author 
🎂Happy Birthday 🎂
.@Dine…</t>
  </si>
  <si>
    <t>RT @bud_cann: America is in the midst of an undeclared, but real, Civil War. Family members are estranged, friends have ended lifelong rela…</t>
  </si>
  <si>
    <t>RT @Michaelcraddo16: 3 NEW Q  Early Tuesday🇺🇸
Hey @NBCNews @CBSNews @abcnews 🤡what gives???
#MSM refuses to report, anyone surprised??🙄 #S…</t>
  </si>
  <si>
    <t>RT @realDonaldTrump: Despite the Democrat inspired laws on Sanctuary Cities and the Border being so bad and one sided, I have instructed th…</t>
  </si>
  <si>
    <t>RT @AroundOMedia: Don't be afraid of being different, be afraid of being the same as everyone else. #quote https://t.co/0I0WH1X5Dk</t>
  </si>
  <si>
    <t>RT @CandowDavid: @JoanneTirado09 @Chicago1Ray I am proud to have served in the Military for my Country, and the Americans that live in this…</t>
  </si>
  <si>
    <t>RT @HollywoodUSArmy: @sahluwal @Jimbobbarley The common denominator, they were ALL Democrats. Apparently, the ban should be for Democrats o…</t>
  </si>
  <si>
    <t>RT @kanyewest: 🙌🙌🙌 https://t.co/m5JGp9zKyM</t>
  </si>
  <si>
    <t>RT @inittowinit007: 🔥CLINTON CORRUPTION🔥
👉👉🔥EXPOSED🔥👈👈
#MakeItRain 💥#QAnon 👇
.@realDonaldTrump  .@POTUS https://t.co/hzcR63prnv</t>
  </si>
  <si>
    <t>RT @davealvord164: @kanyewest  https://t.co/w6ZCRAsuVA</t>
  </si>
  <si>
    <t>RT @seanhannity: https://t.co/JBqETovT9Z</t>
  </si>
  <si>
    <t>RT @jimlibertarian: Let's show @realDonaldTrump how strong we R with a Trump followback train👉Follow all who RT🚂 https://t.co/CaZu0dmdYG ht…</t>
  </si>
  <si>
    <t>RT @myjesusmercyusa: NRA Breaks 15-Year Fundraising Record with Nearly $2.5 Million in March https://t.co/lWm9vteVDy via @BreitbartNews</t>
  </si>
  <si>
    <t>RT @1Romans58: We are coming together stronger then ever before.  The globalists are scared and will be defeated. Divide and conquer DID NO…</t>
  </si>
  <si>
    <t>RT @imrayswife52: Good Morning 🌅 Trumpsters🎺
Its a beautiful day in our #MAGA
Hood 🏝️
A beautiful day our the #MAGA
Hood 🏜️
A beautiful day…</t>
  </si>
  <si>
    <t>RT @inittowinit007: 💥🔥DEEP STATE🔥💥
 💥🔥UP IN FLAMES🔥
  💥#MakeItRain #Qanon 
.@realDonaldTrump  .@POTUS https://t.co/DAXkfZlat3</t>
  </si>
  <si>
    <t>RT @kwilli1046: When will AG Sessions do his job? I'm all for due process, but this is ridiculous. General Flynn gets indicted immediately…</t>
  </si>
  <si>
    <t>RT @Truckin4Trump: #BREAKING (AP) Republican Debbie Lesko wins special U.S. House election in Arizona, keeping seat in GOP control. https:/…</t>
  </si>
  <si>
    <t>RT @Golfinggary522: “You cannot be lonely if you like the person you’re alone with.”
~Wayne Dyer 
Let’s not be lonely today. 
#WednesdayWis…</t>
  </si>
  <si>
    <t>RT @GrrrGraphics: #WednesdayWisdom The latest  #ThoughtPolice #CandaceOwens #KanyeWest #DrivingwhileConservative #RedPilled  #BenGarrison #…</t>
  </si>
  <si>
    <t>RT @trumpism_45: @realDonaldTrump  https://t.co/Ce0Av5bkto</t>
  </si>
  <si>
    <t>RT @KatTheHammer1: "At some point Democrats have to decide whether they love THIS country more than they hate this President, and they have…</t>
  </si>
  <si>
    <t>RT @Jamierodr10: GOOD MORNING PATRIOTS 🇺🇸🇺🇸.       It’s amazing to see the Love between our Beautiful First Lady &amp;amp; President! Please Pray f…</t>
  </si>
  <si>
    <t>Q Anon - Q Sent Me Women's https://t.co/mZ7wNmsX8k QAnon
#MAGA #AmericaFirst #QWomen @QSentMe</t>
  </si>
  <si>
    <t>RT @inittowinit007: 💥🔥UNITE AND FIGHT🔥
       🇺🇸FOR FREEDOM🇺🇸
          💥TOGETHER💥
.@realDonaldTrump  .@POTUS 
#QAnon #WWG1WGA #KAG https:/…</t>
  </si>
  <si>
    <t>RT @JenNongel: ᗪO YOᑌ ᗯᗩᑎT TᖇᑌTᕼ ᗩᑎᗪ IᑎTEGᖇITY?? ᗯEᒪᒪ...
🤡🤡🤡🤡🤡🤡🤡🤡🤡
ᑕoᗰey ᗪoᑎ't ᑭᒪᗩy tᕼᗩt https://t.co/ckGgUBZoHD</t>
  </si>
  <si>
    <t>Q Anon - Got Q? Women's https://t.co/cQ64AC4ELY #QAnon
#MAGA #TheStorm #QWomen</t>
  </si>
  <si>
    <t>RT @KatTheHammer1: “It’s embarrassing. You’re not living through anything right now. You’re overly privileged Americans.” ~@RealCandaceO ht…</t>
  </si>
  <si>
    <t>RT @RealMattCouch: Give this a share for our liberal friends :) https://t.co/rbmy3DEpu9</t>
  </si>
  <si>
    <t>I Love Q Solo https://t.co/AvhHLuZBoz #QAnon #JeromeCorsi #DrCorsi #MAGA</t>
  </si>
  <si>
    <t>RT @SeverePayne: VJ
Pure EVIL.
16 year plan.
They never thought he would win.
They never thought she would lose.
Blatant.
Careless.
These p…</t>
  </si>
  <si>
    <t>RT @FoxNews: .@RealCandaceO: "That's exactly the idea that the left has— once you say something you must always stick to it. You can't form…</t>
  </si>
  <si>
    <t>RT @JDugudichi: Follow all patriots
@JDugudichi
@JesperBirk5
@_j4son_
@fumbelsmcstupid
@Campbell2976
@Lovefunmagictru
@FiddlingWRomeB2
@net…</t>
  </si>
  <si>
    <t>RT @LoriWill213: 💥”We are in this together.” ... “This is about taking back our FREEDOM and saving our children/people from the EVIL that h…</t>
  </si>
  <si>
    <t>RT @sxdoc: Clinton Foundation Loses Billions in Haiti Reconstruction Fiasco, but Hillary and her brother do well; Was Money Diverted to her…</t>
  </si>
  <si>
    <t>RT @JoanneTirado09: @Chicago1Ray @RealCandaceO @TomArnold  https://t.co/PkHJzKlSZc</t>
  </si>
  <si>
    <t>RT @kanyewest: Prince opened up for Rick James. everybody starts some where https://t.co/7Gx5H23vgO</t>
  </si>
  <si>
    <t>RT @kanyewest: me and Mike 😂 https://t.co/E79Uja1sBs</t>
  </si>
  <si>
    <t>RT @KMGGaryde: Congratulations @hickorymtnman on hitting 35K followers.  A Patriot working hard in the trenches fighting for T45 to #MAGA.…</t>
  </si>
  <si>
    <t>RT @SarahPalinUSA: Well I'll be... https://t.co/ePJJfnNyWY</t>
  </si>
  <si>
    <t>RT @jmariec36: #AtMyHighSchoolReunion I avoid all the same people I avoided in school https://t.co/WKLTZEuPDV</t>
  </si>
  <si>
    <t>#SemperFi #Marines https://t.co/BEB7WEeVyo</t>
  </si>
  <si>
    <t>One way or another, everyone will get red-pilled by QAnon. #QAnon #The Awaking #TheGreatAwakening https://t.co/FDzafuvULW</t>
  </si>
  <si>
    <t>https://t.co/7fgnN0NXkR https://t.co/NZ1Ex7hOHu</t>
  </si>
  <si>
    <t>RT @HCDotNet: Hey Liberals, how has this Presidency been going for you so far? 😭#MAGA #KAG 😂🇺🇸 https://t.co/4h1d8ZQAip</t>
  </si>
  <si>
    <t>RT @KMGGaryde: Good Night Patriots! I wish you Deep Pleasant Dreams. 🙏☄️ https://t.co/KLJZfLrr5R</t>
  </si>
  <si>
    <t>'People Are Very, Very Nervous': Community Leaders In Brooklyn Warn Of Increased Bias Attacks Against Jews https://t.co/vCdVeTTj0p</t>
  </si>
  <si>
    <t>The rise of Russia’s neo-Nazi football hooligans https://t.co/WpSmNVo7DN</t>
  </si>
  <si>
    <t>Melania steals the show in glittering gown at White House state dinner https://t.co/nyIUA73sMI via @MailOnline</t>
  </si>
  <si>
    <t>RT @martindorman855: Trump to Unveil $1.5 Trillion Infrastructure Plan https://t.co/4NIUUYtArn</t>
  </si>
  <si>
    <t>RT @Stump_for_Trump: We love you too @KanyeWest! https://t.co/yEdbZYcC4B</t>
  </si>
  <si>
    <t>RT @Stump_for_Trump: We love the way Candace Owens thinks! https://t.co/aFkEGx12J1</t>
  </si>
  <si>
    <t>RT @RayRile63658486: https://t.co/uN63n7nwaF</t>
  </si>
  <si>
    <t>RT @joey_beavers: @GrizzleMeister America doesn't need worthless pro athlete's, sorry Hollywood celebrities, crooked politician, or lying M…</t>
  </si>
  <si>
    <t>RT @RealJack: YES!!!!
After ‘Yeti’ Coolers Drops the NRA, Their Competitor Goes MEGA VIRAL With This One Post https://t.co/KVerp0B847</t>
  </si>
  <si>
    <t>RT @TrumpsBlonde: If these two end up being a part of the Great Awakening.....what a time to be alive!!!! Buckle up!!  Follow both of these…</t>
  </si>
  <si>
    <t>https://t.co/QPkdscGhkP</t>
  </si>
  <si>
    <t>RT @jollyeaker: Are the 25,000 unsealed indictments close to be unsealed? EO against #HumanTrafficking #SexPredators #WarAgainstTheCabal #Q…</t>
  </si>
  <si>
    <t>RT @dawn_summerhill: For years, the left has been better at organizing their voices to make it look like they r the majority. Well, NO MORE…</t>
  </si>
  <si>
    <t>RT @intheMatrixxx: #QAlert 4/23/18 This will be my THREAD for all of #Q's posts for Monday, April 23, 2018. Wake up! Happy Hunting! Armenia…</t>
  </si>
  <si>
    <t>RT @adjunctprofessr: 🚨🚨🚨 Utah State Rep Mike Kennedy beat #NeverRomney in the UT GOP Convention!
Runoff election is June 26th!
Come on Utah…</t>
  </si>
  <si>
    <t>RT @Belle4DJT: Don’t Forget #HumaAbedin, Her Ties To Muslim Brotherhood &amp;amp; Coincidently, HRC’s Most Trusted Confidant
#Awan  
#QAnon 
#WWG1W…</t>
  </si>
  <si>
    <t>RT @RealEagleWings: JUST IN: Rand Paul's last-minute switch gives secretary of state nominee Mike Pompeo favorable committee vote Guess we…</t>
  </si>
  <si>
    <t>RT @LeahR77: The swamp is LOSING .. 
Black voters,they’re tired of being chained to the welfare plantation!
Hispanic voters,they’re tired o…</t>
  </si>
  <si>
    <t>RT @2christian: After taking heat for tweeting praise of conservative pundit Candace Owens, Kanye West has doubled down &amp;amp; tweeted a string…</t>
  </si>
  <si>
    <t>RT @Education4Libs: I'm starting to save a lot of money on overpriced garbage.
No more Starbucks, no more YETI, no more Nestle, no more HU…</t>
  </si>
  <si>
    <t>RT @FoxNews: .@RealCandaceO: “When you go up against the Left, this is what they do: they try to, essentially, say that you are not allowed…</t>
  </si>
  <si>
    <t>RT @NevadaJack2: I remember watching Chucky's father on TV a long time ago. https://t.co/7oXs0JLdTX</t>
  </si>
  <si>
    <t>RT @John_KissMyBot: Kanye West has created a Firestorm With Liberals Recently 💥First For Praising Conservative Candace Owens On Twitter 
💥…</t>
  </si>
  <si>
    <t>RT @MarkDice: Liberals Lose Their Minds after Kanye West Endorses Black Trump Supporter 😆  https://t.co/1r6yEtw7uy https://t.co/cRrnlgofMa</t>
  </si>
  <si>
    <t>RT @Don_Vito_08: Welcome to the #TrumpTrain, #KanyeWest. 
#MAGA #GreatAwakening #WakeUpAmerica 
@kanyewest https://t.co/Nes9MEXzTh</t>
  </si>
  <si>
    <t>RT @nerak0331: Lmao! #LockHerAssUp https://t.co/DP9fRPRmJI</t>
  </si>
  <si>
    <t>RT @mike_Zollo: I’m not going to thank Rand Paul for finally deciding to vote for Mike Pompeo. Rand Paul was acting like a leftist holding…</t>
  </si>
  <si>
    <t>RT @brandongroeny: Mike Pompeo was approved by the Senate.
I would like to take a moment to remind everyone that Cory Booker would not vot…</t>
  </si>
  <si>
    <t>RT @seanhannity: Liberals are viciously attacking conservative YouTube star @RealCandaceO after Kanye West praised her on twitter. She’s he…</t>
  </si>
  <si>
    <t>RT @JackPosobiec: Kanye West is causing unprecedented levels of soy eruptions today</t>
  </si>
  <si>
    <t>RT @NevadaJack2: Not long after Yeti coolers announced that it no longer wants to do business with the National Rifle Association, RTIC Coo…</t>
  </si>
  <si>
    <t>RT @gr8tjude: “Anything to keep their base fired up!”
Nunes: DNC lawsuit is a ‘scam’ 
https://t.co/igNulRpNmX</t>
  </si>
  <si>
    <t>RT @BaracudaDebbie: 🔥 #AmericanPrideTT45 🔥
Hello deplorables, we're rolling!🍺 If you signed up, you will be listed. 
Solo run
Coming soon…</t>
  </si>
  <si>
    <t>RT @TrumpsBlonde: The Democratic party suing WikiLeaks for costing them the election is like an armed robber suing a security camera compan…</t>
  </si>
  <si>
    <t>RT @GIJane4Trump: @trumpology @Z51vett #Twain is digging a hole so deep...they don’t have a ladder tall enough for her to climb out. Once a…</t>
  </si>
  <si>
    <t>RT @1Romans58: The game has changed, the stakes are higher
We are no longer in a battle of Right vs Left, Rep vs Dem
This is a choice bet…</t>
  </si>
  <si>
    <t>RT @IvanTrumpovic1: Spawns of Satan. https://t.co/BFZOe8zKT4</t>
  </si>
  <si>
    <t>RT @PepeQAnon: Why do so many members of congress have DUAL citizenship and WHY TF are they all Democrats?  NOT American Citizens! 
#Build…</t>
  </si>
  <si>
    <t>RT @PhxKen: "MOST BAD GOVERNMENT HAS GROWN OUT OF TOO MUCH GOVERNMENT"-THOMAS JEFFERSON https://t.co/PgvqX4dRdr</t>
  </si>
  <si>
    <t>RT @jenn_027: NEW to the TRAIN this week:
Please be sure to follow all and RT all cars if you haven't already. 
@SupportDJTNow
@RedPill_M…</t>
  </si>
  <si>
    <t>RT @goodmedicine4us: https://t.co/SDhLqZMaZy</t>
  </si>
  <si>
    <t>RT @SandraTXAS: CNN covers Stormy Daniels 24/7 as North Korea announces stop of nuclear tests and missile launches.
Regressive libs heart…</t>
  </si>
  <si>
    <t>RT @_Discernment_: Welcome back #marines #Military #militaryfamilies #MilitaryIntelligence #militarywomen #Soldiers #NationalSecurity @mari…</t>
  </si>
  <si>
    <t>RT @Royal_RannaAnna: A wink and a smile #GoTogetherPerfectly https://t.co/0uCRJCDekE</t>
  </si>
  <si>
    <t>RT @MehJessR: Me and swear words. #GoTogetherPerfectly https://t.co/14NCi2boaH</t>
  </si>
  <si>
    <t>https://t.co/4VhEj6TRZQ https://t.co/61H3k1vPg5</t>
  </si>
  <si>
    <t>#MAGA https://t.co/XTQGSK7Qhc</t>
  </si>
  <si>
    <t>RT @amazingnature33: incredible Switzerland https://t.co/egEDxHVwI7</t>
  </si>
  <si>
    <t>RT @GoboMontaco: I follow Q. #Qanon8chan #MemeDay
#Awake 
#information 
#understanding 
#JusticeForAll 
#TennesseeWaffleHouse 
#MKultra
#Fe…</t>
  </si>
  <si>
    <t>Utah, put your hands together for Dr. Mike Kennedy seeking the Senate seat in Utah. He may not wear the expensive suits that Romney does but he is NOT an empty suit or Globalist Traitor like Romney!  He's a True Patriot! He's Pro Trump! Pro Wall! Pro Tax Cuts! https://t.co/mCra5ettMU</t>
  </si>
  <si>
    <t>RT @RealJamesWoods: With regard to the Utah primary, make of this what you will... https://t.co/ACxDnifYrm</t>
  </si>
  <si>
    <t>RT @npnikk: Verne Troyer Has Died at 49 https://t.co/BrJl9uRU93</t>
  </si>
  <si>
    <t>RT @Golfinggary522: President Trump shows boundless courage. 
He stands up for what is right even against overwhelming opposition. 
He is a…</t>
  </si>
  <si>
    <t>RT @BTecHVeNDeTTa: BOOM: “Wendy” Nixon Digs. WE GOT YOUR NUMBER, #BHO. #GreatAwakening #QAnon #Pizzagate #Pedogate https://t.co/JFP6pjs5s6…</t>
  </si>
  <si>
    <t>RT @CONNORFORTRUMP: ANOTHER SWAMP CREATURE
The RICHES and FORTUNE that these people have amassed are like a BEACON showing us who has thei…</t>
  </si>
  <si>
    <t>RT @Maggieb1B: .Think about it, the ROOT CAUSE of Abortion is SELFISHNESS! If we all were selfish, we’d have no babies, no soldiers! “Throu…</t>
  </si>
  <si>
    <t>RT @Cynthia_Jeanne3: BUCKLE UP: ‘Unsafe’ Diamond and Silk to TESTIFY Before Congress https://t.co/mrkqj7kBUp</t>
  </si>
  <si>
    <t>RT @mixcoffee411: @DTrumpPoll @realDonaldTrump @POTUS Love our Presedent！ the Greatest President EVER！
 😂😂😂😂😂😂😂😂 https://t.co/NSo2hz1nu8</t>
  </si>
  <si>
    <t>RT @JessicaLyn55: I will never stop fighting for what I believe in🇺🇸🇺🇸🇺🇸
#KAG
#2ADefenders 
#IAmTheNRA 
#ISTANDWITHGENFLYNN 
#SupportOurPre…</t>
  </si>
  <si>
    <t>RT @Steve_Pippin: @Lnr57
@dtannie
@BelBlok
@winkinss
@Firefly44
@KilRoyJC
@Ram0667
@88JWR88
@HH225215
@Bella_Tap
@NJGranger
@FuzzButton
@ma…</t>
  </si>
  <si>
    <t>RT @gipperguy: https://t.co/PjHwy2jtqz</t>
  </si>
  <si>
    <t>RT @Eugene_Scott: “As Christian networks have become more comfortable with politics, the Trump administration has turned them into a new pi…</t>
  </si>
  <si>
    <t>RT @christianllamar: Democrat @SenWhitehouse says: Administrative Procedure Act governs Special Counsel...INCORRECT, Administrative Procedu…</t>
  </si>
  <si>
    <t>RT @ABC: Pres. Trump took a moment to pose for photos with members of the Palm Beach County Sheriff's Office before returning to D.C. this…</t>
  </si>
  <si>
    <t>RT @MilitaryEarth: Honoring Army Cpl Pat Tillman who selflessly sacrificed his life fourteen years ago today in Afghanistan for our great C…</t>
  </si>
  <si>
    <t>RT @realDonaldTrump: James Comey’s Memos are Classified, I did not Declassify them. They belong to our Government! Therefore, he broke the…</t>
  </si>
  <si>
    <t>RT @VetWithACause: #ComeyForPrison
#RudyGiuliani
#DrainTheDeepStateSwamp
After Giuliani Joins Trump, Comey Admits Ordering Investigation…</t>
  </si>
  <si>
    <t>RT @Protecting_2A: Mike Pompeo is a great pick for Secretary of State. @RandPaul, as your constituent I urge you: #ConfirmPompeo!! https://…</t>
  </si>
  <si>
    <t>RT @RealEagleWings: .@CNN says a YUGE win for
.@realDonaldTrump 
as North Korea suspends Nuclear Project 
Never thought I’d hear CNN prais…</t>
  </si>
  <si>
    <t>#BoycottDeniro https://t.co/Qrp0NlxcwZ</t>
  </si>
  <si>
    <t>RT @NevadaJack2: Country singer Shania Twain issued an apology Sunday for saying she would have voted for President Trump in the 2016 elect…</t>
  </si>
  <si>
    <t>RT @The_Trump_Train: First, Kanye praised Candace Owens. Now, Shania Twain says she would have voted for Trump... People are waking up to t…</t>
  </si>
  <si>
    <t>RT @dbongino: No, I can’t stand liberalism. It’s a disease, a cancer, nothing more. I don’t care how liberals feel about this. Not one bit.…</t>
  </si>
  <si>
    <t>RT @LisaSmith4680: I normally don't bring up politics at the cafe,but today I took a survey. Living in LIB NJ, I was pleasantly surprised &amp;amp;…</t>
  </si>
  <si>
    <t>RT @AnnaApp91838450: https://t.co/kQSQXbPC3p
Tic-Tock Evil Witch Is Going Down 🙏 Crooked Hillary Sold Out The People
Pay For Play Criminal…</t>
  </si>
  <si>
    <t>RT @poconomtn: I was just going through my page of retweets and thought what an impressive group of people...very well researched informati…</t>
  </si>
  <si>
    <t>RT @bonniemurphy: I will support #Trump here or there
I will support @realDonaldTrump everywhere!
#IStandWithTrump 
#VoteRed2018 
#VoteRe…</t>
  </si>
  <si>
    <t>RT @jerome_corsi: WikiLeaks To Countersue Democrats; "Discovery Is Going To Be Amazing Fun" | Zero Hedge https://t.co/n1Zmbvc1lC huge blund…</t>
  </si>
  <si>
    <t>RT @bonniemurphy: America stands with @GenFlynn 
This hero has had his life destroyed 
The political #WitchHunt by the #DeepState and #FB…</t>
  </si>
  <si>
    <t>I have 739 new followers from USA, India, Canada, and more last week. See https://t.co/Z5SFmgjj3M https://t.co/NeStGkUs2y</t>
  </si>
  <si>
    <t>RT @Trey_VonDinkis: #LeftistSedition #LeftistCulturalCrimes #Snowflakes #FnMorons
.
.
.☕️MORE STARBUCKS FAIL - HIDDEN CAMERA FOUND in BATH…</t>
  </si>
  <si>
    <t>Suspect in fatal Waffle House shooting was arrested last year near White House https://t.co/cjHC2DhZcS</t>
  </si>
  <si>
    <t>RT @Sheckyi: 😂😂😂😂😂😂😂😂😂
BASKET OF INDICTABLES... https://t.co/LzkjAZSIg1</t>
  </si>
  <si>
    <t>RT @buzzman888: 🇺🇸🇺🇸 @POTUS President Trump: “ There’s a Little Bit Of a #Revolution Going on In California.” 🇺🇸🇺🇸     #BuildTheWall  #MAGA…</t>
  </si>
  <si>
    <t>RT @KatiePavlich: @SeanParnellUSA @kanyewest  https://t.co/4fdZosCDK6</t>
  </si>
  <si>
    <t>RT @w_terrence: Who did it Better?
https://t.co/eoCcgR5jna https://t.co/mSWSYX4yYB</t>
  </si>
  <si>
    <t>RT @Stump_for_Trump: We voted for President Trump over 17 Republicans and Crooked Hillary because he was authentic and honest! Shania Twain…</t>
  </si>
  <si>
    <t>RT @DonnaWR8: @ericbolling #MAGA🇺🇸 https://t.co/TTAlPzbboS</t>
  </si>
  <si>
    <t>RT @sashalom: And not one leak🇺🇸 Improvement 
@AndyHortin18 
#Trumpman
@sladjana641
@RT_Patriot
@patriot_jerry
@BCFeher
@letsrollamerica
@M…</t>
  </si>
  <si>
    <t>RT @Trey_VonDinkis: @RealJamesWoods  https://t.co/BhYudPbcRj</t>
  </si>
  <si>
    <t>#Patriots Follow #Patriots https://t.co/jH1ViHSURU</t>
  </si>
  <si>
    <t>RT @TrumpsDC: Next time I come to Vegas, this is where I'll be staying! 😁
#TrumpTrain🇺🇸
#TRUMP2020🇺🇸
#LasVegas🇺🇸 
#MakeAmericaGreatAgain🇺🇸…</t>
  </si>
  <si>
    <t>RT @goodmedicine4us: https://t.co/qjmc0iRQv1</t>
  </si>
  <si>
    <t>RT @JDugudichi: Follow back all patriots
@JDugudichi
@Dale57Paul
@mackem__Lad
@ZiffyKat
@wo_arena
@FirelightWinks
@ImWithHerNever1
@forGalt…</t>
  </si>
  <si>
    <t>UMC announces memorial for Parkland Middle School boy struck and killed - KVIA https://t.co/ILMolXOJDO</t>
  </si>
  <si>
    <t>MLB pitcher suffers brain hemorrhage during game https://t.co/G03Dj4G2Bc</t>
  </si>
  <si>
    <t>ISIS Threatens 'Satanic' CNN, Universal Studios Hollywood, NASA https://t.co/AqtCdFMj9T #HomelandSecurity via @pjmedia_com</t>
  </si>
  <si>
    <t>Kanye West's tweets support for controversial YouTuber Candace Owens https://t.co/eR2ppLtV6e via @MailOnline</t>
  </si>
  <si>
    <t>Russian lawyer questions why Mueller hasn't contacted her   https://t.co/c6tc1XLFYC</t>
  </si>
  <si>
    <t>RT @bonniemurphy: @Jamierodr10 @jeffsessions @KMGGaryde @buzzman888 @GrizzleMeister @AnnaApp91838450 @KatTheHammer1 @GartrellLinda @bbusa61…</t>
  </si>
  <si>
    <t>RT @goodmedicine4us: https://t.co/dVl9N6U38F</t>
  </si>
  <si>
    <t>RT @goodmedicine4us: https://t.co/xsldLvFTIl</t>
  </si>
  <si>
    <t>RT @AnnaApp91838450: GOOD NIGHT PATRIOTS 🙏
 ROCKED ON TWITTER🔥
SO PROUD OF PRESIDENT TRUMP &amp;amp; THE LOVE HE SHOWS OUR MILITARY💯🇺🇸
HE'S WINNING…</t>
  </si>
  <si>
    <t>RT @DanCovfefe1: My plan was to destroy America! 
Obama beat me to it..
Now I’m on the Trump Train Baby 🇺🇸 https://t.co/570KzKkU8f</t>
  </si>
  <si>
    <t>RT @goodmedicine4us: https://t.co/fSBPEf4Ss5</t>
  </si>
  <si>
    <t>RT @gr8tjude: 💥James Shaw Jr. Identified as 'Hero' Who Took Away Waffle House Attacker's Rifle↘️
Breitbart https://t.co/o6fZKUsFw4 via @Br…</t>
  </si>
  <si>
    <t>RT @chicksonright: So. This happened. IRL. Libs are FURIOUS and confused. https://t.co/daR5QbdO2t</t>
  </si>
  <si>
    <t>Yeti Coolers Cuts Ties With The NRA Without Explanation https://t.co/uYqdsvMIz5</t>
  </si>
  <si>
    <t>RT @TwitterMoments: Update: Police now say four are dead following the shooting at a Waffle House in Tennessee. The gunman, who is still on…</t>
  </si>
  <si>
    <t>RT @bonniemurphy: Good Morning Y’all!
#MAGA is a gift from @Potus 
It’s a revolution to take back our country 
It’s up to all of us to do…</t>
  </si>
  <si>
    <t>RT @jerome_corsi: Readers Sharing Photos https://t.co/pVCompw9uz  KILLING THE DEEP STATE  Pls send photos jrlc@yahoo.com of you &amp;amp; the book…</t>
  </si>
  <si>
    <t>RT @TheListener69: @JaSmittyjr @Ted_Just_Ted @usaf__vet @StevenM76954443 @realDonaldTrump @whitesnowdust @POTUS That's ok ... https://t.co/…</t>
  </si>
  <si>
    <t>RT @martindorman855: Dark Dirty SECRETS Hillary Clinton EXPOSED and they are very dirty https://t.co/VGlf4UsdN1</t>
  </si>
  <si>
    <t>RT @RealJamesWoods: What’s the point of vaccinations for our children, when #Democrats enable millions of illegal aliens to violate our bor…</t>
  </si>
  <si>
    <t>RT @paul_serran: #QAnon #TheStorm #GreatAwakening #WWG1WGA #IBOR 
(13) Post 1206. Take a breath. https://t.co/iVvN97fJ9N</t>
  </si>
  <si>
    <t>RT @LadyRedStorm: Ooooh, sounds like a #Twofer! I’ve been hoping &amp;amp; praying #Sessions is working “behind the scenes” with #Trump but with co…</t>
  </si>
  <si>
    <t>RT @Jillibean557: @Hoosiers1986 @realDonaldTrump @POTUS @VP @_SierraWhiskee @StacyLStiles @carrieksada @ClintonMSix14 @ChristieC733 @RightW…</t>
  </si>
  <si>
    <t>Reincarnation of Evil???? https://t.co/DAPULjB71v</t>
  </si>
  <si>
    <t>RT @JackPosobiec: https://t.co/GIk1gQ5SlN</t>
  </si>
  <si>
    <t>RT @jayfeely: Wishing my beautiful daughter and her date a great time at prom 
#BadBoys https://t.co/T5JRZQYq9e</t>
  </si>
  <si>
    <t>RT @MAGANinaJo: Thank you @POTUS for all you’ve done for the American people.
🔴3M new jobs
🔴Lowest unemployment levels ever for Hispanics…</t>
  </si>
  <si>
    <t>https://t.co/4VhEj6TRZQ https://t.co/n2XuzrLcCk</t>
  </si>
  <si>
    <t>RT @GrrrGraphics: One of these is Not like the others.... https://t.co/8RI6SmLAyz</t>
  </si>
  <si>
    <t>RT @my2006bmw: Ok Utah, put your hands together for Dr. Mike Kennedy seeking the senate seat in Utah. He may not wear the expensive suits t…</t>
  </si>
  <si>
    <t>RT @President1Trump: @RealEagleWings @yogagenie @realDonaldTrump @POTUS Praise the Lord 🙏🏻 https://t.co/aPcP9kQx1p</t>
  </si>
  <si>
    <t>I love @RealCandanceO She Speaks Truth! https://t.co/0C8W4cUF8o</t>
  </si>
  <si>
    <t>RT @JDugudichi: Follow back all patriots
@JDugudichi
@redpillednews
@GregNiese
@KunstKen
@RedPilled7
@TrueOZPatriot
@redpilledwoke
@Michael…</t>
  </si>
  <si>
    <t>RT @PriscillasView: Devin Nunes: Review of FBI &amp;amp; Justice Department “electronic communication” documents show no intelligence used to begin…</t>
  </si>
  <si>
    <t>RT @JudicialWatch: ICYMI: The DOJ still refuses to release the entire budget for Mueller's out-of-control investigation. JW seeks this info…</t>
  </si>
  <si>
    <t>RT @PrideOfFree: @MagniFieri @DNC So thankful for the Q movement and the coming justice of all that are involved in child trafficking and t…</t>
  </si>
  <si>
    <t>RT @AMike4761: #ROMNEY LOSING!  In the final round of voting at the party's convention, state Rep. Mike Kennedy (R) won 50.88 percent of th…</t>
  </si>
  <si>
    <t>RT @ShowboatBob: #BobsTrumpTrain
@ShowboatBob
@shihanbrent
@justmethatsall3
@pzim31
@Lucy24Smith
@MrEdTrain
@Team24kGold
@texas7909
@tsvipe…</t>
  </si>
  <si>
    <t>RT @Keque_Mage: @hrtablaze HIGH ENERGY https://t.co/kZufclgLvB</t>
  </si>
  <si>
    <t>RT @buzzman888: @JessieJaneDuff @NRACarryGuard @DeneAdams_LLC @StyleMeTactical @Vegasgungirl 🇺🇸#2A🇺🇸 This Is Awesome Ms Duff! @JessieJaneDu…</t>
  </si>
  <si>
    <t>RT @ColumbiaBugle: How about a hand for Kristin Gaspar Chairwoman of the San Diego County Board of Supervisors, which just voted to support…</t>
  </si>
  <si>
    <t>RT @PrisonPlanet: Kanye West is threatening to red pill black people and the establishment is terrified.
Everyone retweet this and send it…</t>
  </si>
  <si>
    <t>RT @BLUEgrasscrazy1: Ivana Trump, May God Bless you, and we all hope you can understand in the future that We, the People of the United Sta…</t>
  </si>
  <si>
    <t>RT @Thom44810402: AG Jeff Sessions recently told the WH he might have to leave his job if President Donald Trump fired his deputy, Rod Rose…</t>
  </si>
  <si>
    <t>Hey, Add me to your list! I'm a 22 year Marine Veteran! Thanks! #SemperFi @stevemotley https://t.co/i81kIT6VEL</t>
  </si>
  <si>
    <t>RT @Thomas1774Paine: Florida school resource officer hailed a hero after responding quickly to shooting that injured one student https://t.…</t>
  </si>
  <si>
    <t>RT @DragnetPep: #Trumpman
@CudaDebbie
@BaracudaDebbie
@JayDaws3
@smalltownandrew
@NYGuy13
@Ingred34
@JohnMcGeever70
@salem_poor
@TombStoneB…</t>
  </si>
  <si>
    <t>RT @inittowinit007: 🇺🇸🇺🇸🇺🇸🇺🇸🇺🇸🇺🇸🇺🇸🇺🇸🇺🇸🇺🇸🇺🇸 https://t.co/fMuvbGQBWe</t>
  </si>
  <si>
    <t>RT @_Discernment_: #MOABIncoming #trump #qanon #QAnonPatriots #redpill #maga #boom #GreatAwakeningWorldwide #TheStormIsHere @GoboMontaco @e…</t>
  </si>
  <si>
    <t>RT @GartrellLinda: Gorka Call to Arms: Grassroots, 'You Have a Job To Do'
VOTE to protect our #TrumpAgenda against the liberal obstruction…</t>
  </si>
  <si>
    <t>Add me to your list! I'm a Patriot! @stevemotley https://t.co/kvk4YfGJ8v</t>
  </si>
  <si>
    <t>RT @DeniseRemy233: @average_joeg57 @Panama6715 @ScottPresler @DrShayPhD @BetoORourke @JoaquinCastrotx @JulianCastro  https://t.co/hxwErm5QxD</t>
  </si>
  <si>
    <t>RT @marshawright: Great spirits have always encountered violent opposition from mediocre minds #quote #leadership #mindset https://t.co/L9m…</t>
  </si>
  <si>
    <t>RT @mike_Zollo: Mitt Romney says he’s not sure if he will vote for Trump in 2020, he hasn’t made the decision. I despise Mitt Romney, he is…</t>
  </si>
  <si>
    <t>Gorka Call to Arms: Grassroots, 'You Have a Job To Do' | Breitbart https://t.co/xsbm9r7mbl via @BreitbartNews</t>
  </si>
  <si>
    <t>RT @jerome_corsi: #Qanon8chan again mentions TITLE of my book AMERICA FOR SALE in a post TONIGHT, Sat. April 21, about Huma, AWAN brothers,…</t>
  </si>
  <si>
    <t>RT @trustrestored: WHAT HAPPENED? “There was a brazen plot carried out by Sr Obama admin officials to illegally exonerate Hillary Clinton t…</t>
  </si>
  <si>
    <t>RT @kevinjohnson510: KEANU REEVES: For Me Trump Is The Symbol Of A Successful Man https://t.co/Nj8iOOOHu3</t>
  </si>
  <si>
    <t>RT @RedRidi95128769: #qanon "Wendy" &amp;amp; Hussein. https://t.co/3FfobpRN6d</t>
  </si>
  <si>
    <t>RT @silverpebble: Dorset storm has now arrived and is so violent that the thunder is shuddering in my lungs and making the shepherd’s hut h…</t>
  </si>
  <si>
    <t>RT @Remi_Vladuceanu: Bitcoin Cash Price Eyes $1,000 Target as Bulls Remain in Control https://t.co/bwLrLPGeRJ 
#newsoftheweek #Bitcoin #blo…</t>
  </si>
  <si>
    <t>RT @goodmedicine4us: https://t.co/zOfYyouuuz</t>
  </si>
  <si>
    <t>RT @KayaJones: 🤣😂🤣🤣🤣🤣 https://t.co/Aq1WsQGiwv</t>
  </si>
  <si>
    <t>RT @MikeTokes: URGENT WARNING:
There has been a major breakout of E.Coli in the United States.
The @CDCgov is requesting you to throw out…</t>
  </si>
  <si>
    <t>RT @USANEWS007: BREAKING: The illegitimate son wandering around Trump World Tower is non other than Danny Williams. Bill Clinton’s &amp;amp; a pros…</t>
  </si>
  <si>
    <t>RT @realDonaldTrump: Fantastic crowd and great people yesterday in Key West, Florida. Thank you! https://t.co/HqOUFgmbQS</t>
  </si>
  <si>
    <t>RT @TruthMatters13: 19 Sit back, relax... #MAGA2020 #TrumpTrain
@WelshGoodLife 
@eaglesgalore1 
@JohnBer42679234 
@Mel42779 
@Lulu463647322…</t>
  </si>
  <si>
    <t>RT @ChrissyUSA1: #MAGA #Patriot #Qanon #TheStormHasCome #WeThePeople #TheGreatAwakening #GodsArmy 🇺🇸 #JESUSLIVES #HTURTTRUTH #WWG1WGA #GodI…</t>
  </si>
  <si>
    <t>RT @Thomas1774Paine: FAIL: Mitt “Mr. Big Pants” Romney Finishes Second in GOP Utah Senate Contest Triggering Primary https://t.co/f4Chs3SXnu</t>
  </si>
  <si>
    <t>RT @FriendlyJMC: WHITE HOUSE Fingers CIA's Brennan and John McCain for Leaking Anti-Trump Intel &amp;amp; Waging Deep State Smear Campaign – True P…</t>
  </si>
  <si>
    <t>The supervolcano under Yellowstone should make you worried https://t.co/fPuW2vAIGz via @mercnews</t>
  </si>
  <si>
    <t>Has Beijing just put the finishing touches to its Taiwan battle plan?  https://t.co/xxrdloPXJP via @SCMP_News</t>
  </si>
  <si>
    <t>German shoppers sample burgers made of buffalo worms https://t.co/U6DCFh3aTF via @YahooNews</t>
  </si>
  <si>
    <t>‘I Am A Caucasian’ — Amy Schumer Goes On ‘The View,’ Says A ‘Woman Of Color’ Should Have Played Her In New Movie https://t.co/tIoRc7DJ0h via @dailycaller</t>
  </si>
  <si>
    <t>Man Fatally Stabbed At Steakhouse With Daughter On His Lap https://t.co/0fjR10sUzi</t>
  </si>
  <si>
    <t>The latest luxury getaway? For these boomers, it’s a van trip https://t.co/7ivA02f0sU via @WSJ</t>
  </si>
  <si>
    <t>Passenger 'assaults air marshal and throws coffee on fellow fliers' https://t.co/5QoNX7WyWc via @MailOnline</t>
  </si>
  <si>
    <t>11 Killed in Tijuana in 24 hours — 650 Murdered in 2018 https://t.co/2PULvE7D3o via @BreitbartTexas</t>
  </si>
  <si>
    <t>RT @vannsmole: Stupid actions warrant harsh consequences.
🇺🇸 🇺🇸 🇺🇸 https://t.co/G7OSVb9Sm7</t>
  </si>
  <si>
    <t>RT @Jamierodr10: This war on Police has got to STOP! @TomiLahren”Luckily we have a President that stands behind law enforcement “ #BacktheB…</t>
  </si>
  <si>
    <t>RT @bonniemurphy: @Jamierodr10 @TomiLahren  https://t.co/jBRWfxT1NA</t>
  </si>
  <si>
    <t>RT @my2006bmw: With Trump as our President we can do this! Vote for the good conservatives in your state and local elections! Don't let thi…</t>
  </si>
  <si>
    <t>RT @RealWolfensPak: DROP IT ‼️‼️‼️ https://t.co/ePfxl7YuZ3</t>
  </si>
  <si>
    <t>RT @ibfireproof: @AnnaApp91838450  https://t.co/nOr6dAFBK0</t>
  </si>
  <si>
    <t>RT @Usa_Supp0rt: A grandfather is someone with silver in his hair, and love in his heart. ❤❤❤❤❤❤❤❤ https://t.co/EBSBBBlZnu</t>
  </si>
  <si>
    <t>RT @RealWolfensPak: .@RealEagleWings .@KatTheHammer1 
Shoutouts for two of my Patriot Bff Sisters 🎉🇺🇸🎉🇺🇸 Congratulations Connie awesome 160…</t>
  </si>
  <si>
    <t>RT @syqau: Sweden's violent reality is undoing peaceful self-image https://t.co/9yDhCw6nqh</t>
  </si>
  <si>
    <t>RT @USPacificFleet: The Wasp Expeditionary Strike Group continues operations in the Western  Pacific this week, conducting training and cer…</t>
  </si>
  <si>
    <t>RT @FriendlyJMC: Like dominoes, they will all be exposed! 
And don't forget Susan Powers! 
They all have enormous egos, but it turns out H…</t>
  </si>
  <si>
    <t>RT @gguutt2014666: Don't just look, Observe 
Don't just sleep, Dream 
Don't just exist, Live...
#Chicago #Life #Istandul #TUR #USA https://…</t>
  </si>
  <si>
    <t>RT @Hoosiers1986: #FridayFeeling
Every time I see that cops have been shot, I'm reminded of the way CRIMINALS HAVE BEEN EMPOWERED by Obama…</t>
  </si>
  <si>
    <t>RT @Thomas1774Paine: In Three Weeks, America Will Find Out Who Jeff Sessions Really Is https://t.co/zBPeBNR6gA</t>
  </si>
  <si>
    <t>RT @1Romans58: HAHAHAHA!!!!  Already in the bargain bin!  
Comey’s Book Tossed into Bookstore Bargain Bins https://t.co/WPFu9ORLyJ</t>
  </si>
  <si>
    <t>RT @LilacBlizz: *Still jobless* 😂👍
yeah #Kap .. maybe because teams want football players on their roster ...not activists. 
https://t.co/r…</t>
  </si>
  <si>
    <t>RT @DallasIrey: #Trumpville
❦@NRA 🇺🇸
❦@Dr_Kaco 
❦@vickibazter
❦@hollywoodhillsv
❦@DallasIrey
❦@ronaldauman
❦@angelkisses48
❦@Angel_FoxShado…</t>
  </si>
  <si>
    <t>RT @Jayne720: Why isn’t the MSM interested in the Awan Brothers: the three IT specialists fired for rooting through House Democrats’ sensit…</t>
  </si>
  <si>
    <t>RT @DallasIrey: #Trumpville
❦@NRA 🇺🇸
❦@TwoBirdsinaHurr 
❦@CathrynSadowski
❦@startpackin
❦@DallasIrey
❦@PIRATEDANTRAIN
❦@LAGTweetsMe
❦@RARRR…</t>
  </si>
  <si>
    <t>RT @The2ndA: #FollowBackFriday
@bdclq 
@DFBHarvard 
@DallasIrey 
@pjbowles4 
@ArizonaKayte 
@the2ndA
@RickOhioImBack 
@@ThirteenFoxcom 
@M…</t>
  </si>
  <si>
    <t>RT @JosieFiorda: Q says the Storm is Black Ops and CyberWarfare primarily and we should watch for Signs of the progress made — i believe so…</t>
  </si>
  <si>
    <t>RT @realDonaldTrump: James Comey illegally leaked classified documents to the press in order to generate a Special Council? Therefore, the…</t>
  </si>
  <si>
    <t>RT @jerome_corsi: I am joining Patriots' Soapbox 24/7 LIVE CHAT https://t.co/VjBuC2v32A NOW Friday, April 20, at 11:33 pm ET to discuss #QA…</t>
  </si>
  <si>
    <t>RT @IngrahamAngle: You really have to wonder if the Democrats drank their own Kool Aid. Their latest stunt may be proof that their obsessio…</t>
  </si>
  <si>
    <t>RT @GmanFan45: "I DON'T WANT TO EMBARASS YOU" got to love @POTUS #TRUMP
#cnn sucked then and it is worse today #fakenews
#MAGA
#Gmanfan45 h…</t>
  </si>
  <si>
    <t>RT @AnnaApp91838450: GOOD NIGHT 🇺🇸PATRIOTS GREAT POST🙏ROCKEN ROLLED FOR MILITARY/BLUE /PRESIDENT TRUMP🌟 
1ST LADY❤
KNOCK💜KARMA💥
THANK YOU A…</t>
  </si>
  <si>
    <t>RT @proudamericanmm: https://t.co/lqnrUZi0tZ</t>
  </si>
  <si>
    <t>RT @DallasIrey: #Trumpville
❦@NRA 🇺🇸
❦@joseph_kandrot
❦@stuffupstairs
❦@crum_mary
❦@DallasIrey
❦@skypilot18
❦@CJeffreyWard
❦@NewtTekell
❦@p…</t>
  </si>
  <si>
    <t>RT @GrandOpUSA: GREAT NEWS: Rudy Giuliani is joining President Trump's personal legal team for defense in the fraudelent Mueller probe.
I…</t>
  </si>
  <si>
    <t>RT @trumpism_45: @realDonaldTrump #MAGA !!! https://t.co/BHhvO2EwWF</t>
  </si>
  <si>
    <t>RT @martinl30346020: #GLTG #RKHK
🧟‍♂️@mmchiara
🧟‍♂️@mememayo96 
🧟‍♂️@SaxxSkwerl 
🧟‍♂️@luluHru 
🧟‍♂️@GeanineC 
🧟‍♂️@DallasIrey 
🧟‍♂️@TruthMa…</t>
  </si>
  <si>
    <t>https://t.co/qZYcaQ128P</t>
  </si>
  <si>
    <t>RT @kosmikvikings: OK fellow Patriots! Another donation in the second one! We are at 35$ Still need to rally a little more. Once on the gof…</t>
  </si>
  <si>
    <t>RT @Thomas1774Paine: BREAKING: North Korea announces it will suspend nuclear, missile tests https://t.co/XigUUsiBvW</t>
  </si>
  <si>
    <t>RT @FoxNews: Emails show Obama White House statements on Clinton probe worried FBI's Strzok https://t.co/yjKkLkMAwX</t>
  </si>
  <si>
    <t>‘Diamond and Silk’ to Testify Before House Judiciary Committee on ‘Social Media Filtering’ via @freebeacon https://t.co/12CeFPM3mY</t>
  </si>
  <si>
    <t>Is it time to worry about human cloning again? https://t.co/3L2XKwWApp</t>
  </si>
  <si>
    <t>RT @Golfinggary522: Democrat attacks boomeranged? Are they now the targets of their own investigations? Are we ready for some justice? Is t…</t>
  </si>
  <si>
    <t>RT @JDugudichi: Follow all Patriots for an instant follow back
@JDugudichi
@Obamaboozled
@tracey_vinsand
@chromadka60
@dbsconservative
@Phy…</t>
  </si>
  <si>
    <t>RT @DallasIrey: #Trumpville
❦@PressSec 🇺🇸
❦@kennyscott1952
❦@DallasIrey
❦@CyndiRocks1
❦@phauxpharmer
❦@mbradt27
❦@StelleBa
❦@Gennielou75
❦@…</t>
  </si>
  <si>
    <t>RT @TruthMatters13: 4 How important it is for us to recognize and celebrate our heroes and she-roes! Maya Angelou #RogueDeplorables #RedFri…</t>
  </si>
  <si>
    <t>RT @Thomas1774Paine: BREAKING -- CDC: ‘Avoid All Romaine Lettuce;’ Dozens Hospitalized with Outbreak of E. Coli &amp;amp; Kidney Failure https://t.…</t>
  </si>
  <si>
    <t>Oh Dear God Please Let This Come True! #LockHerUp #MAGA https://t.co/cjXSAvI5gJ</t>
  </si>
  <si>
    <t>San Francisco Officials Outline Crowd-Control Plans For 4/20 https://t.co/RyeUuV0Z2O</t>
  </si>
  <si>
    <t>Chuck Schumer Wants to Legalize It via @freebeacon https://t.co/YkdXuLq9On</t>
  </si>
  <si>
    <t>RT @JenNongel: ᕼIᒪᒪᗩᖇY'ᔕ 
"ᑭᖇIᐯᗩTE ᔕEᖇᐯEᖇ" https://t.co/PNy96zldVu</t>
  </si>
  <si>
    <t>RT @StandingDarrell: Former New York Mayor Rudy Giuliani announced his decision to join President Donald Trump’s legal team:
“I’m doing it…</t>
  </si>
  <si>
    <t>RT @LastWave2014: That Moment You Actually See How Desperate The #DemocratParty Is, That They Would Use Children In A Tyrannical Attempt To…</t>
  </si>
  <si>
    <t>Army lowers 2017 recruiting goal; more soldiers staying on | WTOP https://t.co/HCxSChaNgm via @WTOP</t>
  </si>
  <si>
    <t>Democratic Party sues Russia, Trump campaign and WikiLeaks for conspiring to disrupt 2016 election https://t.co/V7yNSUEnVP</t>
  </si>
  <si>
    <t>RT @StandingDarrell: 🇺🇸”Explosive new developments contained in the Comey memos destroy the Russian collusion narrative &amp;amp; point fingers at…</t>
  </si>
  <si>
    <t>RT @FoxNews: .@AriFleischer: "Vis-a-vis @Comey what I will say, though, is this is the book tour that backfired. I've never seen a book tou…</t>
  </si>
  <si>
    <t>RT @ChristiChat: Snort!
Giggle!
Chuckle!
I’m giddy with glee. Pompous pious James Comey’s leaking was a crime. https://t.co/7KXytZiMa8</t>
  </si>
  <si>
    <t>RT @Thomas1774Paine: Comey’s Book Tossed into Bookstore Bargain Bins https://t.co/IXdM5qw1B0</t>
  </si>
  <si>
    <t>RT @TomFitton: Did Comey improperly funnel his dishonest memos and collude with the Mueller special counsel operation as part of a vendetta…</t>
  </si>
  <si>
    <t>RT @realDonaldTrump: James Comey Memos just out and show clearly that there was NO COLLUSION and NO OBSTRUCTION. Also, he leaked classified…</t>
  </si>
  <si>
    <t>RT @realDonaldTrump: So General Michael Flynn’s life can be totally destroyed while Shadey James Comey can Leak and Lie and make lots of mo…</t>
  </si>
  <si>
    <t>RT @RealEagleWings: .@newtgingrich: "It's clear that [@HillaryClinton] broke the law over and over and over again." 
Anyone tired of this?…</t>
  </si>
  <si>
    <t>RT @GartrellLinda: The #DeepState is exposed!
 COMEY’S MEMOS Show Dossier Meeting With Trump Was a Set Up 
Their "insurance policy" as stat…</t>
  </si>
  <si>
    <t>RT @BaracudaDebbie: 💥IMPORTANT ALERT💥
Word came down. Twitter shadow banning &amp;amp; censorship is coming to an end.
TOR user for POTUS: new al…</t>
  </si>
  <si>
    <t>RT @SuzaSusza: Military service runs deep in the 
Flynn family. General Flynn’s father Charlie Flynn was a WWII Korean War Vet. ☘️God bless…</t>
  </si>
  <si>
    <t>American Legend Steals Beer Truck Wearing American Flag Shorts https://t.co/cuikUmUTRf via @thesmokeroom</t>
  </si>
  <si>
    <t>RT @kwilli1046: I honestly believe there are millions of Americans who agree with Mark Robinson from Greensboro, NC. If we would all have t…</t>
  </si>
  <si>
    <t>RT @hickorymtnman: I'm tired of all of the endless attempts to make everything about race, instead of honestly looking at  our problems 
T…</t>
  </si>
  <si>
    <t>RT @prayingmedic: 36) #Qanon posted this. 
It's a link to a CSPAN video of a speech Nancy Pelosi Gave today. 
She admits traveling to North…</t>
  </si>
  <si>
    <t>RT @JDugudichi: #KAG
Follow all patriots for a fb
@covfefepizza
@JDugudichi
@HeavyMetalRulz
@Eddie_ONeill
@djohardt
@ZarekAnneMarie
@peepsc…</t>
  </si>
  <si>
    <t>RT @goodmedicine4us: https://t.co/8fNBLjToxC</t>
  </si>
  <si>
    <t>Happy Bithday #Patriot @RealJamesWoods #WeThePeople Love You Man! https://t.co/UgKyFAybib</t>
  </si>
  <si>
    <t>RT @MarcGriff89: I THINK WE ARE GOING TO NEED MANY MORE SQUARES 🤣! THEY WILL BE SINGING LIKE CANARIES. 🇺🇸 #MAGA https://t.co/DzCYBrCFbp</t>
  </si>
  <si>
    <t>RT @Golfinggary5221: #McCabe lied under oath 3 times for personal benefit. He walks free.
.@GenFlynn served us bravely. Yet, he was forced…</t>
  </si>
  <si>
    <t>https://t.co/4VhEj6TRZQ https://t.co/jRk4vbXggR</t>
  </si>
  <si>
    <t>RT @jamesirving2: America demands answers. If #AnthonyWeiner had hundreds of thousands of #HIllary emails on his laptop-how many of those w…</t>
  </si>
  <si>
    <t>Smartphone Addiction Increases Loneliness, Isolation; No Different From Substance Abuse, Experts Say https://t.co/ICvMRumqtv via @studyfindsorg</t>
  </si>
  <si>
    <t>'Overwhelmed' postal worker arrested after 17,000 pieces of undelivered mail found https://t.co/FyBmKzntfS via @fox13</t>
  </si>
  <si>
    <t>2 Florida deputies fatally shot in Gilchrist County https://t.co/Ez3MFzrTxK</t>
  </si>
  <si>
    <t>https://t.co/Utpi7ZMCET</t>
  </si>
  <si>
    <t>https://t.co/QZzdoOsziW</t>
  </si>
  <si>
    <t>RT @BackTheCops: Please help us lift a prayer for Sergeant Noel Ramirez and Deputy Sheriff Taylor Lindsey who were ambushed and killed toda…</t>
  </si>
  <si>
    <t>RT @skramerbyu_82: 🦅🇺🇸Heroes are the men &amp;amp; women of our military who watch over &amp;amp; protect us everyday! Thank you for your service!🇺🇸🦅
Unti…</t>
  </si>
  <si>
    <t>RT @ljcljf: Please take the time and visit General Flynn's Defense Fund website and make a contribution to a man who has valiantly served o…</t>
  </si>
  <si>
    <t>Brennan Needs To Be Fully Investigated and Indicted. #DrainTheSwamp #MAGA https://t.co/Q5jcwcwdaD</t>
  </si>
  <si>
    <t>RT @RealMattCouch: James Comey,
Care to answer this one? https://t.co/BgUPYz2Enh</t>
  </si>
  <si>
    <t>RT @HCDotNet: What's going on with those #ComeyMemos? https://t.co/2eirUVGo8v</t>
  </si>
  <si>
    <t>RT @true_pundit: Eleven GOP Congressmen Unite to Refer Comey, Clinton, McCabe, Lynch &amp;amp; FBI Agents for Criminal Prosecution https://t.co/Jey…</t>
  </si>
  <si>
    <t>RT @FoxNews: .@PlanetTyrus: “If you’re here illegally, you’re already breaking the law. And if you do something violent, you should be held…</t>
  </si>
  <si>
    <t>RT @Thomas1774Paine: FEDS DROP BOMBSHELL: Comey &amp;amp; Lynch Colluded with Clinton Campaign to Entrap, Wiretap Trump; Illegal Scheme Involved En…</t>
  </si>
  <si>
    <t>RT @pjbowles4: @DaveSchreiber3 Congratulations, Dave on 40K!🎉 😉We ❤ you in #Trumpville✔💯 FOLLOW &amp;amp; RETWEET this Awesome Patriot &amp;amp; friend! Th…</t>
  </si>
  <si>
    <t>RT @Godsgirl158: Finally Friday 
4-20-18  List #1 of 3
@Godsgirl158 
@Vivere101 
@SEAAdams2 
@LisaNagamine 
@JRivasTX 
@tigerdi1011 
@Sweet…</t>
  </si>
  <si>
    <t>RT @bonniemurphy: TAKING BACK OUR COUNTRY MEANS TAKING BACK:
✅our streets
✅our schools
✅our borders
✅education of our children
✅safety of o…</t>
  </si>
  <si>
    <t>RT @starcrosswolf: WOW.
These memo's were to be the reason for the appointment of a Special Counsel. THESE MEMO'S are what was to have lea…</t>
  </si>
  <si>
    <t>RT @TruthMatters13: 3 #RougueDeplorables #MAGA
@Dbargen
@thepeonprincess
@wontbackdown222
@TempusSpiritus
@WeRLegion23
@hzahaley
@ZibaLady1…</t>
  </si>
  <si>
    <t>RT @Chicago1Ray: McCabe has posed a question to the class / " I orchestrated a #Coup to remove #Trump , He is asking us if he Should go to…</t>
  </si>
  <si>
    <t>RT @pjbowles4: #Trumpville
@CyndiRocks1 
@bethtcoast ☆
@JasminRoman19 
@snknight1968
@sweet_n_sosassy 
@joey_beavers
@MountainSnow7
@Dallas…</t>
  </si>
  <si>
    <t>RT @Trumpfan1995: As a young person, I myself find David Hogg appalling! 😒
He does NOT speak for me, nor millions of other young conservat…</t>
  </si>
  <si>
    <t>RT @JacobAWohl: https://t.co/2Hr8HjLS4V</t>
  </si>
  <si>
    <t>RT @starcrosswolf: 11 House Republicans are calling on A.G. Jeff Sessions to prosecute a handful of
individuals, Hillary Clinton, James Com…</t>
  </si>
  <si>
    <t>RT @JohnMcGeever70: Car #1 
@DallasIrey 
@dlccld1 
@PetMikRan 
@LastOneLeft_K 
@CudaDebbie 
@KryptoniteDragn 
@DFBHarvard  
@TruthMatters13…</t>
  </si>
  <si>
    <t>RT @Baby___Del: @DFBHarvard I’m here to support #Trump 🇺🇸
Most important time in the history of our Republic 🇺🇸
#PatriotsUnite to keep the…</t>
  </si>
  <si>
    <t>RT @TruthMaga: 🙈🙈🙈 A Close Look Into the eyes of Evil 😈😈😈 https://t.co/Pu4WWsDrYW</t>
  </si>
  <si>
    <t>RT @pamelah22: #TrumpTrain🚂 I Follow Back Retweet!
@grammasu52
@Barbaraafifty
@saneplanet
@dobalina69
@rogerjames55
@pamelah22
@dukesb12
@z…</t>
  </si>
  <si>
    <t>RT @wwwillstand: Good night fellow Patriots and followers keep following I will get back with you and don't forget to pray for the men and…</t>
  </si>
  <si>
    <t>RT @KMGGaryde: Good Night Patriots Sleep well &amp;amp; look for a Star!💙💎☄️ https://t.co/ZPvvZ0Nxvh</t>
  </si>
  <si>
    <t>High Alert: State Warns Drivers To Use Caution On 4/20 https://t.co/KlhtK4ZxE4</t>
  </si>
  <si>
    <t>Rudy Giuliani Joining Trump’s Legal Team ‘For the Good of the Country’ https://t.co/fJOfKr6csM via @thedailybeast</t>
  </si>
  <si>
    <t>Ten teams get five prime-time games, including the 49ers https://t.co/KIB9sCsr6h via @ProFootballTalk</t>
  </si>
  <si>
    <t>Roger Stone Disses Barbara Bush as a ‘Nasty Drunk’ on News of Her Death https://t.co/21fAME2lmO via @YahooNews</t>
  </si>
  <si>
    <t>RT @LisaMei62: 6. Pelosi visited NK &amp;amp; at 13 min mark shares what she discussed w/NK incl missile tech capabilities, miniaturization, capaci…</t>
  </si>
  <si>
    <t>RT @GrizzleMeister: Writing tabloid fiction &amp;amp; marketing snowflake pampers. What next?
@Comey https://t.co/uStGptkD3p</t>
  </si>
  <si>
    <t>RT @J_MAGA: #Trumpmilitia #ReleaseTarmacVideo 
@DB_Houston_2017 
@jsdr57 
@J_MAGA 
@jennybowles03 
@J_MAGA 
@sandy45_46 
@sweet_n_sosassy…</t>
  </si>
  <si>
    <t>RT @JoeFreedomLove: Trump endorses Rep․ Marsha Blackburn in Tennessee Senate race https://t.co/GozxGqjT9B via @washtimes</t>
  </si>
  <si>
    <t>RT @Mar4351219: @paul_serran @55true4u 9/11 Bombshell: TV Producer Has Missing Video Proving Missile Hit Pentagon https://t.co/NlBcYymfMd…</t>
  </si>
  <si>
    <t>RT @BKCloud1: California we can't afford to let the elites of San Francisco and Los Angeles speak for the hard working men and women of our…</t>
  </si>
  <si>
    <t>RT @KatTheHammer1: "I'm doing it because I hope we can negotiate an end to this for the good of our country and because I have high regard…</t>
  </si>
  <si>
    <t>RT @G1rly_Tattoo3d: To all my #Heroes that selflessly give themselves day after day❣️
There are not enough words to express my #Admiration…</t>
  </si>
  <si>
    <t>That is one ugly M.....F......er! https://t.co/SXSwa7iIb8</t>
  </si>
  <si>
    <t>RT @GoboMontaco: Uhoh....#NancyPelosi opened a #Pandora Box today in a #live C-span news conference. Catch it before the #Cabal erases it!…</t>
  </si>
  <si>
    <t>RT @TrumpTrainMRA4: 🇺🇸🇺🇸🇺🇸The American Revolutionary War🇺🇸🇺🇸🇺🇸
🇺🇸🇺🇸🇺🇸The American War of Independence🇺🇸🇺🇸🇺🇸
🔥💥☄️April 19, 1775 - September…</t>
  </si>
  <si>
    <t>RT @realDonaldTrump: My thoughts, prayers and condolences are with the families, friends and colleagues of the two @GCSOFlorida deputies (H…</t>
  </si>
  <si>
    <t>RT @FoxNews: Ken Starr: “Lying to Congress, like lying to the FBI, like lying under oath…is an extremely serious thing. It’s a potential fe…</t>
  </si>
  <si>
    <t>RT @Doodisgirl: BREAKING NOW!
Rudy Giuliani is Joining President Trump’s Legal Team!
https://t.co/z7iMmsMSbx</t>
  </si>
  <si>
    <t>RT @dbongino: Jim Comey portrays himself as an intellectual but for a seemingly smart guy he’s oblivious to the legal peril he’s in. He nee…</t>
  </si>
  <si>
    <t>RT @realDonaldTrump: Democrats are obstructing good (hopefully great) people wanting to give up a big portion of their life to work for our…</t>
  </si>
  <si>
    <t>RT @starcrosswolf: The Deep State wall is crumbling, one of the first to fall may be disgraced former FBI Deputy Director Andrew McCabe. I.…</t>
  </si>
  <si>
    <t>RT @RealEagleWings: DOJ watchdog sends criminal referral  to federal prosecutor https://t.co/pkhXJPxSYB 
•11 House GOP want probe into Com…</t>
  </si>
  <si>
    <t>RT @LouDobbs: End the Witch Hunt Now!- President @realDonaldTrump is vindicated after Rosenstein tells him he’s NOT a target in the Mueller…</t>
  </si>
  <si>
    <t>RT @KMGGaryde: Great move! Former #NewYork mayor, @RudyGiuliani #Giuliani has joined #Trump's personal legal team, saying he looks to negot…</t>
  </si>
  <si>
    <t>RT @mike_Zollo: Inspector General sends criminal referral of Andrew McCabe to US attorneys office for PROSECUTION. This can very well be th…</t>
  </si>
  <si>
    <t>RT @dbongino: Justice is coming and the swamp is panicking.  https://t.co/oLla6gXzJD</t>
  </si>
  <si>
    <t>RT @rossjohansen: James Comey locked up Martha Stewart for lying. 
He claims to be a crusader against lying.
Now he is defending McCabe f…</t>
  </si>
  <si>
    <t>RT @StephenMilIer: Andrew McCabe forced General Michael Flynn to sell his house, now he himself is headed to the 'big house'...</t>
  </si>
  <si>
    <t>RT @Lady_Vi_2U: Things are starting to heat up!!  I just want the Perp Walks to Begin!!  The recommendation by the IG is made .. Pick up th…</t>
  </si>
  <si>
    <t>RT @FoxNews: .@POTUS departs @NASKeyWest. https://t.co/aifRWY9KEz</t>
  </si>
  <si>
    <t>RT @ThinBlueLR: Epiphany:
Criminals have been running our government since Reagan left office. 
Same basic people across the board. Some…</t>
  </si>
  <si>
    <t>RT @TruthMatters13: 4 #RogueDeplorables #TrumpTrain
@LegionOfTheRev1 
@shootingstar864 
@StevieSWinn
@inotbland
@TA_Wyman
@depennttz
@crick…</t>
  </si>
  <si>
    <t>RT @davis1988will: Today is the tragic anniversary of the #OklahomaCityBombing. Rest in Peace to all the victims who died on that fateful d…</t>
  </si>
  <si>
    <t>RT @marklevinshow: Tight race in Texas? I don’t know if this poll is right, but time to rally for Cruz regardless, folks https://t.co/pKgqK…</t>
  </si>
  <si>
    <t>RT @Jamierodr10: CALIFORNIA GOVERNOR BACKS DOWN- Announces late Wednesday MOBILIZATION of 400 Troops, Per PRESIDENT TRUMP WILL BE SENT TO T…</t>
  </si>
  <si>
    <t>RT @PhilMcCrackin44: Am I giving them too much credit, or will some Moderate Democrats actually wake-up and recognize how they have directl…</t>
  </si>
  <si>
    <t>RT @KMGGaryde: Please follow this amazing Patriot Mare @RealWolfensPack who just hit 60,000 followers.  She loves America &amp;amp; fights for POTU…</t>
  </si>
  <si>
    <t>RT @bakergirlie: @favoriteauntssi @AliceBallard27 @HeidiSt68 Anytime
It isn't easy. I am close to 5000 followers.
It takes a while. #Patrio…</t>
  </si>
  <si>
    <t>RT @GrizzleMeister: Meet American Badass &amp;amp; 1st female Navy pilot to fly a tactical aircraft, #TammieJoShults who was the hero pilot that su…</t>
  </si>
  <si>
    <t>RT @Thomas1774Paine: In Three Weeks, America Will Find Out Who Jeff Sessions Really Is https://t.co/dr31yoQNoR</t>
  </si>
  <si>
    <t>RT @AnnaApp91838450: @buzzman888 @POTUS I LOVE PRESIDENT TRUMP 
BRILLIANT 💥SHUT THE DAM LYING CORRUPT MEDIA DOWN AGAIN 🎯 
HE WINS DAILY FOR…</t>
  </si>
  <si>
    <t>RT @RealEagleWings: Old North Bridge &amp;amp; Minutemen 
The American Revolution begins
On this day in history, April 19, 1775, the American Rev…</t>
  </si>
  <si>
    <t>RT @_Discernment_: Let’s talk about “Aircraft Engine Fires” #qanon #qanon8chan #8chan #GreatAwakeningWorldWide #TheStormIsHere #TheStormHas…</t>
  </si>
  <si>
    <t>RT @TomFitton: OUTRAGEOUS: FBI wants to take 16 months to process 8,000 pages of Comey docs under FOIA. Which is just half of the full Come…</t>
  </si>
  <si>
    <t>RT @OliverMcGee: They aren’t investigating Russian collusion. They aren’t investigating foreign interference in our elections. 
They are i…</t>
  </si>
  <si>
    <t>RT @RussellSperry: Comey/Clinton music video. Whoever made this did a great job. https://t.co/RLz9XISXWq</t>
  </si>
  <si>
    <t>RT @ElderLansing: Liberals are boycotting Starbucks because two black men were arrested. They would be better served boycotting the Democra…</t>
  </si>
  <si>
    <t>RT @TrumpTrainMRA4: 👉🏻Governor Edmund G. Brown Jr.
DemonCrap Gerry “M👀NbeamBrown”
Of the Great Golden State of CA 
Is Blue’r than Outdoor P…</t>
  </si>
  <si>
    <t>RT @Don_Vito_08: #Liberals waking up realizing #Trump is still their President @POTUS https://t.co/GOe7wURdMM</t>
  </si>
  <si>
    <t>RT @mike_Zollo: Donald Trump will go down as the greatest President in American history. He literally has everyone against him and he’s sti…</t>
  </si>
  <si>
    <t>RT @RealAlexJones: If Americans won’t defend their own rights then who should be expected to do it for them? - https://t.co/GaVhVhdrvy</t>
  </si>
  <si>
    <t>RT @TempusSpiritus: Democrats evil agenda is to use Illegal Immigrants to turn the country blue😕
I would donate $10
Would you?👇
#BuildTh…</t>
  </si>
  <si>
    <t>RT @FoxNews: .@POTUS on Mueller probe: "This is a hoax. As far as the investigation, nobody has ever been more transparent than I have." ht…</t>
  </si>
  <si>
    <t>RT @FoxNews: San Diego Country Supervisor Kristin Gaspar: "We're sending a clear message to Governor Brown: enough is enough. He needs to f…</t>
  </si>
  <si>
    <t>RT @ORGANlCROBOT: #qanon https://t.co/sBeBwfekEk</t>
  </si>
  <si>
    <t>RT @gbroh10: #TermLimits is a key item on the agenda for the #ArticleV Convention of States Project (not to be confused w/the concept of a…</t>
  </si>
  <si>
    <t>RT @robjh1: She is the woman the liberal MSM should be covering none stop not some washed up porn star, playboy bunny or lying former FBI d…</t>
  </si>
  <si>
    <t>RT @luluHru: Follow, Retweet, Reply,Followback 
🗽@BaracudaDebbie 
🗽@TiffanyMM94 
🗽@Daphene23058240 
🗽@luluHru 
🗽@pbogue99 
🗽@lgmichael1 
🗽@…</t>
  </si>
  <si>
    <t>RT @KrisParonto: God Bless America 🇺🇸🇺🇸 https://t.co/r5uaGUnaM7</t>
  </si>
  <si>
    <t>https://t.co/arvRO2MltJ</t>
  </si>
  <si>
    <t>Infowars and @RealAlexJones have been calling the parents of dead children liars for years. Now the parents are fighting back. https://t.co/iIBe3LJe9X via @HuffPostPol</t>
  </si>
  <si>
    <t>The anti-robot uprising is coming https://t.co/f7W90953q9</t>
  </si>
  <si>
    <t>German theatre in row after offering free seats for wearing a SWASTIKA https://t.co/afr0kRqjAL via @MailOnline</t>
  </si>
  <si>
    <t>Drought Returns to Huge Swaths of U.S., Fueling Fears of a Thirsty Future https://t.co/nhLbiVv6js via @pewtrusts</t>
  </si>
  <si>
    <t>‘Forest bathing’ takes tree hugging to new extremes https://t.co/mGzL9YEDNO via @sfchronicle</t>
  </si>
  <si>
    <t>What the @#$%! Americans can't get through the day without cursing https://t.co/ZTn92AbA1C via @nypost</t>
  </si>
  <si>
    <t>New poll finds race between Ted Cruz and Beto O’Rourke “too close to call” https://t.co/c18pUPXUei via @TexasTribune</t>
  </si>
  <si>
    <t>Oil soars 2.9% to 3-year high, settling at $68.47, as US crude stockpiles drop https://t.co/enXNAI6fAB</t>
  </si>
  <si>
    <t>Taxes Don’t Cover America’s Expenses https://t.co/KpfSHqUVz6</t>
  </si>
  <si>
    <t>White House Throws Nikki Haley Under the Bus as New Russia Sanctions Are Put on Hold https://t.co/zLUVdFvJ7H via @thedailybeast</t>
  </si>
  <si>
    <t>RT @THETXEMBASSY: @marklevinshow #KeepTexasRed 🔴 
TrusTed Leadership in @tedcruz 
#CruzCrew 🔥
https://t.co/0sHfztCi8o
Get involved Ameri…</t>
  </si>
  <si>
    <t>RT @RayRile63658486: https://t.co/nGKxWO75wB</t>
  </si>
  <si>
    <t>RT @Mrsmmtbeauty: 👏🏽👏🏽👏🏽Love this man!! #RealTalk #WhiteLiberalGuilt is alive and well!! Attn: All White liberals with their #BLM signs!😂😂😂…</t>
  </si>
  <si>
    <t>RT @WildmanTy: What the hell took so long? 
https://t.co/8CsxJRPw4o</t>
  </si>
  <si>
    <t>RT @meanguitar: 1983 CIA Document Reveals Plan To Destroy #Syria, Foreshadows Current Crisis | Zero Hedge https://t.co/3wra66l7ur</t>
  </si>
  <si>
    <t>RT @Chicago1Ray: "President #Trump is actually doing every single thing he promised, to make our Nation great again. No POLITICIAN has Ever…</t>
  </si>
  <si>
    <t>RT @FoxNews: Hillary Clinton's popularity has plunged since election, poll finds https://t.co/xl1OKNxNNt</t>
  </si>
  <si>
    <t>#NoMoreFakeNews https://t.co/BcljAGziCi</t>
  </si>
  <si>
    <t>RT @TomFitton: I don’t want new prosecutors, I want prosecutions...more than enough evidence to justify the lawful arrest of Hillary Clinto…</t>
  </si>
  <si>
    <t>Sending You Birthday Wishes and Lots of Prayers Jessica! https://t.co/M8iNK2VON5</t>
  </si>
  <si>
    <t>RT @trumpism_45: @realDonaldTrump  https://t.co/fz8O4UDhyV</t>
  </si>
  <si>
    <t>RT @OurVoice911: #RT @realDonaldTrump: Looks like Jerry Brown and California are not looking for safety and security along their very porou…</t>
  </si>
  <si>
    <t>RT @TrumpsBlonde: MY Observation - #Mueller is Running the #DOJ 
@JudicialWatch 
Rosenstein will have to go out and steal a car to get fire…</t>
  </si>
  <si>
    <t>RT @GarryBredefeld: John Cox will govern with sound, rational and prudent policies that will result in our cities being safer and our econo…</t>
  </si>
  <si>
    <t>RT @FoxNews: John Cox on California sanctuary laws: "People are sick and tired of @JerryBrownGov and @GavinNewsom's ignorance of the law. T…</t>
  </si>
  <si>
    <t>RT @justanavywife: It’s amazing how easy he got his coffee!
I always ask for #MilitaryDiscount &amp;amp; #Starbucks says, “No!”
@Starbucks can I…</t>
  </si>
  <si>
    <t>#Marines #SemperFi https://t.co/9Ssezw4k1F</t>
  </si>
  <si>
    <t>RT @goodmedicine4us: http://  https://t.co/UlE6NHrtDr https://t.co/ODndTF1hhC</t>
  </si>
  <si>
    <t>RT @goodmedicine4us: https://t.co/Xbbd0qBO5B</t>
  </si>
  <si>
    <t>RT @NothingYouHear: 🚂🚃2🚃🇺🇸
@NothingYouHear
@spinthefin
@unlv1986
@Seahippy29
@justice69hall
@JerryCGreer1
@BrendaBlakely7
@ApologistJose
@7…</t>
  </si>
  <si>
    <t>https://t.co/trNxXfNcSZ</t>
  </si>
  <si>
    <t>RT @jerseygirl2you: Wishing everyone a wonderful evening full of peace, love and #MAGA. 🙏❤️🇺🇸 https://t.co/X1yQEqqawm</t>
  </si>
  <si>
    <t>RT @IvanTrumpovic1: The supreme leader of the Resistance. https://t.co/nIIiscz5XY</t>
  </si>
  <si>
    <t>RT @goodmedicine4us: https://t.co/Vxy2Bph7rD</t>
  </si>
  <si>
    <t>RT @poconomtn: Time to get out ALL politicians who are against MAGA agenda! We cant accomplish anything until everyone gets on board! Your…</t>
  </si>
  <si>
    <t>https://t.co/YW4wcR7VFk</t>
  </si>
  <si>
    <t>RT @Belle4DJT: @_SierraWhiskee @Hoosiers1986 @GartrellLinda @carrieksada @LVNancy @thebradfordfile @CB618444 @GrizzleMeister @SandraTXAS @C…</t>
  </si>
  <si>
    <t>#MAGA https://t.co/wTGZXmdd4K</t>
  </si>
  <si>
    <t>#Marines #SemperFi https://t.co/pgBuue7YZH</t>
  </si>
  <si>
    <t>#MAGA #LockHerUp https://t.co/YDDBeay7ZX</t>
  </si>
  <si>
    <t>RT @GemMar333: #ComeyInOneSentence 
Comey is a narcissistic, p*ssywhipped, leaking, lying, cowardly puppet~ https://t.co/azcReHiShF</t>
  </si>
  <si>
    <t>RT @Malibu3John: HAPPY BIRTHDAY to the one and only @RealJamesWoods! One of the finest actors in the industry and a true conservative voice…</t>
  </si>
  <si>
    <t>RT @mikandynothem: The great hope of the Democrats has approval numbers that make OJ look good. She is in the 20's and sinking. Meanwhile,…</t>
  </si>
  <si>
    <t>RT @KMGGaryde: Good Night Patriots!🇺🇸♨️ https://t.co/98Z2tKLBJQ</t>
  </si>
  <si>
    <t>RT @hidehunt1: Good times ... who can relate? 
RT &amp;amp; comment with why Twatter slapped the cuffs on YOU...🤨
#1A #2A #JugEars https://t.co/iP2…</t>
  </si>
  <si>
    <t>RT @Lady_Vi_2U: We have an entire Generation that has been Indoctrinated in our Government Schools..if we don't immediately start Indicting…</t>
  </si>
  <si>
    <t>RT @CaliConsrvative: "When your heart is open to patriotism, there will be no room for prejudice" -@realDonaldTrump
MILLIONS of Trump supp…</t>
  </si>
  <si>
    <t>RT @JustinCaseUSA1: I see the libtard snowflakes are crying again. 
#CancelHannity https://t.co/HJFErtEeSh</t>
  </si>
  <si>
    <t>RT @OklahomaResist: @seanhannity criticized by @FoxNews contributors over Cohen relationship'
https://t.co/BkoS5Z2U8U
Shepard Smith, a Fox…</t>
  </si>
  <si>
    <t>RT @Stump_for_Trump: It is encouraging to hear 11 members of Congress have requested AG Sessions to investigate Crooked Hillary Clinton &amp;amp; h…</t>
  </si>
  <si>
    <t>RT @jen4trump1: BREAKING: Lawmakers Make Criminal Referral on Clinton, Comey, Lynch to DOJ on Steele Dossier. #TickTock #LockHerUpAlready #…</t>
  </si>
  <si>
    <t>RT @TrumpTrainMRA4: @RealWolfAmerica @seanhannity @AmericanHotLips @IvanTrumpovic1 @CodeOfPatriots @Rosehasnothorns @VFL2013 @pinkk9lover @…</t>
  </si>
  <si>
    <t>RT @Turntablizm: 17th letter is .....? https://t.co/mEwsqjIvPe</t>
  </si>
  <si>
    <t>RT @starcrosswolf: CREEP STATE: Ex-Spies Are Harvesting Facebook Photos for Facial Recognition. a newly-released report states least one su…</t>
  </si>
  <si>
    <t>RT @5b20be6386164f8: #ThereWasAnOrchestratedPlan
#ToTryAndPrevent
#Americans
#FromVotingInTrump https://t.co/p8T8nuqFda</t>
  </si>
  <si>
    <t>RT @AnnaApp91838450: GOOD NIGHT PATRIOTS 🙏
WE LIT UP TWITTER/ POST WERE ON FIRE 🎯
JOIN ME IN A BIG SHOUT OUT TO MAD DOG 🙏PRESIDENT TRUMP PI…</t>
  </si>
  <si>
    <t>RT @goodmedicine4us: https://t.co/dnx68yihQV</t>
  </si>
  <si>
    <t>RT @JDugudichi: follow back all patriots for an instant follow back
@JDugudichi
@Protecting_2A 
@TheSilentLOUD 
@LawT512 
@yee12141854 
@Ve…</t>
  </si>
  <si>
    <t>RT @JDugudichi: Follow back all patriots
@JDugudichi
@Blaidmaid
@CallMyForest
@TrickrickR
@MoreLOSTemails
@moreliberty4u
@IngrahamAngle
@Do…</t>
  </si>
  <si>
    <t>RT @JDugudichi: Follow back all genuine patriots for an instant follow back
@JDugudichi
@NothingYouHear
@NewaiGreen
@inittowinit007
@Bakers…</t>
  </si>
  <si>
    <t>Pure Light Team Update With Steve Motley - 04/18/2018 https://t.co/4agAolLqmx #PureLight #Pure-Light #PureLightTechnologies #WorkFromHome #MLM</t>
  </si>
  <si>
    <t>Retired Marine - Patriots At The Rubicon of The American Revolution 2.0 ... https://t.co/fHuSv8O15m #Marines #SemperFi #MAGA #AmericaFirst</t>
  </si>
  <si>
    <t>Starbucks to close all company-owned stores on the afternoon of May 29 for racial-bias education day https://t.co/UHitxL3Kf5</t>
  </si>
  <si>
    <t>Hundreds of 30-foot sharks swimming in massive swarms baffle scientists https://t.co/ztVwhg1Exs #FoxNews</t>
  </si>
  <si>
    <t>Macron warns of European 'civil war' over growing East-West divide https://t.co/iAsoSZjUiL via @YahooNews</t>
  </si>
  <si>
    <t>Robot to run for mayor in Japan promising 'fairness and balance' for all https://t.co/IE85SSaJmL</t>
  </si>
  <si>
    <t>Experts Say We're All Showering Too Much https://t.co/55b7UKYkxD #Lifestyle via @pjmedia_com</t>
  </si>
  <si>
    <t>Screaming passengers prepared to die and text their goodbyes as plane tried to land in storm https://t.co/w3CbUq9g8v</t>
  </si>
  <si>
    <t>As GOP balks, McConnell shuts down bill to protect Mueller   https://t.co/HfPk0IRgLA</t>
  </si>
  <si>
    <t>One dead after woman is nearly sucked out of plane https://t.co/4OUDr8bacD via @MailOnline</t>
  </si>
  <si>
    <t>RT @fishslayer56: @DiamondandSilk @lillys_news @facebook I quit using #Facebook maybe you should too. Start using Twitter and all.  #Facebo…</t>
  </si>
  <si>
    <t>RT @Jilldrenofgrave: @lukerosiak Well I am shocked. SHOCKED!
(Not really tho) https://t.co/QH6OxylUfg</t>
  </si>
  <si>
    <t>RT @Thomas1774Paine: Rush: Here’s How Trump Can Shut Down The ‘Witch Hunt’ Right Now https://t.co/qXnnAGy5vk</t>
  </si>
  <si>
    <t>Shinzo Abe: Upcoming North Korea Summit a Result of Donald Trump's 'Unwavering Conviction' | Breitbart https://t.co/K1M4rygRty</t>
  </si>
  <si>
    <t>RT @Dr_Kaco: @jenn_027 #RogueDeplorables https://t.co/gbdaux0Kbd</t>
  </si>
  <si>
    <t>RT @chon_ran: #success #grateful https://t.co/b08gFpVhCh</t>
  </si>
  <si>
    <t>https://t.co/1mOxB9VKUg</t>
  </si>
  <si>
    <t>https://t.co/OAUK5Ls3Bb</t>
  </si>
  <si>
    <t>RT @RealErinCruz: I am fighting for you, for California — For our Republic ... not just for our children &amp;amp; their children, but for all http…</t>
  </si>
  <si>
    <t>RT @Emperor_Albus: Africa expert estimates that the number of Africans living in Europe will grow from nine million to between 150 million…</t>
  </si>
  <si>
    <t>RT @IvankaTrump: This year’s #TaxDay is the last time you’ll have to file your taxes through an outdated, broken system. #BYE-BYE https://t…</t>
  </si>
  <si>
    <t>RT @chuckwoolery: HE WENT THERE=&amp;gt; Twitter Erupts After James Woods Asks For Photo Evidence Obama Attended Columbia University https://t.co/…</t>
  </si>
  <si>
    <t>RT @bud_cann: “I grew up a Democrat, I get it” said Denzel Washington, “people hate Trump with a passion but we dodged a bullet when Clinto…</t>
  </si>
  <si>
    <t>RT @martindorman855: This website tracks food poisoning reports at restaurants https://t.co/nC2yO6ZyBy</t>
  </si>
  <si>
    <t>RT @pjbowles4: #Trumpville
@ginger6516
@luluHru
@StillTrucking
@CyndiRocks1
@bethtcoast *
@sweet_n_sosassy
@GeanineC
@Sabinebolles
@gwpuffn…</t>
  </si>
  <si>
    <t>RT @RealMattCouch: There's a New Administration in town, America is Back! 
#FactsOverFeelings https://t.co/A4ftrmcPzb</t>
  </si>
  <si>
    <t>RT @NevadaJack2: Awards shows have reached the realm of being intolerable under the Trump administration, but thanks to Reba McEntire, the…</t>
  </si>
  <si>
    <t>RT @MEL2AUSA: Listening to my parents laugh as they watched #Roseanne tonight was the best thing that I’ve heard all day. We love @therealr…</t>
  </si>
  <si>
    <t>RT @NevadaJack2: Republican Rep. Jim Jordan of Ohio said he is “open” to running for speaker of the House, but thinks the GOP needs to focu…</t>
  </si>
  <si>
    <t>RT @DallasIrey: #Trumpville
❦@GenFlynn 🇺🇸
❦@navyvet55
❦@trglossersr
❦@partytime1776
❦@DallasIrey
❦@Cruz_Crew125
❦@Night_Terrors69
❦@covfefe…</t>
  </si>
  <si>
    <t>RT @calidhd: L♥️VE HIM or HATE 
Trump stands on the right side of #Truth #Godsend 
@POTUS is, without a doubt, for We, the People #AmericaF…</t>
  </si>
  <si>
    <t>RT @DallasIrey: #Trumpville
❦@PressSec 
❦@JohntheShifter
❦@DallasIrey
❦@StillTrucking
❦@zenrak
❦@fanatic_bama
❦@LinkedInOhio
❦@snknight1968…</t>
  </si>
  <si>
    <t>RT @loveandcaring5: Retweet if you agree!
@realDonaldTrump https://t.co/kcHm3KNvwc</t>
  </si>
  <si>
    <t>RT @IvanTrumpovic1: https://t.co/QSNSfUpNWc</t>
  </si>
  <si>
    <t>RT @MagaApplePie: Judge Kimba WOOD ties exposed 
It’s been said that you can’t see the WOOD for the trees BUT it’s the trees that make the…</t>
  </si>
  <si>
    <t>Add Me to Your List of Patriots! I'm a Big Supporter of https://t.co/6DQcow0a6s https://t.co/2g1CyPmNYO</t>
  </si>
  <si>
    <t>RT @DallasIrey: #Trumpville
❦@PressSec 🇺🇸
❦@Barnett20Todd
❦@DallasIrey
❦@fosterthem
❦@JRiggann
❦@usmc_army
❦@TRUMPTEAMAZ
❦@legereit
❦@pjbow…</t>
  </si>
  <si>
    <t>RT @Dawn_DeMore1: Who You Gonna Call🤔....
SLIMEBUSTER!
#POTUS Is RIGHT👌
Comey IS a SLIME BALL And A Very SLIPPERY Character 🕵
He Should…</t>
  </si>
  <si>
    <t>RT @minnman47: https://t.co/tWr1cgNsQq</t>
  </si>
  <si>
    <t>RT @minnman47: Bozell: Left Taking 'Jihad' Against Conservative Speech to Social Media Giants, Emergence of Greatest Censorship in History…</t>
  </si>
  <si>
    <t>RT @ScottAdamsSays: If North Korea denuclearizes during Trump’s first term . . . while the U.S. economy expands as quickly as ISIS shrinks…</t>
  </si>
  <si>
    <t>RT @TrumpsBlonde: A thousand years from now, school children will study this tweet.  Trump basically calls Kim a Manlet on Twitter, then Ki…</t>
  </si>
  <si>
    <t>RT @AnnaApp91838450: @jerseygirl2you 🙏🇺🇸💝 https://t.co/T16ge6RuQt</t>
  </si>
  <si>
    <t>RT @tomwcleary: Tammie Jo Shults, pictured left, was the pilot of Southwest Flight 1380 when an engine failed mid-air. She is being hailed…</t>
  </si>
  <si>
    <t>RT @GitSmarte: Praise God-Trump says North Korea, South Korea have his 'blessing' to try ending decades-long war
https://t.co/0NRiEA5X2b</t>
  </si>
  <si>
    <t>RT @KatTheHammer1: 🎉💯🎉💯🎉💯🎉💯🎉💯
PLEASE HELP MY FRIEND GET TO 60K FOLLOWERS! SHE'S SO CLOSE!! 
👉 @RealWolfAmerica 👈
🔴SHE'S #MAGA 💯
🔴 SUPER…</t>
  </si>
  <si>
    <t>RT @JDugudichi: Follow back all patriots
#Trumpville
@JDugudichi
@caramia928
@hooter009
@suprdupe
@MaryanncrumCrum
@V22_USMC
@NotBuyingIt34…</t>
  </si>
  <si>
    <t>RT @PressSec: .@POTUS meets with Prime Minister of Japan @AbeShinzo today at    Mar-a-lago to discuss N. Korea and trade. https://t.co/PeyW…</t>
  </si>
  <si>
    <t>RT @LVNancy: While #Fakenews focuses all attention on #WitchHunt
▪️#POTUS meets with #Japan's PM today
▪️#NorthKorea and #southkorea are…</t>
  </si>
  <si>
    <t>RT @MediaShrink: @TheLeadCNN @BillKristol #Deepstate Mole Bill Kristol Screaming Impeachment @CNN ! #Obama’s #Deepstate Regime &amp;amp; Leftover M…</t>
  </si>
  <si>
    <t>RT @trscoop: WATCH: Dana Loesch mocks Keith Ellison’s ridiculous comments on why people are dying… https://t.co/XH0JTJovKt https://t.co/xEq…</t>
  </si>
  <si>
    <t>Lots of Prayers for Your Son and Yourself Antonio! #MAGA https://t.co/qatpDAuhGD</t>
  </si>
  <si>
    <t>RT @The2ndA: #MAGA
#VETERAN
#TRUMPtrain
Car #3 of 3
@Pietrinfe1James 
@raidermedic93  
@RevJoeASondrup  
@RustyBradley74 
@ScottyMac2970…</t>
  </si>
  <si>
    <t>RT @Twisted_Texan: 🎉A YUGE Congratulations to an awesome Patriot @Smartassy4now for hitting 14k followers! 👏👏👏 Especially after losing her…</t>
  </si>
  <si>
    <t>RT @tomwcleary: Passengers praise "amazing," "incredible," Southwest Airlines Flight 1380 pilot Tammie Jo Shults after she safely lands the…</t>
  </si>
  <si>
    <t>RT @TrumpsBlonde: Trump: If Dems Get Back in Power, They’re Going to Raise Your Taxes 'Way Up High' .  #Patriots we need a CALL TO ACTION!…</t>
  </si>
  <si>
    <t>RT @LisaSmith4680: Breaking news: Rod the weasel Rosenstein has MISSED the deadline &amp;amp; is now asking for ANOTHER extention in giving @DevinN…</t>
  </si>
  <si>
    <t>RT @Stump_for_Trump: Thank you President @realDonaldTrump! #PromisesDelivered #TaxDay https://t.co/wvMVPBZdte</t>
  </si>
  <si>
    <t>RT @minnman47: https://t.co/EK2I5bAoSV</t>
  </si>
  <si>
    <t>RT @DineshDSouza: Despite? Or because? Fox may now be able to attract more advertising at higher rates https://t.co/lwyhaG3VNS</t>
  </si>
  <si>
    <t>RT @Boyd_2650: 🔴⚪️🔵Hello Patriots &amp;amp; Vets!🔴⚪️🔵If you haven’t followed Gretchen @codeofvets yet, you need to do so TODAY! She is working tire…</t>
  </si>
  <si>
    <t>RT @IvanTrumpovic1: Identical twins? https://t.co/e2pImOuanC</t>
  </si>
  <si>
    <t>RT @vickibazter: https://t.co/kSxagXPQL6</t>
  </si>
  <si>
    <t>RT @martindorman855: Double Standard: Hillary lies through her teeth pay no price but Flynn attacked ferociously  https://t.co/X5HcyXbNAf</t>
  </si>
  <si>
    <t>RT @MagaApplePie: 🤔 How many bills did McCain or other GOP Senators miss due to ABSENCES⁉️
🤔 Shouldn’t there be SUBSTITUTES filling in for…</t>
  </si>
  <si>
    <t>RT @TobieMcG: We need an AG that is ready to start prosecuting all these Democratic criminals. 
I used to believe @jeffsessions was workin…</t>
  </si>
  <si>
    <t>RT @drawandstrike: Once everything is exposed, the full OIG report has come out, and entire plot is laid bare, do you know what's going to…</t>
  </si>
  <si>
    <t>RT @Thomas1774Paine: Founder &amp;amp; CEO of Sex-Trafficking Site https://t.co/nOgnY9CJsC Worked For FBI; Robert Mueller Honored Convicted Human T…</t>
  </si>
  <si>
    <t>RT @Mike_Press19: Keanu Reeves “For Me Trump Is The Symbol Of A Successful Man And A Role Model For Every Young American &amp;lt; America Fans htt…</t>
  </si>
  <si>
    <t>RT @RealMAGASteve: Mending a fractured America can only be done by using MAGA Glue‼️ https://t.co/QY0bGa6MEx</t>
  </si>
  <si>
    <t>RT @DeplorableLL: @Chrissygreen12 #soros #mccain 🌪❤️🇺🇸 https://t.co/TgUm5PogTk</t>
  </si>
  <si>
    <t>RT @skramerbyu_82: 🇺🇸There are MILLIONS of AMERICANS...in California!🇺🇸Who are fighting to #MakeCaliforniaGoldenAgain 
We can do this‼️Sup…</t>
  </si>
  <si>
    <t>RT @FriendlyJMC: I'm ready to meet in DC and march on Congress' Steps to:
Show support for Trump
Voice ending this expensive #WitchHunt
Voi…</t>
  </si>
  <si>
    <t>RT @LVNancy: Unemployment: 📉
Labor Participation: 📈
Wages: 📈
Welfare:📉
POTUS Approval: 📈
Dems Midterm Prospects: 😥
#LyingComey: 🤡
#FakeNews…</t>
  </si>
  <si>
    <t>RT @AnnaApp91838450: https://t.co/7XJPjtoF5g
PATRIOTS💯UNITED/LEFT WING NUT CASES HAVE YOUR PROTEST 
BRING IT ON💥WHEN YOU FINISH ACTING LIKE…</t>
  </si>
  <si>
    <t>RT @ReneeCarrollAZ: #MondayMorning
☕Good Morning Patriots☕
"Trust in the Lord with all thine heart; and lean not unto thine own understand…</t>
  </si>
  <si>
    <t>RT @_Last_1_Left_: @MagaApplePie
@FransiscaMangi4
@jimlibertarian
@Tia6sc
@Farberyanki
@GeorgiaDirtRoad
@Truthseeker126
@IsraelUSAforevr
@D…</t>
  </si>
  <si>
    <t>RT @ArtSnow12: @Partisangirl @koreapresidency  https://t.co/Wx1CeCRCAZ</t>
  </si>
  <si>
    <t>RT @jim_zita: Hmmm.... https://t.co/7Gl6zBry7k</t>
  </si>
  <si>
    <t>RT @RealJamesWoods: “Who does your hair...?” https://t.co/zylkvjDTUb</t>
  </si>
  <si>
    <t>RT @HammUSMCretired: @tsusmc @vet_zimmerman @krisp__y @DennisKulpa @truckinwithnorm @Myinfo75008888 @Corp125Vet @DARgirl92 @JohnWUSMC  http…</t>
  </si>
  <si>
    <t>RT @codeofvets: Share this fierce American Hero @SykesforSenate LIGHT SOCIAL MEDIA! Donate! Share! Vote! Courtland Sykes-MO Senate candidat…</t>
  </si>
  <si>
    <t>RT @RealMattCouch: Please Retweet and Share the Snot out of this Folks! 
Get the Truth out!! 
#SethRich
#HisNameWasSethRich https://t.co/…</t>
  </si>
  <si>
    <t>RT @DanCovfefe1: @thebradfordfile Let’s start with the Clinton Foundation!
👉🏻 Follow The Money 💰 
#ObamaGate #LockHerUp https://t.co/N3iU…</t>
  </si>
  <si>
    <t>RT @KatTheHammer1: Umm ok I'll just leave this here! 
And say the left really has no platform! 
They have zero leadership and are more co…</t>
  </si>
  <si>
    <t>RT @JohnnyEAwesome: ☮️🐱 #MotivationMonday Some people just stand out, are you one of them ? https://t.co/89ihTXWdsR</t>
  </si>
  <si>
    <t>RT @LupusResearch: Everyone could use a little extra motivation, especially on Monday! #MotivationMonday https://t.co/B701740vll</t>
  </si>
  <si>
    <t>RT @_OneNewMan: #EL-ELYON! Is Using @realDonaldTrump To Fulfill The Prophesy! #Isaiah 17v1{KJV} “The Burden Of Damascus! Behold, Damascus I…</t>
  </si>
  <si>
    <t>RT @DrMartyFox: It Sounds Like #Comey Got A Message From The Real #MobBoss 
SHE Made Him An Offer He Couldn't Refuse 
I Watched The Pathe…</t>
  </si>
  <si>
    <t>RT @MarcGriff89: THE WAIT IS ALMOST OVER!! BEHIND BARS IS WHERE BARRY BELONGS!! 🇺🇸 #MAGA https://t.co/5UKF5Gw2b4</t>
  </si>
  <si>
    <t>RT @DallasIrey: #Trumpville
❦@GenFlynn 🇺🇸
❦@thedeziner
❦@jeffc1959
❦@NevadaElJefe
❦@DallasIrey
❦@Bushmaster517
❦@JackCarsrud
❦@BFISA
❦@ProA…</t>
  </si>
  <si>
    <t>RT @PolyHap: @Corp125Vet
@AmericanAtitude
@Bessisayshi
@bronson69
@BrooksMonicaS
@BrotherVet
@consmover
@Cowgirls4Trump
@Cruz_Crew125
@darh…</t>
  </si>
  <si>
    <t>RT @MarkDice: Liberals leaped to conclusions about Sean Hannity and Michael Cohen, then got smacked down by the facts (again) 😄  Liberals a…</t>
  </si>
  <si>
    <t>RT @Patriotic_Va: Rod Rosenstein you started this sham w Mueller based on a document you knew was based on fiction. How long before you do…</t>
  </si>
  <si>
    <t>RT @Dawn_DeMore1: .@GenFlynn 
Good Morning Patriots 🇺🇸
Stay Strong, Stay United 🗽
We Are One Nation Under GOD🇺🇸
God Bless America 🇺🇸
God…</t>
  </si>
  <si>
    <t>RT @DallasIrey: #Trumpville
❦@GenFlynn 🇺🇸
❦@jghall6
❦@blkvette
❦@superdonkeyusa 
❦@DallasIrey
❦@retiredsoldier9
❦@robbear49
❦@AmericanLaoch…</t>
  </si>
  <si>
    <t>RT @KatiePavlich: Rest in peace, Gunny. https://t.co/XFY0J7C0Y0</t>
  </si>
  <si>
    <t>RT @drichardson6619: #TarmacMeeting
#TheGreatAwakening
@OANN @FoxNews @seanhannity @JudgeJeanine @Judgenap @GreggJarrett  @GrahamLedger @PO…</t>
  </si>
  <si>
    <t>RT @KimWelzenbach: Boomerang! Since Left's Boycott Began, Ingraham Viewership Up 20% https://t.co/fg69ayN4Gb</t>
  </si>
  <si>
    <t>RT @bronxhoops2033: @Sjnel77Jane @RealJamesWoods And a Bobblehead to boot. https://t.co/vsZRBhKO9c</t>
  </si>
  <si>
    <t>RT @RealJamesWoods: I admire that she doesn’t hide her bias. Clearly she’s entitled to her own political choices, but did the political fer…</t>
  </si>
  <si>
    <t>RT @DiamondandSilk: It's so sad that the Judiciary System is not protecting people's rights.  All the American people see is a Witch-Hunt p…</t>
  </si>
  <si>
    <t>RT @MarcGriff89: COME NOVEMBER WE WILL REMEMBER!! 🇺🇸🗳 #MAGA https://t.co/XRVO9ihyBI</t>
  </si>
  <si>
    <t>RT @gr8tjude: Exactly! Comey is full of it!
#ComeyBook
#LyingComey 
Rip R. Lee Ermey🦅
Spot on @GrrrGraphics https://t.co/gaEUoVpXdi</t>
  </si>
  <si>
    <t>RT @jerome_corsi: I just loaded today's #Qanon DECODE on my YouTube Channel (jrlcorsi) April 16 Dr. Jerome Corsi Decodes Latest QANON Posts…</t>
  </si>
  <si>
    <t>This book needs to be read by every Patriot in America! Order it today! https://t.co/f132mtIeap</t>
  </si>
  <si>
    <t>RT @jerome_corsi: Rep Lee Zeldin (R-NY) to Hold Special Order on House Floor Tonight Detailing Case For Second Special Counsel to Investiga…</t>
  </si>
  <si>
    <t>RT @SurfPHX: 🇺🇸 ‘Full Metal Jacket' actor 
R. Lee Ermey dies at age 74.
🇺🇸 #TruePatriot
🇺🇸 #SemperFi
🇺🇸 #Gunny 
🇺🇸 #RestInPeace https://t.…</t>
  </si>
  <si>
    <t>RT @Yotsublast: @Trumperland @G1rly_Tattoo3d @redpillrekt @Zola1611 @DanCovfefe1 @PoliticallyRYT @skb_sara @IWillRedPillU @Shawtypepelina @…</t>
  </si>
  <si>
    <t>RT @RNRKentucky: "Melania is my rock and foundation, and I wouldn’t be the man I am today without her by my side. I’m so proud of her accom…</t>
  </si>
  <si>
    <t>RT @MikeTokes: WOW: Video shows @jimmykimmel tricking a woman into looking through a viewer while he snuck behind her and made innapproate…</t>
  </si>
  <si>
    <t>RT @AnnaSilPrad: GIVING THANKS 🙏
FORGET THEIR ATTACKS AND DECEIT BECAUSE THEY ARE NOT WITHOUT ( SIN TOO ) MR PRESIDENT KEEP PUSHING, KEEP…</t>
  </si>
  <si>
    <t>RT @_The_Watchers_: #QAnon #GreatAwakening #MAGA #TrustThePlan #EndTheFed #photo @POTUS @realDonaldTrump https://t.co/EYcAVJKPBb</t>
  </si>
  <si>
    <t>RT @brutalistPress: He’s right you know! https://t.co/RFcihYC2HK https://t.co/6oruOC4gpU</t>
  </si>
  <si>
    <t>RT @brutalistPress: An American Legend, Hero, and Icon! Fair Winds and Following Seas! https://t.co/BRrcfHZXMZ https://t.co/OwWlGgUQ5A</t>
  </si>
  <si>
    <t>RT @KMGGaryde: Good Night Patriots!
Fly with the Eagles 🦅🇺🇸 https://t.co/Y3DCAEGjZY</t>
  </si>
  <si>
    <t>I have 489 new followers from USA, India, UK., and more last week. See https://t.co/Z5SFmgjj3M https://t.co/8mmNedrcHn</t>
  </si>
  <si>
    <t>RT @Don_Vito_08: BREAKING NEWS: NYC tourist threatened at knifepoint for wearing Trump hat,  police say. #Democrats are modern day Nazis. @…</t>
  </si>
  <si>
    <t>Hey I'm a Patriot add me to your list @stevemotley #MAGA https://t.co/EVxBiik3AS</t>
  </si>
  <si>
    <t>RT @IvanTrumpovic1: Can I get an Amen? https://t.co/B0rGRzf74N</t>
  </si>
  <si>
    <t>RT @Lrihendry: Holy shit this airstrike is bringing out the dumbass in people! You’re not the president, you don’t get to make the decision…</t>
  </si>
  <si>
    <t>RT @Jamierodr10: For all the Liberals crying about our Airstrikes last night.(No Casualties). Here’s a Obama Fact for you. Obama approved 2…</t>
  </si>
  <si>
    <t>RT @IWillRedPillU: Canadian Prime Minister Justin Trudeau Supports Syria Strike by Coalition of #UnitedStates, #France &amp;amp; #UnitedKingdom 
#Q…</t>
  </si>
  <si>
    <t>RT @RealMattCouch: Planned Parenthood Murders 900 babies PER DAY in the United States.. 
Meanwhile Never Trumpers and brain dead rejects a…</t>
  </si>
  <si>
    <t>RT @hrtablaze: I live in the heart of the resistance.  These people are like rabid dogs,  foaming at the mouth. They hate your guns, they h…</t>
  </si>
  <si>
    <t>RT @FLOTUS: 1/2: Thank you to the strong &amp;amp; courageous members of our U.S. military all over the world! Your continued contributions &amp;amp; commi…</t>
  </si>
  <si>
    <t>RT @marklevinshow: Congratulations to the great United States military! And well done to our Commander-in-Chief! https://t.co/90dYp5FHsE</t>
  </si>
  <si>
    <t>RT @PhilMcCrackin44: When the @Comey interview with George “Clinton” Stephanopoulos airs this evening, how will we all know exactly when he…</t>
  </si>
  <si>
    <t>RT @RealJamesWoods: Watching these two meatballs yammering away with all this bogus sincerity is like watching penguins do handstands. http…</t>
  </si>
  <si>
    <t>RT @kwilli1046: It is unbelievable! The #FakeNews media says #Trump must be hiding something if he paid Stormy Daniels $130k, but Obama pai…</t>
  </si>
  <si>
    <t>RT @Trumpism_45: @realDonaldTrump America loves Trump because Trump loves America, 75% say DRAIN THE DEEP STATE! https://t.co/IoAl6kK0wQ</t>
  </si>
  <si>
    <t>RT @gr8tjude: Glad you’re retiring! 
Paul Ryan: Comey a Man of Integrity, ‘As Far as I Know’ 
| Breitbart https://t.co/z8Xq1tOo8L via @Br…</t>
  </si>
  <si>
    <t>RT @JackPosobiec: Comey is in severe need of a good counselor or a life coach for his mental breakdown after he lost his job. Sad that ABC…</t>
  </si>
  <si>
    <t>RT @realDonaldTrump: Just hit 50% in the Rasmussen Poll, much higher than President Obama at same point. With all of the phony stories and…</t>
  </si>
  <si>
    <t>RT @RealMattCouch: In case you want to see what a nut job looks like, here you go... One flew over the Cuckoos nest... or in it.. https://t…</t>
  </si>
  <si>
    <t>RT @KatTheHammer1: Actual photograph of Abraham Lincoln in his casket. Edwin Stanton had the negatives destroyed and were thus lost to hist…</t>
  </si>
  <si>
    <t>RT @realDonaldTrump: Attorney Client privilege is now a thing of the past. I have many (too many!) lawyers and they are probably wondering…</t>
  </si>
  <si>
    <t>RT @JacobAWohl: Is Mueller ever going to arrest the 13 Russians he indicted, or is he too busy investigating playmates and pornstars?</t>
  </si>
  <si>
    <t>RT @LadyRedStorm: THIS is WHY #Ryan NEEDS to leave NOW!Bastard #PaulRyan to Push #DACA Amnesty for Millions of #IllegalAliens Before Leavin…</t>
  </si>
  <si>
    <t>RT @ArizonaKayte: .@marklevinshow: ‘Sleazeball’ #Comey’s book is ‘crap’ and the Left knows it
“There are no bombshells in this book.”
#Co…</t>
  </si>
  <si>
    <t>RT @realDonaldTrump: Comey throws AG Lynch “under the bus!” Why can’t we all find out what happened on the tarmac in the back of the plane…</t>
  </si>
  <si>
    <t>RT @RealJamesWoods: “The Swamp” explained in one short video. https://t.co/6AfHJaFLks</t>
  </si>
  <si>
    <t>RT @FoxNews: .@Franklin_Graham: “I just appreciate that we have a man in office that understands the power of prayer and the need for praye…</t>
  </si>
  <si>
    <t>RT @realDonaldTrump: The Syrian raid was so perfectly carried out, with such precision, that the only way the Fake News Media could demean…</t>
  </si>
  <si>
    <t>RT @KMGGaryde: Never leave POTUS EVER. The alternative is what we hear from the Democrats &amp;amp; #Fake Media every day. We are "Locked &amp;amp; Loaded"…</t>
  </si>
  <si>
    <t>RT @realDonaldTrump: Slippery James Comey, a man who always ends up badly and out of whack (he is not smart!), will go down as the WORST FB…</t>
  </si>
  <si>
    <t>RT @FoxNews: .@THEHermanCain: "This is not a trigger-happy president. He doesn't want to pull the trigger if he doesn't have to. But second…</t>
  </si>
  <si>
    <t>RT @carrieksada: For those still thinking McCabe, Comey, et al, were honest:
DOJ IG releases 💥explosive💥 report that led to 
firing of ex-…</t>
  </si>
  <si>
    <t>RT @polishprincessh: RESPECT and HONOR.
Here is a picture of a "Real Man" who can stand with Pride for himself and his country. May God Ble…</t>
  </si>
  <si>
    <t>RT @GartrellLinda: Just a reminder of why #Zuck wasn't even put under oath.
FACEBOOK Gave LARGE SUMS Of Money To 85% Of House Members Who Q…</t>
  </si>
  <si>
    <t>RT @jerome_corsi: Rosenstein Reportedly Tells Friends He's Ready To Be Fired | Zero Hedge https://t.co/xqfHznywHy ROSENSTEIN = another DEEP…</t>
  </si>
  <si>
    <t>RT @realDonaldTrump: DOJ just issued the McCabe report - which is a total disaster. He LIED! LIED! LIED! McCabe was totally controlled by C…</t>
  </si>
  <si>
    <t>RT @thebradfordfile: Dear Andrew McCabe:
Happy IG Report!
Happy IG Report!
Happy IG Report!
Happy IG Report!
Happy IG Report!
Happy IG Repo…</t>
  </si>
  <si>
    <t>RT @_The_Watchers_: Trump Overrules Sessions: Promises To Protect States' Pot Legalization Rights | Zero Hedge https://t.co/VXOgbqcheb</t>
  </si>
  <si>
    <t>RT @JDugudichi: #MAGA follow all patriots for an instant follow back all.
@JDugudichi
@DsnctdFmAmerica
@moasaad1
@modoglover
@paulsmathers…</t>
  </si>
  <si>
    <t>RT @goodmedicine4us: https://t.co/8pGZpQQOym</t>
  </si>
  <si>
    <t>RT @CSterlingWalker: That face you make when you hear from "Q" that Hillary's #HRCVideo is dropping soon.  
#WWG1WGAA #TheStorm #RedPill #…</t>
  </si>
  <si>
    <t>RT @BrotherVet: @Jim_Jordan
[&amp;lt;-  For Speaker of the House -&amp;gt;]
#JimJordan4speakeroftheHouse https://t.co/5spdpCnWz3</t>
  </si>
  <si>
    <t>RT @Rajarajan941: OMG. 🆘🆘 OMG siria (Syria), Syria attack, #Damasco  @DovePresents https://t.co/KthCcXM0EQ</t>
  </si>
  <si>
    <t>RT @NyeSheriff: Community Announcement — Long time resident, and radio show host, Art Bell died today at 72 years old in his home in Pahrum…</t>
  </si>
  <si>
    <t>RT @reviewjournal: BREAKING: Longtime radio host Art Bell has died at his Pahrump home, the Nye County Sheriff’s Office said
https://t.co/q…</t>
  </si>
  <si>
    <t>RT @ulad1952: https://t.co/xUyXxfTqBo</t>
  </si>
  <si>
    <t>RT @TruthMatters13: 14 All aboard!!! #RogueDeplorables #TrumpTrain #MAGA
@RoaroftheLion8
@Dr_Kaco
@Dazie13
@aligiarc
@Wildmanwings
@Pickles…</t>
  </si>
  <si>
    <t>RT @The_Trump_Train: JUST IN: The Pentagon is reporting there are ZERO American casualties.</t>
  </si>
  <si>
    <t>RT @TruthMatters13: 15 Get on board as fast as you can #RogueDeplorables #KAG
@SultryAssassin1
@girl4_trump
@busylizzie48
@joesmomlover
@Br…</t>
  </si>
  <si>
    <t>RT @CB618444: 🖐I'm not listening to the noise.
✔️I trust his judgement
✔️I trust his decision making
✔️I trust his love for #America
✔️I t…</t>
  </si>
  <si>
    <t>RT @MrsESK: DiamondandSilk: RT realDonaldTrump: We are bringing back our factories, we are bringing back our jobs, and we are bringing back…</t>
  </si>
  <si>
    <t>RT @RedPillWorld: Matthew 21:13 - “And said unto them, It is written, My house shall be called the house of prayer; but ye have made it a d…</t>
  </si>
  <si>
    <t>RT @TruthMatters13: 18 This train won't stop until we get our nation back #RogueDeplorables #MAGA #TrumpTrainUSA
@Melanie22933709
@zooiekat…</t>
  </si>
  <si>
    <t>RT @GartrellLinda: With a heavy heart military strikes Syria over their use of chemical weapons
None of us want war, but if the world hadn'…</t>
  </si>
  <si>
    <t>RT @seanhannity: The cold war heats up https://t.co/i5IaEzQv9I</t>
  </si>
  <si>
    <t>RT @StefanMolyneux: It is a tragic sign of the times that the mainstream media was far more upset about a trade war with China than a hot w…</t>
  </si>
  <si>
    <t>RT @mike_Zollo: Devin Nunes tells Laura Ingraham they have a plan to hold in contempt and to impeach the current FBI Director, Christopher…</t>
  </si>
  <si>
    <t>RT @MeganSpringerUS: IF I GET 2,500 RETWEETS @charliekirk11 WILL COME TO MY 21ST BIRTHDAY PARTY!!!!!! 🎉🎉🎉 PLEASE HELP!! https://t.co/kvGRun…</t>
  </si>
  <si>
    <t>RT @_The_Watchers_: #QAnon #GreatAwakening #MAGA #TaxCuts #InternetBillOfRights #EndTheFed #DrainTheSwamp #photo #EnoughIsEnough @realDonal…</t>
  </si>
  <si>
    <t>RT @RealMAGASteve: Schumer Got Massive Payout from Facebook While Defending It from Trump.
No wonder Schumer is defending Facebook, they a…</t>
  </si>
  <si>
    <t>RT @LadyRedStorm: Still waiting! 
#JusticeForAll
#ThursdayMotivation https://t.co/tXZcrKS6so</t>
  </si>
  <si>
    <t>RT @ArizonaKayte: This needs a repeat tweet just because it's so freaking awesome.  
Makes me wanna go to the range.
#2A 
#2ADefenders 
#…</t>
  </si>
  <si>
    <t>RT @KMGGaryde: Good Night Patriots  Sleep tight &amp;amp; Live your life well!
#RedWaveRising🌕 https://t.co/KQ2wmSnQBW</t>
  </si>
  <si>
    <t>RT @LouDobbs: Enjoy part 2 of my interview with @realDonaldTrump's National Economic Council Director, @Larry_Kudlow. #MAGA #TrumpTrain #Am…</t>
  </si>
  <si>
    <t>RT @Trumpism_45: @realDonaldTrump  https://t.co/OQkGXd1aW6</t>
  </si>
  <si>
    <t>RT @RealMAGASteve: We've seen it over &amp;amp; over again. Many kids love President Trump and are drawn to him. They recognize he's a symbol of st…</t>
  </si>
  <si>
    <t>RT @RealMattCouch: Please RETWEET this and Stand with our Team! 
#HisNameWasSethRich https://t.co/HXDWDY0fDm</t>
  </si>
  <si>
    <t>RT @thebradfordfile: James Comey: Selling his made-up story just like his master.
#ObamaGate https://t.co/kLY3do05N0</t>
  </si>
  <si>
    <t>RT @StephenMilIer: I'm not trying to be mean to James Comey, but I hope he understands that he can't join the Democratic party until he emb…</t>
  </si>
  <si>
    <t>RT @JacobAWohl: Rosenstein's retirement is going to begin very very shortly. Stay tuned</t>
  </si>
  <si>
    <t>RT @jerome_corsi: #QAnon notes White House is preparing a strategy to UNDERMINE deep state operative Rod Rosenstein at DOJ https://t.co/dwC…</t>
  </si>
  <si>
    <t>RT @jerome_corsi: DETAIL timeline analysis by @GalacticRedPill here https://t.co/AsW0eWGum0 NOTE: I argue in KILLING THE DEEP STATE, we are…</t>
  </si>
  <si>
    <t>RT @TrumpTrainMRA4: #HappyHumpDay 
The DoNothing Congressional Banana Republic 
Continues Day Two of ShootingTheChit with 
@facebook Booste…</t>
  </si>
  <si>
    <t>RT @brutalistPress: When the Media says "We have to attack Syria", that's when you Know you Don't. https://t.co/y12IOTdHQ2 https://t.co/je1…</t>
  </si>
  <si>
    <t>RT @FoxNews: SOON: White House @PressSec to hold briefing. https://t.co/Yrl1uWgZHZ</t>
  </si>
  <si>
    <t>RT @KMGGaryde: OMG, look at that FACE.  Do you believe a word he is saying?🤥🤥🤥🤥🤥🤥 https://t.co/Atu1TqxqBN</t>
  </si>
  <si>
    <t>RT @TrumpsBlonde: I see a pattern developing ... 
#NoWarInSyria 
#NOWAR 
#NoWarWithSyria https://t.co/aDwx3IYuss</t>
  </si>
  <si>
    <t>RT @JDugudichi: They all follow back
#TrumpTrain 
#Trumpville 
Follow Them Too!
@JDugudichi
@pamelaval
@TexasLo4Ever
@joann_pruett
@Caparos…</t>
  </si>
  <si>
    <t>RT @BethanyJuno: Wednesday Words Of Wisdom:
#CodeOfPatriots 
All Patriots Must Stand Together 🇺🇸👊🏼 https://t.co/w25SVFoYKQ</t>
  </si>
  <si>
    <t>RT @GrrrGraphics: #WednesdayWisdom #MakeMAGANotWar new #BenGarrison #cartoon  
#Syria #Russia #war #FalseFlags 
read the post at https://t.…</t>
  </si>
  <si>
    <t>Boehner joins cannabis company board to push for medical use https://t.co/yCnQMw4yvM</t>
  </si>
  <si>
    <t>VIDEO: Alabama football players surround Trump in prayer after White House ceremony https://t.co/xaEefM1Ojn via @american_mirror</t>
  </si>
  <si>
    <t>Mexico’s party hotspot Cancun sees 14 murdered in 36 hours as tourist town is overrun by drug gang violence https://t.co/E4eapiyvLS</t>
  </si>
  <si>
    <t>More than 100 dead geese plunge from the sky in Idaho in ‘bizarre’ incident https://t.co/MRo03a9FIR</t>
  </si>
  <si>
    <t>RT @DiamondandSilk: Just so you know, we will always have our Presidents back. 
"Don't Get It Twisted!"
(Official White House Photo by She…</t>
  </si>
  <si>
    <t>RT @The_Trump_Train: Diamond and Silk promote conservative values and policies...
Labeled as “unsafe to the community” by Facebook
Planned…</t>
  </si>
  <si>
    <t>RT @DiamondandSilk: .@DiamondandSilk can't take it no more.  This S.ugar, H.oney, I.ce, T.ea has got to end....... https://t.co/Rti4nFZLuK</t>
  </si>
  <si>
    <t>RT @christianmillr: Such a great time being honored today at the White House! @realDonaldTrump https://t.co/GXJf9bCZxC</t>
  </si>
  <si>
    <t>RT @LindaSuhler: How low can Mueller go?  There may not be a bottom...
"Since Mueller can’t find any evidence of Russia/Trump collusion he…</t>
  </si>
  <si>
    <t>RT @_SierraWhiskee: .@DevinNunes: "We will have a plan to hold in contempt and to impeach." @IngrahamAngle: "To impeach Christopher Wray?"…</t>
  </si>
  <si>
    <t>RT @favoriteauntssi: That’s the deep state headquarters 
Facebook Has Dozens Of Former Obama And Hillary Staffers In Senior Positions | Ze…</t>
  </si>
  <si>
    <t>RT @realDonaldTrump: Very thankful for President Xi of China’s kind words on tariffs and automobile barriers...also, his enlightenment on i…</t>
  </si>
  <si>
    <t>RT @GitSmarte: Thank you, President Trump- We love you.
Kroger to hire 11,000 employees |  https://t.co/CvaDQKrDYH</t>
  </si>
  <si>
    <t>RT @codeofvets: Light up social media with this Marine Combat Veteran @ShaneTHazel GA-07! We are sending in the troops to clean up DC🇺🇸 #wi…</t>
  </si>
  <si>
    <t>RT @RealJamesWoods: When weasels collude... https://t.co/clSasGoTOi</t>
  </si>
  <si>
    <t>RT @OurVoice911: FoxNews: "I know we're working with [the special counsel]."
Mark #Zuckerberg confirms facebook has been working with spec…</t>
  </si>
  <si>
    <t>RT @TrumpsBlonde: Senator Graham quizzed Zuck over his competitors...Zuck bought one competitor Instagram...
Really no other platform is li…</t>
  </si>
  <si>
    <t>RT @KTHopkins: Join me today as I am BACK hosting @KABCRadio from 3pm-6pm with The lovely Jon Philips. Get in your car and get the radio on…</t>
  </si>
  <si>
    <t>RT @GrizzleMeister: If only the founding fathers had a crystal ball to see liberals chewing on soap, snorting condoms, &amp;amp; licking names off…</t>
  </si>
  <si>
    <t>RT @buzzman888: 🇺🇸🇺🇸 @DiamondandSilk Diamond &amp;amp; Silk: “We’re Going to Pull as Many People Off That #Democratic Plantation As We Can.” 🇺🇸🇺🇸…</t>
  </si>
  <si>
    <t>RT @NevadaJack2: Republican Sen. Rand Paul of Kentucky said the FBI crossed the line with its raid of President Donald Trump’s attorney Mic…</t>
  </si>
  <si>
    <t>RT @AJEnglish: Syria puts forces on "high-alert" amid threat of US military response following Saturday's suspected chemical weapons attack…</t>
  </si>
  <si>
    <t>RT @BolWeez: Reminder America wants to depose the only man protecting Christians in Syria. https://t.co/3PwHqfHPCK</t>
  </si>
  <si>
    <t>It is Time for #WeThePeople to Unite as Never Before! #MAGA https://t.co/QmAJRPHf9l</t>
  </si>
  <si>
    <t>RT @ABC: College senior defends provocative "graduation" photo she posted of her packing a handgun. https://t.co/kOzjXApfqj https://t.co/TE…</t>
  </si>
  <si>
    <t>Most Links to Popular Sites on Twitter Come From Bots https://t.co/cGO6p42Epi via @WIRED</t>
  </si>
  <si>
    <t>RT @junogsp5: Obamagate Throwback  Tuesday :
AG Loretta Lynch not only person to have a Tarmac Moment hers w Bill Clinton 
Moscow Mueller p…</t>
  </si>
  <si>
    <t>RT @gotspeed2burn: In the days to come, keep this in mind...🇺🇸
🔴⚪🔵
#AmericaFirst
#DrainTheSwamp
#2AShallNotBeInfringed
#MAGA
#KAG https://t…</t>
  </si>
  <si>
    <t>‘Caravan’ Tells CNN They’re All Going to America - https://t.co/H5pPZX66rh</t>
  </si>
  <si>
    <t>RUSSIA THREAT: Putin warns US ‘you are in violation of EVERYTHING’ - Washington on ALERT https://t.co/OwJUT0qoPq</t>
  </si>
  <si>
    <t>RT @MrsESK: GrrrGraphics: Your  #MondayMotivation #TinaToon #Tuesday is right around the corner! #StayTooned for more GRRRRGreat cartoons!…</t>
  </si>
  <si>
    <t>Mark Zuckerberg says the world is much more divided than he ever expected https://t.co/bCRio6cXyf via @wef</t>
  </si>
  <si>
    <t>RT @RodStryker: All in favor of...
Pardon for:
@GenFlynn✔
Indictments for:
@SenJohnMcCain❌
@DWStweets❌
#Mueller❌
#McCabe❌
#Strzok/Page❌/❌…</t>
  </si>
  <si>
    <t>RT @ThomasWictor: (1) @gallahgirl wonders if @realDonaldTrump is ever upset by the negative media coverage.
Well, here's my theory:
Trump…</t>
  </si>
  <si>
    <t>RT @thebradfordfile: Hillary's Accomplishments:
1. Uranium Sales
2. Pay to Play State
3. Obstruction of Justice 
4. Foundation Scam
5. Perj…</t>
  </si>
  <si>
    <t>RT @OurVoice911: JudicialWatch: JW Prez TomFitton: "The Awan Brothers were essentially a criminal gang who were working for Democrats on th…</t>
  </si>
  <si>
    <t>RT @SandraTXAS: Laura Ingraham is back🎉🎉💥
Hogg boycott major fail👊🏻
#MAGA https://t.co/9XbBEzR9Ua</t>
  </si>
  <si>
    <t>Twitter CEO Shares And Raves About Article Calling For Dem Victory In Second ‘Civil War’ https://t.co/AzYXu2aFl7 via @dailycaller</t>
  </si>
  <si>
    <t>https://t.co/f0lifVitIU</t>
  </si>
  <si>
    <t>https://t.co/9Uo3SWr1yl</t>
  </si>
  <si>
    <t>RT @PrincessAracel2: https://t.co/6y0QtGrubE</t>
  </si>
  <si>
    <t>RT @Mistierain: Thanks to everyone who has followed me and if I haven't followed you back, I will. Be patient with me, please. I want to fo…</t>
  </si>
  <si>
    <t>RT @mike_Zollo: So let me get this right. Mueller, who is supposed to be looking for Trump Russia collusion, sent the FBI to raid Trump’s l…</t>
  </si>
  <si>
    <t>RT @Education4Libs: Statistically speaking, you are more likely to be killed by Hillary Clinton than an AR-15.</t>
  </si>
  <si>
    <t>RT @B75434425: WHITE HOUSE ANNOUNCEMENT:
COHEN RAID-
- "DISGRACEFUL SITUATION"
- "WITCH HUNT CONSTANTLY GOING ON"
- "WHOLE NEW LEVEL OF UNF…</t>
  </si>
  <si>
    <t>RT @vannsmole: BREAKING: Petition To Boycott Jimmy Kimmel CRUSHES It’s Goal Of 50K; Hits 180K SIGNATURES!
More people watch The Simpsons t…</t>
  </si>
  <si>
    <t>RT @Lady_Vi_2U: I don't know about your areas of the Country but the Midwest is flipping fed up! https://t.co/Cg9napQ28k</t>
  </si>
  <si>
    <t>RT @Boyd_2650: https://t.co/kV6bJJpWdy🇺🇸This is totally UNACCEPTABLE! Mueller’s investigation has gone totally out of the boundaries of the…</t>
  </si>
  <si>
    <t>RT @RealMattCouch: Rosenstein got Comey Fired, and then signed the FISA warrant.. 
This little Weasel is playing both sides like a Fiddle.…</t>
  </si>
  <si>
    <t>RT @Dr_Kaco: @suprdupe @watsonlea1  https://t.co/Abfe7Lcade</t>
  </si>
  <si>
    <t>RT @The_Trump_Train: Only US citizens should vote in US elections 
Only US citizens should be able to receive government benefits 
Only US…</t>
  </si>
  <si>
    <t>RT @Barnett20Todd: Facebook could face record fines, say former FTC officials https://t.co/5IPkdr3vJb via @SFGate</t>
  </si>
  <si>
    <t>RT @nzo11: OF COURSE!!
RINO McCain, pins blame on PRESIDENT TRUMP FOR GASING OF INNOCENT CHILDREN 
#RinoMac needs to LEAVE OFFICE NOW OR…</t>
  </si>
  <si>
    <t>RT @JosieFiorda: “Erik Prince, recently outed as a participant in a C.I.A. assassination program, has gained notoriety as head of the milit…</t>
  </si>
  <si>
    <t>RT @RealJamesWoods: I predict that @facebook will be studied in future business schools as the single greatest business catastrophe in Amer…</t>
  </si>
  <si>
    <t>NASA Technology Used to Purify the Air on the International Space Station Now Available for use in your Home or Office! You've got to see this! It is truly Revolutionary! The Future of Light Technology is Here NOW! https://t.co/4itP0C9GjQ https://t.co/OeBg98RK7A</t>
  </si>
  <si>
    <t>RT @MEL2AUSA: Cavemen Hogg’s 🤔 
They didn’t last long. 
#MondayThoughts 😂 https://t.co/flWzpYbRaT</t>
  </si>
  <si>
    <t>RT @chapman43342: @DangerousIib @JudyRademacher4 @davidhogg111  https://t.co/NTGZyTlqhX</t>
  </si>
  <si>
    <t>RT @almostjingo: @SenJohnMcCain @POTUS Who’s side are you on? 🤷🏼‍♀️ https://t.co/BQ0OoRXxO3</t>
  </si>
  <si>
    <t>RT @RealJamesWoods: “In the most ridiculous and egregious example of overreach, the state legislature says it will arrest any waiter who gi…</t>
  </si>
  <si>
    <t>RT @DLoesch: EXCLUSIVE: My full interview with a MSD teacher who explains how the school ignored a security risk assessment performed two m…</t>
  </si>
  <si>
    <t>RT @TishaWa8: @realDonaldTrump  https://t.co/9R4BaZDoLN</t>
  </si>
  <si>
    <t>RT @RealMattCouch: #SethRich https://t.co/JmQ9hADAQR</t>
  </si>
  <si>
    <t>RT @Boyd_2650: 🇺🇸PATRIOTS🇺🇸NEVER FORGET🇺🇸Our nation’s future is in YOUR hands and in YOUR votes!🔴⚪️🔵President Trump’s accomplishments hang…</t>
  </si>
  <si>
    <t>RT @PhilMcCrackin44: At this point, I think it’s safe to say, that President Trump has done more for the African American Community in 15 m…</t>
  </si>
  <si>
    <t>RT @NevadaJack2: Sen. John McCain stretched logic and reason to its outer limits on Sunday to claim that the chemical gas attack launched b…</t>
  </si>
  <si>
    <t>RT @gr8tjude: Be interesting to watch.... https://t.co/e5jx6Pwmzl</t>
  </si>
  <si>
    <t>RT @TheDascoGroup: https://t.co/ntcLbbyRQV</t>
  </si>
  <si>
    <t>RT @NevadaJack2: This is social media today.  Are there any good alternatives? https://t.co/AT4HgPJ513</t>
  </si>
  <si>
    <t>RT @Thomas1774Paine: Dem. Insider Wants Out, Shares Shock Stories of Perverse Conferences, Colleagues https://t.co/ggIOmRDf9M</t>
  </si>
  <si>
    <t>RT @MAGANinaJo: There’s a new sheriff in town &amp;amp; we are taking back Congress one election at a time! Are you in to win? Elect people to Cong…</t>
  </si>
  <si>
    <t>RT @intheMatrixxx: #RETWEEET if you want TRAITOR @SenJohnMcCain to TURN HIMSELF IN.  Stop lying. THIS 🇺🇸 NOT THIS 🇸🇾! We see you. 😡
We do…</t>
  </si>
  <si>
    <t>RT @President1Trump: #BREAKING: North Korea tells the Trump administration they are ready to discuss Denuclearization. Our @POTUS is amazin…</t>
  </si>
  <si>
    <t>@seanhannity John McCain is the Biggest Traitor on the Planet! I'm a 22 year retired Marine who knows the truth about him! He was also the main person behind the creation of ISIS! #MAGA https://t.co/fXLOQvgL5B</t>
  </si>
  <si>
    <t>RT @Itsworldpost: Floating Lanterns, Honolulu, Hawaii. https://t.co/aUXGocVqbP</t>
  </si>
  <si>
    <t>RT @TrumpTrainMRA4: #HeadsWillRoll 
While @POTUS Trump’s Draining 50+ Years of a 
Corrupt Constitutional Republic Federal Government
@realD…</t>
  </si>
  <si>
    <t>RT @drscott_atlanta: #FaceBook determined @DiamondandSilk are UNSAFE &amp;amp; limited their page🙄
That’s right, #MarkZuckerberg determined “2 bla…</t>
  </si>
  <si>
    <t>RT @AnnaApp91838450: https://t.co/ddtYkVd5pJ
MICHELLE WHEN YOU WERE IN WHITEHOUSE DIDN'T SERVE CARROTS WITH ALL THE DAM PARTIES YOU HOSTED…</t>
  </si>
  <si>
    <t>RT @inittowinit007: 🔥FALSE FLAGS CEASE NOW!
 🇺🇸POTUS🇺🇸KNOWS 🇺🇸TRUTH
  🙏🇺🇸SAVING 🇺🇸OUR 🇺🇸USA🙏
     🔥MSM LYING TO YOU🔥
.@realDonaldTrump  .@P…</t>
  </si>
  <si>
    <t>RT @w_terrence: Living, Laughing, Drinking🍷 and Eating. I had a blast today with these beautiful young ladies. https://t.co/QvQzNY42VL</t>
  </si>
  <si>
    <t>RT @pinkk9lover: Guess what you pansy little bi#~he’s  we keep #2A , we keep our #Constitution and you get to vote. Howls that? https://t.c…</t>
  </si>
  <si>
    <t>RT @Trumpism_45: I'm getting a lot of hate here Patriots. If you hate lyin' Lefists get a copy NOW❗
#MAGA
Click to get your copy of my po…</t>
  </si>
  <si>
    <t>John McCain is guilty of High Treason! #LockHimUp https://t.co/xcj41evg0I</t>
  </si>
  <si>
    <t>RT @GrizzleMeister: Certain lunatics on the left have recently suggested with slobbered rhetoric that a new Civil War may be brewing betwee…</t>
  </si>
  <si>
    <t>RT @ablessedpatriot: "Algorithms" As with all things there are good and bad...The question that arises in my mind; "what is in the hearts o…</t>
  </si>
  <si>
    <t>RT @prayingmedic: 126) #Qanon said it's not a coincidence that a chemical attack came in response to the Presidents announcement that he wa…</t>
  </si>
  <si>
    <t>RT @my2006bmw: Hey Republicans it's easier to blame the democrats resting on the fact that hey cheat ! How about a little blame on you, who…</t>
  </si>
  <si>
    <t>RT @BrotherVet: Impeach Rosenstein and 
Appoint  @SecNielsen 
Just do it . https://t.co/iBfqw1TZBE</t>
  </si>
  <si>
    <t>RT @Mike_Press19: Kevin Bacon ‘We Are Blessed To Have Donald Trump As Our President’ &amp;lt; America Fans https://t.co/lw61HoMA47 via @Mike_Press…</t>
  </si>
  <si>
    <t>RT @CrystalClear: @UsaWander @paul_serran @dekdarion  https://t.co/zLFWXep4kg</t>
  </si>
  <si>
    <t>RT @Derekadrienne: https://t.co/ebAgEoxcD9</t>
  </si>
  <si>
    <t>RT @carbon2wheeler: #QAnon #Syria #Israel #FalseFlag #Jesuits #DeepState #WWG1WGA #ww3 #FollowTheWhiteRabbit #MiddleEast #Russia https://t.…</t>
  </si>
  <si>
    <t>RT @MrsESK: The Phantom is now one of my #MAGA followers! Thanks! https://t.co/u74vStHvbI 3063 https://t.co/u74vStHvbI https://t.co/zk4r0ZI…</t>
  </si>
  <si>
    <t>RT @Smoochie6005: https://t.co/Mc329p6saY</t>
  </si>
  <si>
    <t>Japan activates first marines since WW2 to bolster defenses against China https://t.co/vhnI6hEO3e via @YahooNews</t>
  </si>
  <si>
    <t>LSD making comeback as professionals drop ACID before work https://t.co/Hvfp8CxW4O</t>
  </si>
  <si>
    <t>Responding to Trump's call, Mattis authorizes 4,000 National Guard troops for U.S.-Mexico border https://t.co/mnkTsYFRWT</t>
  </si>
  <si>
    <t>Russia says Syria gas attack reports 'fabricated' https://t.co/qKQ9piMx2Y via @YahooCanada</t>
  </si>
  <si>
    <t>RT @imlisaharris: "Massive Explosions" Heard Above Syria Amid Reports Of Fighter Jets Airstrikes; Pentagon Denies | Zero Hedge https://t.co…</t>
  </si>
  <si>
    <t>RT @VFL2013: Can't Wait To Hear Our Girl Again Tomorrow Night!!! #LauraIngram Rt If You Agree!!! https://t.co/5Esm9NaUbw</t>
  </si>
  <si>
    <t>RT @FoxNews: .@DiamondandSilk: "If a privately owned bakery has to go against their Christian values to bake a cake, then Mark Zuckerberg i…</t>
  </si>
  <si>
    <t>RT @SandraTXAS: Planned parenthood said we need a Disney princess who had an abortion 
Actually what we need is a Disney princess who open…</t>
  </si>
  <si>
    <t>RT @The_Rain_Makers: NEW HQ&amp;lt; message me for location
ALL patriots invited
Storm Rages again, Wednesday, Get ready
Follow #TheRainMakers…</t>
  </si>
  <si>
    <t>Updates on Syria Strike: What We Know So Far https://t.co/SP6zyqQgQu #news</t>
  </si>
  <si>
    <t>RT @RodStryker: If you aren't Liberal by the time you're 20...
You have no heart.
If you aren't Conservative by the time you're 30...
Yo…</t>
  </si>
  <si>
    <t>I have 649 new followers from USA, Canada, India, and more last week. See https://t.co/Z5SFmgjj3M https://t.co/krPG55Tskk</t>
  </si>
  <si>
    <t>The military's run of fatal accidents: Coincidence, or crisis? https://t.co/5O51yoQR4q</t>
  </si>
  <si>
    <t>Robots Replace Soldiers in First Breaching Exercise of its Kind https://t.co/oFUeBNczt2 via @Militarydotcom</t>
  </si>
  <si>
    <t>‘Unsafe to the community’: Facebook takes on pro-Trump Diamond and Silk https://t.co/gjLBOzrkPd via @american_mirror</t>
  </si>
  <si>
    <t>RT @CaliDeplorable: Yes🔥🔥🔥🔥🔥🔥
        I’m with him👇🏽👇🏽
                               #SundayMorning https://t.co/tDP8kcUfb8</t>
  </si>
  <si>
    <t>RT @GrizzleMeister: If you believe otherwise, then you’re an Idiot. https://t.co/fwgvyr0aAp</t>
  </si>
  <si>
    <t>RT @TrumpTrainMRA4: 🇺🇸@seanhannity🇺🇸
🍼@jimmykimmel 🍼
#HarveySwineSteinJr aka Jimmy Kimmel
has ATTACKED OUR @POTUS Trump, OUR 
@FLOTUS Trump…</t>
  </si>
  <si>
    <t>RT @carrieksada: Jimmy you’re the pervert. Yes we all saw you playing pocket pool 🎱 out on the strip while interviewing women. You even mad…</t>
  </si>
  <si>
    <t>RT @LucySullivan888: https://t.co/qc8NVQw8DY</t>
  </si>
  <si>
    <t>RT @gr8tjude: Awesome 👏👏
Boycott Kimmel Petition Reaches 50k Signatures After ABC Host Mocked Melania Trump's Accent
 https://t.co/ZY3JV2…</t>
  </si>
  <si>
    <t>RT @offblacks4trump: I am a 13 year old black male. 
I come from a family of regular hardworking Americans.
The media tells me that I shoul…</t>
  </si>
  <si>
    <t>RT @LauraLaura1650: And there is more!!!  QQQQ  
@LanaAshford1 @ma_liky_ @MaggieM93307411 @CeruleanTango @Almond3George @MakeUSA_Great  @Gr…</t>
  </si>
  <si>
    <t>RT @SlicksTweetz: Hi, I'm #BeverlyEckert my husband was killed during the 9/11 attacks.  I rejected the $1.8 million from the government an…</t>
  </si>
  <si>
    <t>https://t.co/7fgnN0NXkR https://t.co/3FYHKoRpfu</t>
  </si>
  <si>
    <t>RT @supersteak: Illegal Immigration: Lies, Damned Lies, and Statistics. 
https://t.co/vaNYKbEkUP</t>
  </si>
  <si>
    <t>RT @ArizonaKayte: #Arizona, #Texas announce plans to send #NationalGuard members to #border
#MAGA 
#BuildThatWall
https://t.co/YZLGac8cuY</t>
  </si>
  <si>
    <t>RT @ShowboatBob: #BobsTrumpTrain
@ShowboatBob
@stealthrevolt
@Debbiejenise2
@offyspirit76
@tammy_conlee
@mytimebox
@dcalrider
@csmnor
@NoRI…</t>
  </si>
  <si>
    <t>#TrumpChess #SundayMorning #MAGA #QAnonPatriots #QAnon https://t.co/ySeXO5S9lt</t>
  </si>
  <si>
    <t>#TrumpRocks #SundayMorning #MAGA #QAnonPatriots #QAnon https://t.co/XEzRMLk57k</t>
  </si>
  <si>
    <t>#SundayMorning #MAGA #QAnonPatriots #QAnon https://t.co/f12SVBfSnt</t>
  </si>
  <si>
    <t>RT @WilliamBarham8: @battleofever @SternsMarilyn Good morning Ladies.... The Meme King - wishing you a splinded Sunday morn. https://t.co/n…</t>
  </si>
  <si>
    <t>RT @Trumpism_45: @realDonaldTrump  https://t.co/NSQBKo6OYL</t>
  </si>
  <si>
    <t>#SundayMorning #TheStorm #MAGA #QAnonPatriots #QAnon https://t.co/7mUKDXmzuz</t>
  </si>
  <si>
    <t>#SemperFi #Marines #SundayMorning #MAGA #QAnonPatriots #QAnon https://t.co/BQ26AfnUow</t>
  </si>
  <si>
    <t>https://t.co/4VhEj6TRZQ #SundayMorning #MAGA #QAnonPatriots #QAnon https://t.co/Mm9kvSF8oS</t>
  </si>
  <si>
    <t>#AmericaFirst #SundayMorning #MAGA #QAnonPatriots #QAnon https://t.co/4uCGKMNeR5</t>
  </si>
  <si>
    <t>RT @PaulaLanier54: @StevenM76954443 @realDonaldTrump #MarchForOurRightToBearArms https://t.co/DcPA4LxFUU</t>
  </si>
  <si>
    <t>RT @ShowboatBob: #BobsTrumpTrain
@ShowboatBob
@libs7
@cdburt69
@HaskellKen
@LisaSmith4680
@R2017Girl
@joey_cauthen
@Aldrpeg4
@notsostout
@m…</t>
  </si>
  <si>
    <t>#SundayMorning #MAGA #QAnonPatriots #QAnon https://t.co/bFkuJqghe8</t>
  </si>
  <si>
    <t>#SundayMorning #MAGA #QAnonPatriots #QAnon https://t.co/GkZ22zAV77</t>
  </si>
  <si>
    <t>RT @IvanTrumpovic1: @realDonaldTrump Get the hell out of Syria. You know that terrorists are fighting against Assad. Don't cave into the ne…</t>
  </si>
  <si>
    <t>RT @ArizonaKayte: Couldn't happen to a nicer guy...
#MAGA
#FBICorruption
#sarcasm
Ex-#FBI Agent Believes #Comey is Walking Straight Into…</t>
  </si>
  <si>
    <t>RT @Steve_Pippin: @ncar999
@mendyjrt
@RyanWalis
@Hollybun2
@DBall4494
@chrismanack
@dianestunes
@USACitizen7
@2wallyworld
@scali_gianna
@bu…</t>
  </si>
  <si>
    <t>Amen Brother! Me too.............. https://t.co/CsJGarNKGm</t>
  </si>
  <si>
    <t>RT @MAGANinaJo: Looking for a few thousand Trump Train riders who are committed to winning the midterms.  If you are, add your name, follow…</t>
  </si>
  <si>
    <t>RT @garyibe007: https://t.co/eQUL39j6cD</t>
  </si>
  <si>
    <t>#NRA #SundayMorning #MAGA #QAnonPatriots #QAnon https://t.co/0iI9hZGPjY</t>
  </si>
  <si>
    <t>#SundayMorning #MAGA #QAnonPatriots #QAnon https://t.co/URwJfYNHgx</t>
  </si>
  <si>
    <t>RT @syqau: San Diego lawmaker says California has become rogue state https://t.co/B7IsXrNMAJ</t>
  </si>
  <si>
    <t>RT @Thomas1774Paine: Sadiq Khan’s London: Six Stabbings In 90 Minutes https://t.co/AayWWU4a2z</t>
  </si>
  <si>
    <t>RT @joyreaper: .@jeffreyguterman - Is this what you're happy about?  You are one sicko along with Kathy Griffin, Eminem and others.   Fire…</t>
  </si>
  <si>
    <t>RT @jimbo_always: #SundayMorning https://t.co/nSc4pKmpmW</t>
  </si>
  <si>
    <t>RT @Marinetimes: Soldiers shooting artillery off ships? Tell it to the Marines https://t.co/nL9z44UoAO https://t.co/engwOQuXXx</t>
  </si>
  <si>
    <t>Fire this Asshole! #BoycottJimmyKimmel https://t.co/KzJlucwgC3</t>
  </si>
  <si>
    <t>WTF? https://t.co/QuD07vWcIa</t>
  </si>
  <si>
    <t>Kimmel is a total POS and needs to go! #BoycottJimmyKimmel https://t.co/LgS3wbqo0v</t>
  </si>
  <si>
    <t>#POTUS @realDonaldTrump  Sir, Please do not fall for this trap by the Globalist! President Assad did not gas his own people nor has he ever! This is an outright lie of the Deep State Globalist War Mongers to keep us in Syria! Check rogue elements of your CIA 1st! NO MORE WAR! https://t.co/7m6isb9EZT</t>
  </si>
  <si>
    <t>RT @KMGGaryde: Advertisers that abandoned the IngrahamAngle remember! The #Boycotting &amp;amp; Supporting @IngrahamAngle will never take a day off…</t>
  </si>
  <si>
    <t>RT @nancylee2016: "Michelle Obama: My husband was 'the good parent' compared to Trump"
I have news for that Bit*h we don't want a parent w…</t>
  </si>
  <si>
    <t>RT @gr8tjude: Good morning Patriots 🇺🇸
Have a fantastic Sunday my friends🙋
#GodBlessAmerica 🇺🇸🦅 https://t.co/LdjHe5XX3e</t>
  </si>
  <si>
    <t>'The tears just keep coming': Humboldt Broncos captain and head coach among dead after Sask. bus crash https://t.co/I0LXptjfyh via @nationalpost</t>
  </si>
  <si>
    <t>RT @PhilMcCrackin44: This is the look you get when reality sets in....When you finally come to grips with the fact that you’ll enter the an…</t>
  </si>
  <si>
    <t>RT @Jamierodr10: GOOD MORNING PATRIOTS 🇺🇸🇺🇸.         May your Sunday be blessed with love, joy, peace and Happiness! https://t.co/Eclfscnxza</t>
  </si>
  <si>
    <t>RT @GrrrGraphics: #SundayMorning -Hot off the Drawing Board! "Battle of the Billionaires" New #BenGarrison #weekend #cartoon #Trump #JeffBe…</t>
  </si>
  <si>
    <t>RT @RightWingLawman: 🎶The best part of waking up is #Covfefe in your cup ☕️ 🎶
#MAGA #Covfefe #Trump2020 🇺🇸 #SundayMorning 🌤️ #GiterDun 🤠 #…</t>
  </si>
  <si>
    <t>RT @FierceKittykate: This is not a game. This is not a matter of being charitable or kind vs selfish and hateful. This is war. This country…</t>
  </si>
  <si>
    <t>RT @DonnaWR8: @realDonaldTrump DO YOUR JOB DOJ and FBI!! https://t.co/o5qUp2mSP7</t>
  </si>
  <si>
    <t>RT @jeepsuzih2: Michelle U Are Very Bizarre
Have U Been Following What Our Great President Has Done !! 🇺🇸❤
Trying To Make President Trump L…</t>
  </si>
  <si>
    <t>Twitter Friends, Please watch this short video I made for you! https://t.co/rAc6ofSlVJ Go here for more information on the Future of Light Technology! https://t.co/4itP0C9GjQ #Purelight #Pure-Light #PureLightTechnologies</t>
  </si>
  <si>
    <t>RT @Smoochie6005: https://t.co/UloUE2wg2f</t>
  </si>
  <si>
    <t>RT @jojoh888: John McCain urges United States to rejoin Trans-Pacific Partnership
https://t.co/j53ENNqlZG
#CryptKeeperMcCain
#McCain 
#TP…</t>
  </si>
  <si>
    <t>RT @GemMar333: Two'fer The Price Of One.....😉
#5WordAdviceForTeens https://t.co/5VTWPv54TU</t>
  </si>
  <si>
    <t>Screw Ace Hardware! I'll never shop there again! #BoycottAceHardware https://t.co/hF26HGK0yf</t>
  </si>
  <si>
    <t>Science Confirms That People Absorb Energy From  Others https://t.co/qzDdKnQcAq via @Auxx Me</t>
  </si>
  <si>
    <t>Wings of Hope Living Forward Inc https://t.co/areYALIBUL via @JohnsoShirley</t>
  </si>
  <si>
    <t>The Conspiracy Theory That Says Trump Is a Genius https://t.co/Cmddka4yf3</t>
  </si>
  <si>
    <t>RT @ClintonMSix14: "Now remember guys
all this is invalid if kids start crying on T.V."
- George Washington https://t.co/wWNE6dAv7V</t>
  </si>
  <si>
    <t>RT @ShowboatBob: #BobsTrumpTrain
@ShowboatBob
@JAlexandr1972
@BoesenA
@johnkiger2
@CARMODITIBROKER
@StarrRafela
@anneolsen43
@fourth_seven…</t>
  </si>
  <si>
    <t>RT @ShowboatBob: #BobsTrumpTrain
@ShowboatBob
@GregoryRogers7
@DonRondel
@grammieo
@JDM1062
@ldsknack
@ValeriWelter
@realmikepacker
@paula3…</t>
  </si>
  <si>
    <t>RT @ChuckNASCAR: Goodnight Twitterville, it's time to rest my weary eyes. See y'all with coffee mug in hand in the morn. May God's Blessing…</t>
  </si>
  <si>
    <t>RT @AnnaApp91838450: @hotfunkytown @jimmykimmel @ABC @Disney @realDonaldTrump @seanhannity 💯💯💯💯💯💯💯JERK🎯
#BoycottKimmell
#boycottkimmel #Jim…</t>
  </si>
  <si>
    <t>These Two Make Me Sick! Total Idiots! https://t.co/hJia45V9mu</t>
  </si>
  <si>
    <t>RT @nerak0331: All he does is win! #TrumpTrain #KAG #CloserNation https://t.co/0vKK6ZIwSa</t>
  </si>
  <si>
    <t>https://t.co/RHkxtOda0k</t>
  </si>
  <si>
    <t>It’s official: The VW Bus is back, and it’s electric https://t.co/6Bn0iyxNxf</t>
  </si>
  <si>
    <t>#PureLight is the New Company based in Idaho that everybody is talking about! We're looking for marketing reps to help us share this amazing technology! Come Join Our Winning Team! You Have First Movers Advantage! https://t.co/4itP0C9GjQ  #Pure-Light #PureLightTechnologies https://t.co/015pEIW89w</t>
  </si>
  <si>
    <t>RT @favoriteauntssi: How $37 Million from the Clinton Foundation Disappeared in Baltimore https://t.co/f4nFvHl12C via @LifeZette</t>
  </si>
  <si>
    <t>RT @TrumpsTrumpet2: TRAIN #10
@trumpstrumpet2
@Tictactactical 
@Zooie222
@UrsulaRodgers11
@Chitter75
@Diggergld1
@Cali11958322
@Blackmonjo…</t>
  </si>
  <si>
    <t>RT @EtherialBeing33: Roseanne Roseanne Keeps Promoting [#QAnon], the Pro-Trump Conspiracy Theory That Makes Pizzagate Look Tame https://t.c…</t>
  </si>
  <si>
    <t>RT @hankentwhistle: https://t.co/krAm65gjwq</t>
  </si>
  <si>
    <t>RT @GloballyHedged: Obama State Department Spent $9 Million With Soros To Meddle In Albanian Politics https://t.co/Yt92KohdJy https://t.co/…</t>
  </si>
  <si>
    <t>RT @ArizonaKayte: .#AR15-style rifles are NOT “assault weapons” or “assault rifles.” Assault rifles are FULLY automatic- a machine #gun. Au…</t>
  </si>
  <si>
    <t>RT @EsotericExposal: https://t.co/e6XfJKpbuz</t>
  </si>
  <si>
    <t>RT @Q_101_X: @Dawn_DeMore1 @jimmykimmel 👍🏼 https://t.co/0OORpNr9lP</t>
  </si>
  <si>
    <t>Michelle Obama: My husband was 'the good parent' compared to Trump https://t.co/q6dDczhcSp</t>
  </si>
  <si>
    <t>#LockHerUp https://t.co/USisnbxRjS</t>
  </si>
  <si>
    <t>RT @RedWaveRising1: #MaxineWaters #BarbaraLee #AndreCarson #KeithEllison #GregoryMeeks #DannyDavis #AlGreen #CA #IN #MN #NYC #TX #IL #Calif…</t>
  </si>
  <si>
    <t>RT @Kimbraov1: ‘Hogg-Wash’: Fed-Up Americans Launch Campaign to Make David Hogg Go Away Once and For All - https://t.co/dZhPA4KT9K</t>
  </si>
  <si>
    <t>RT @SteveMotley: Retired Marine - The Senior Executive Service is the Black Heart of the Deep State! https://t.co/LiED7HG3sK #QAnon</t>
  </si>
  <si>
    <t>RT @SteveMotley: Liberalism Is a Mental Disorder! https://t.co/aEMkqvYaDZ</t>
  </si>
  <si>
    <t>RT @inittowinit007: 🔥WAS THIS A FALSE FLAG?🔥
💥Q💥states 🔥FOLLOW THE FATHER!🔥👇👇👇👇👇👇👇
.@realDonaldTrump  .@POTUS 
#QAnon #FalseFlag #KAG https…</t>
  </si>
  <si>
    <t>RT @FightNowAmerica: The appalling exploitation of children by Democrats enters a new phase with #TownhallForOurLives. The events are being…</t>
  </si>
  <si>
    <t>RT @bonniemurphy: I Will Always Defend My Rights Against ALL Enemies - Both Foreign and Liberal #Resistance #Democrat https://t.co/XWsosVRV…</t>
  </si>
  <si>
    <t>RT @DanCovfefe1: Thanks Trump for ordering the National Guard to assist Border Patrol👌🏻🇺🇸
We need to reform our broken immigration system…</t>
  </si>
  <si>
    <t>RT @dawg_lb: "Working class VOTE TRUMP TRAIN GOP 2018 to SUPPORT @POTUS 2 continue MAGA &amp;amp; America First"!
@POTUS
@VP
@SenTedCruz 
@kelliwa…</t>
  </si>
  <si>
    <t>Liberalism Is a Mental Disorder! https://t.co/aEMkqvYaDZ</t>
  </si>
  <si>
    <t>https://t.co/4VhEj6TRZQ https://t.co/EhtkFQSo2B</t>
  </si>
  <si>
    <t>#AmericaFirst #AmericaSafe https://t.co/h679tY5xm0</t>
  </si>
  <si>
    <t>RT @SusanCoolidge1: The #TrumpTrain coming Threw..Jump on Grab the List..follow all #RT 
@Demslayer13 
@PamB60 
@powerglobalus 
@Summerseth…</t>
  </si>
  <si>
    <t>RT @poconomtn: @ClintonMSix14 @realDonaldTrump  https://t.co/UxJDD6bWV3</t>
  </si>
  <si>
    <t>RT @_Discernment_: #qanon4chan #qanon #quotes #WWG1WGA #TheStormIsUponUs #TheStormIsComing #TRUSTTHEPLAN #Prayer #maga #MakeAmericaGreatAga…</t>
  </si>
  <si>
    <t>RT @RedStormIsHERE: Good Morning my friends &amp;amp; Patriots!
Another day to try to get our message OUT that our @POTUS is truly trying to #MAGA…</t>
  </si>
  <si>
    <t>RT @John_KissMyBot: Despite the #FakeNews The Democrats, The Deep State And The Never Trumpers Attacking #Trump Daily 👉
TRUMP’S Approval R…</t>
  </si>
  <si>
    <t>RT @AnnaApp91838450: GOOD NIGHT PATRIOTS🙏
AWESOME POST💯🇺🇸
WE KICKED IT DOWN THE ROAD/FOR EVERY NASTY ATTACK ON ME TODAY💥 THOUGHT IF PRESIDE…</t>
  </si>
  <si>
    <t>RT @jen4trump1: A reminder on this #MLKJr day! This is #MLK : we must learn to live together as brothers or perish together as fools. 
Let’…</t>
  </si>
  <si>
    <t>RT @Farberyanki: We have a wonderful morning leftis https://t.co/Y3MZmg2x5L</t>
  </si>
  <si>
    <t>RT @BluesBrother91: @Known__Unknowns @Melissa31920880 @RadGeekpartduex @Cara_TXZEAL @SemperMAGA @Madrogran @charzdesigns @GOPPollAnalyst @j…</t>
  </si>
  <si>
    <t>RT @melodyhahm: Omg. Spotted outside NY FB office https://t.co/R1p7wLuv80</t>
  </si>
  <si>
    <t>RT @Vincent46372851: @inittowinit007 @realDonaldTrump @POTUS @_America_First @PamB60 @TrumpTrainMRA4 @MEL2AUSA @_SierraWhiskee @buzzman888…</t>
  </si>
  <si>
    <t>RT @KatTheHammer1: "I am woman watch me vote!" 
 ~@Stanford5683 https://t.co/AGE7WvrKhl</t>
  </si>
  <si>
    <t>RT @mikandynothem: That sound you hear coming from the left is constipation produced by  @realDonaldTrump delivering on another campaign pr…</t>
  </si>
  <si>
    <t>RT @T_Menendez: #PresidentialEmbarassment #ObamaGate https://t.co/e6hUeoi9Hf</t>
  </si>
  <si>
    <t>Retired Marine - The Senior Executive Service is the Black Heart of the Deep State! https://t.co/LiED7HG3sK #QAnon</t>
  </si>
  <si>
    <t>RT @nerak0331: Relationship Goals! #FLOTUS #POTUS https://t.co/vTYVO2SAXf</t>
  </si>
  <si>
    <t>RT @MAGANinaJo: Thank you @POTUS for putting America First!  Poll #’s are up, tax cuts in place, and you are sending in the military to pro…</t>
  </si>
  <si>
    <t>RT @vickibazter: @almostjingo @DonaldJTrumpJr @jerome_corsi @RonPaul @RandPaul @Shawtypepelina @maga_sky @thebradfordfile @BabeReflex_8 @Tu…</t>
  </si>
  <si>
    <t>RT @pdoggbiker: @pdoggbiker Everything relating to the #vietnamwar  https://t.co/MJuhPYgjgd
Stop by and say hello! https://t.co/DOhGyCQya9</t>
  </si>
  <si>
    <t>RT @Tombx7M: The only war on women..
 #WednesdayWisdom #thefive #MAGA #Trump
#QAnon #MakeAmericaGreatAgain https://t.co/3NGQlbj5TI</t>
  </si>
  <si>
    <t>RT @martindorman855: Arnold Schwarzenegger Aide Arrested For Human Trafficking https://t.co/wtoZ96JUPo</t>
  </si>
  <si>
    <t>RT @BackTheHeroes: Drop a retweet and like! 🇺🇸 https://t.co/m7ABfaXJuV</t>
  </si>
  <si>
    <t>RT @H0418811807: Every Biker Has Heard Trump’s NEW Call! Look Which City They Are Heading... https://t.co/IfFv30T7t7 via @YouTube</t>
  </si>
  <si>
    <t>RT @JoanneColombo: @RightlyNews #MAGA #AmericaFirst #KAG! https://t.co/nGMcyf1nWA</t>
  </si>
  <si>
    <t>RT @T_Menendez: #2A @cyclelu @NRA @Erics481969 @BIGSEXYYT @ROYALMRBADNEWS @_The_Watchers_ @rising_serpent @ItsAngryBob @The_Trump_Train @Do…</t>
  </si>
  <si>
    <t>RT @keramirez: @realDonaldTrump 
Proclaimed April As #NationalChildAbusePreventionMonth .
He WentOnToSay, "We Must Always Remember That All…</t>
  </si>
  <si>
    <t>RT @RodStryker: African American unemployment rate at lowest in history.
Millions off Food Stamps &amp;amp; working again.
Illegals are getting dep…</t>
  </si>
  <si>
    <t>RT @IWillRedPillU: I'll follow everyone who retweets/likes this tweet until Twitter maxes me out~
Support:
👉🏻https://t.co/sA9QiVIwL2👈 &amp;amp; In…</t>
  </si>
  <si>
    <t>RT @IWillRedPillU: Michael Savage: Second America-Mexico War Already Underway @ASavageNation
#StopTheCaravan #BuildTheWall #Mexico #America…</t>
  </si>
  <si>
    <t>Navy chaplain fired after he’s caught on video having sex at a New Orleans bar https://t.co/6IUiLWiaOD via @usatoday</t>
  </si>
  <si>
    <t>Zuckerberg says most Facebook users should assume they have had their public info scraped https://t.co/Ayf5ETcUI8</t>
  </si>
  <si>
    <t>RT @CHIZMAGA: CNN Breaking News:
YouTube Shooter officially not...
❌White
❌Male
❌Christian
❌NRA Member
❌Registered Republican
❌Trump Supp…</t>
  </si>
  <si>
    <t>https://t.co/31pUQm8Ij6</t>
  </si>
  <si>
    <t>RT @mashable: Stairs are no problem for this wheelchair https://t.co/JyOHt6rAas</t>
  </si>
  <si>
    <t>RT @chon_ran: Vision without action is daydream. Action without vision is nightmare.  – Japanese Proverb</t>
  </si>
  <si>
    <t>RT @1776Stonewall: Terry Redlin https://t.co/DlQBJXvqDl</t>
  </si>
  <si>
    <t>RT @MAGAVoice: 2⃣9⃣
@savannahsmith88
@tonkathebrave1
@SR1DD 
@ChicagoForTrump
@GOPDeplorable2
@nancyleeca
@MtnWilliam2
@finnwithagrin
@H592…</t>
  </si>
  <si>
    <t>RT @FoxNews: .@MonicaCrowley: "How refreshing to have an American commander-in-chief who means what he says, says what he means, and is wil…</t>
  </si>
  <si>
    <t>RT @true_pundit: James Woods Calls for National Guard to Stop Massive Caravan of Illegals Headed to U.S. Border https://t.co/d0o1di9UbZ</t>
  </si>
  <si>
    <t>RT @TruthMatters13: Did you say more? #KAG #MAGA 
@startpackin
@jeepsuzih2
@mikandynothem
@VFL2013
@maga_sky
@Jillibean557
@MICHELL59952525…</t>
  </si>
  <si>
    <t>RT @WKrummholz: Praying for their families. 4 Marines feared dead in helicopter crash near US-Mexico border https://t.co/ekbSvc6XiE #FoxNews</t>
  </si>
  <si>
    <t>RT @GrizzleMeister: A gentle reminder from the Patriots at Tactical Firearms for those who wish to wage a war on freedom. When launching an…</t>
  </si>
  <si>
    <t>RT @TruthMatters13: All aboard #TrumpTrain 
@votedtrump_p
@laineymel
@JMReflection
@keny_berd
@xolexieox
@LoveUSADawn
@DallasIrey
@TombSton…</t>
  </si>
  <si>
    <t>RT @ASimplePatriot: Mic drop ... #MAGA https://t.co/t32YftVe2p</t>
  </si>
  <si>
    <t>RT @TheRealHublife: I think we're over the target... https://t.co/YSan10lRlg</t>
  </si>
  <si>
    <t>RT @moose663: https://t.co/KCXv8M813s</t>
  </si>
  <si>
    <t>RT @SportsCenter: Johnny Manziel threw at Texas A&amp;amp;M's pro day today ... this time in front of all 32 NFL teams. https://t.co/GZxpRHu90e</t>
  </si>
  <si>
    <t>RT @IndianaFootball: 🎥 #IUFB Pro Day
They showed up. We showed out. https://t.co/HVE0qIJYDe</t>
  </si>
  <si>
    <t>RT @JackPosobiec: YouTube HQ Shooter https://t.co/fKn61SfGoG</t>
  </si>
  <si>
    <t>RT @Adria_Dark: Sweet!👏👏👏👏👏👍 https://t.co/tLXtVXYhZ5</t>
  </si>
  <si>
    <t>RT @realDonaldTrump: WE WILL PROTECT OUR SOUTHERN BORDER! https://t.co/Z7fqQKcnez</t>
  </si>
  <si>
    <t>These are the rarest forms of 'nightmare' bacteria, CDC says @CNN https://t.co/roaWR2VHpM</t>
  </si>
  <si>
    <t>Why Trump is more popular than ever https://t.co/GCDD3gjvQM</t>
  </si>
  <si>
    <t>University event aims to combat ‘Christian Privilege’ https://t.co/TovhEIMWtv via @collegefix</t>
  </si>
  <si>
    <t>The condom challenge isn't the latest teen craze. Here's how it went viral anyway. https://t.co/VbpuJiANgL</t>
  </si>
  <si>
    <t>Suspect in YouTube Shooting Posted Rants About the Company Online https://t.co/76uIQa4b8s via @nbcbayarea</t>
  </si>
  <si>
    <t>Trump: 'We're going to be guarding our border with the military' @CNNPolitics https://t.co/a8jTHO5iei</t>
  </si>
  <si>
    <t>RT @PetMikRan: #TrumpTrain No4 @petmikran
Dep Fri 30th Mar
Welcome
Follow all and also Commented Retweets
Pls take time to visit Followers…</t>
  </si>
  <si>
    <t>RT @yceek: Join the #RestoreTheHealthRanger tweetstorm to demand an end to YouTube censorship of intelligent speech.. Today were announcing…</t>
  </si>
  <si>
    <t>RT @BrotherVet: #TexasTuesdaysPatriots
🇺🇸⚘@ArizonaKayte 
🇺🇸⚘@Jamierodr10
🇺🇸⚘@bonniemurphy
🇺🇸⚘@GartrellLinda 
🇺🇸⚘@alozras411 
🇺🇸⚘@pinkk9lov…</t>
  </si>
  <si>
    <t>RT @AMErikaNGIRLBOT: Trump: We Will Send Our Military to the Border💥 Caravan of Migrants are NOT welcomed . #GoBack #WednesdayWisdom @realD…</t>
  </si>
  <si>
    <t>RT @KatTheHammer1: PLEASE RETWEET: 
It's simple,  this amazing patriot @GenFlynn has devoted his life in service to this great Nation! 
T…</t>
  </si>
  <si>
    <t>RT @GrrrGraphics: #CheatinObama  #LeakySchiff  #CrookedHillary
3 Cons in a Fountain
#BenGarrison #Cartoons 
https://t.co/QMSQXOSNXA http…</t>
  </si>
  <si>
    <t>OMG! https://t.co/JWKLQ3SbVS</t>
  </si>
  <si>
    <t>RT @my2006bmw: President Trump is a man with the will and desire to keep his promises ! Send the right people to stand tall with @POTUS and…</t>
  </si>
  <si>
    <t>#PureLight is the New Company Everyone is Talking About! We're Looking for Marketing Reps to Help Us Get The Word Out! https://t.co/4itP0C9GjQ #Pure-Light #PureLightTechnologies https://t.co/w5DYVMzeZz</t>
  </si>
  <si>
    <t>RT @VFL2013: I'm sick and tired of this wonderful patriot getting attacked daily by raven, debs, &amp;amp; honest. The worse part about it is Yall…</t>
  </si>
  <si>
    <t>RT @KatTheHammer1: "It's NOT gun control but gang control, behavioral control- it's impulse control and moral guardrails that need to be es…</t>
  </si>
  <si>
    <t>RT @Dawn_DeMore1: .@therealroseanne 
Is A #MAGA Goddess
Congratulations On Your YUGE Success On The Reboot Of Your Show #Roseanne !!!❤❤❤…</t>
  </si>
  <si>
    <t>RT @FoxNews: .@POTUS: “We cannot have people flowing into our country illegally, disappearing and by the way, never showing up to court.” h…</t>
  </si>
  <si>
    <t>RT @kwilli1046: When Will Heads Roll? - Inspector General report finds nearly 50 Democrats waived background checks for Pakistani IT aides…</t>
  </si>
  <si>
    <t>RT @phil4gop: The worthless RINO Congress are not even trying to hide their Globalist Soros allegiance! 
They have completely abandoned the…</t>
  </si>
  <si>
    <t>RT @GrizzleMeister: Pissed off 😡 Patriot Brandon Tatum furious regarding school his young son attends fails 2display American Flag:
“The fl…</t>
  </si>
  <si>
    <t>RT @RealMAGASteve: If California is so golden, how did this a$$hole end up in charge. https://t.co/8zcgTb5Sho</t>
  </si>
  <si>
    <t>Just registered for this webinar about growing an email list! Check it out!  https://t.co/lM4ymBATKb</t>
  </si>
  <si>
    <t>Seth Rich's brother is the latest family member to file a lawsuit over conspiracies surrounding his murder https://t.co/VObyDZbBAy</t>
  </si>
  <si>
    <t>RT @pinkk9lover: Perhaps this #Military K-9 could teach the #Democrats and #DeepState a thing or 2 about #loyalty to our country, #Constitu…</t>
  </si>
  <si>
    <t>RT @_SierraWhiskee: .@NYMag has to be the most dispicble news rag around. 
The outrage...the violence &amp;amp; burning down of Cities would've de…</t>
  </si>
  <si>
    <t>RT @John_KissMyBot: Sorry ‘Camera Hogg’ And All You Hateful Liberals 👉Fox News Stands Behind Laura Ingraham @IngrahamAngle 👉She’s NOT GOING…</t>
  </si>
  <si>
    <t>RT @CaroleFor45KAG: COUNT ON IT 🇺🇸🇺🇸🇺🇸 https://t.co/xVcdEyJl8u</t>
  </si>
  <si>
    <t>RT @GartrellLinda: Send ALL of these illegal invaders who will drain our resources back home
As CA Rolls Out Welcome Mat for Caravan of Ill…</t>
  </si>
  <si>
    <t>RT @MAGANinaJo: POTUS IS CRUSHING IT and AMERICA IS BACK!  Red Wave Rising and we are on our way!  Don’t be complacent.  It’s up to us to s…</t>
  </si>
  <si>
    <t>Why email is the best social network https://t.co/GnYW2vT88s via @computerworld</t>
  </si>
  <si>
    <t>Meet Barry McCarthy, the man behind Spotify’s daring public offering https://t.co/eqNmzo9x93 via @Recode</t>
  </si>
  <si>
    <t>Fox's Ingraham taking vacation as advertisers flee amid controversy https://t.co/ro4OI73ls2</t>
  </si>
  <si>
    <t>Donald Trump ‘Cherishes’ Lou Dobbs So Much He Puts Him on Speakerphone for Oval Office Meetings https://t.co/KClIkXpqWN via @thedailybeast</t>
  </si>
  <si>
    <t>Documents suggest possible coordination between CIA, FBI, Obama WH and Dem officials early in Trump-Russia probe: investigators https://t.co/Izyxt2k0eI #FoxNews</t>
  </si>
  <si>
    <t>RT @ChrissyUSA1: #MAGA #Patriot #Qanon #TheStormHasCome #WeThePeople #KAG #2A #TheGreatAwakening #GodsArmy 🇺🇸 #ReleaseHRCVideo #MTV #BET #J…</t>
  </si>
  <si>
    <t>RT @The_Rain_Makers: Comms issues no time to correct  here is a video of the mission https://t.co/1T6Trjcbc6
Here is a video of how to Sto…</t>
  </si>
  <si>
    <t>RT @MasonBilly87: KEANU REEVES: For Me Trump Is The Symbol Of A Successful Man https://t.co/qi9xlH0sG0</t>
  </si>
  <si>
    <t>Powerful Soros gathers a team to fight the Trump https://t.co/az2zDuvfml</t>
  </si>
  <si>
    <t>Michael Flynn: ‘Lock Her Up’ Becomes More Than a Slogan https://t.co/NpUjbmn3WR</t>
  </si>
  <si>
    <t>RT @TammySp7772777: #Qanon #FolllowTheWhiteRabbit #FollowTheWhiteRabbit #TheStormIsHere #GreatAwakening #WeThePeople #MAGA #AmericanPrideTT…</t>
  </si>
  <si>
    <t>RT @Trey_VonDinkis: #LeftistSedition #LeftistTerrorism #LeftistGunGrab
.
.
.🔫 LEFTIST HYPOCRISY 101 - 
Do the Leftists HAVE anything else…</t>
  </si>
  <si>
    <t>RT @SteveMotley: Friends, Please watch this short video I made for you https://t.co/2wGgNU9GgF
Check out my website:  https://t.co/ik7akpGV…</t>
  </si>
  <si>
    <t>RT @TrumpTrainMRA4: 10 Yrs+ of Democrat Party Control
8 Years of a Democrat POTUS
The WORLD is a disaster not seen since the World Wars all…</t>
  </si>
  <si>
    <t>RT @ArizonaKayte: .@realDonaldTrump 
PLEASE! DO NOT BE FOOLED.
This is a test. A test of your resolve. If these #IllegalAliens invade &amp;amp; c…</t>
  </si>
  <si>
    <t>RT @flowers3712: @rentonMagaUK @LauraC_9691 @TrumpQAnon @davidhogg111 @memom2010 @realDonaldTrump @seanhannity @caramastrey @LexiHunting @B…</t>
  </si>
  <si>
    <t>RT @JMReflectionsof: .#MattDrudge taunted Barack #Obama
 on Monday morning 
over the poll numbers.
Barack Hussein Obama was at 46% on Apri…</t>
  </si>
  <si>
    <t>PureLight Technology - The Future of Light Technology is here! It actually helps clean the air! https://t.co/RFadqAgADG #PureLight #Pure-Light #PureLightTechnologies</t>
  </si>
  <si>
    <t>RT @SteveMotley: Freedom is Not Free MARINES https://t.co/E7KXpUftUM</t>
  </si>
  <si>
    <t>RT @SteveMotley: #SemperFiMarines #Marines https://t.co/rnMHtCqli5</t>
  </si>
  <si>
    <t>RT @SteveMotley: #MAGA #NRA https://t.co/RQv72HBAsD</t>
  </si>
  <si>
    <t>RT @SteveMotley: #MAGA https://t.co/fy9F6OyZi8</t>
  </si>
  <si>
    <t>RT @ScottSaxman1: https://t.co/3e9LxloqBm</t>
  </si>
  <si>
    <t>RT @SteveMotley: https://t.co/kTqBtqjFfH</t>
  </si>
  <si>
    <t>RT @SteveMotley: Q Anon - I'm With Q Women's https://t.co/MZapvNManr #QAnon</t>
  </si>
  <si>
    <t>RT @Dr_Kaco: @RARRRRR I have a Confession Patriots...👇👇👇😆😆😆 https://t.co/w7STfrU1Ay</t>
  </si>
  <si>
    <t>All #Patriots Please Join Now! #MAGA https://t.co/qM2lteuVil</t>
  </si>
  <si>
    <t>RT @laura_jones1987: Our cards have arrived!! @ChrisLoesch @DLoesch https://t.co/ELUTpc6za6</t>
  </si>
  <si>
    <t>The Deplorables Speak - Archeive Site for All Previous Recorded True News Radio Shows! https://t.co/xR0ohbL2WW #TrueNewsRadio #NoFakeNews #MAGA #Qanon 😎 https://t.co/v9u7kYowEY</t>
  </si>
  <si>
    <t>RT @yojudenz: Anti-Gun Left Struggle To Explain Why Sadiq Khans’ London Has More Murders Than New York https://t.co/og8caB02km via @en_volve</t>
  </si>
  <si>
    <t>https://t.co/Cak7zcSR6D</t>
  </si>
  <si>
    <t>https://t.co/KnfM56UdsH</t>
  </si>
  <si>
    <t>Be a #Patriot and Join The #NRA Today! https://t.co/QJYNucsmQH</t>
  </si>
  <si>
    <t>RT @FoxNews: .@jasoninthehouse on 2020 census: "The census is going to count everybody. We're having our national debate about DACA, about…</t>
  </si>
  <si>
    <t>RT @RESIST_MOONBATS: https://t.co/MrKSeGq89Q</t>
  </si>
  <si>
    <t>RT @polishprincessh: My belief is in GOD, but I know GOD answered our prayers and put President Trump as our leader.
Prayers for My Presid…</t>
  </si>
  <si>
    <t>RT @EjHirschberger: #AmericaFirst 
We're sick of OUR vets, OUR kids. OUR poor, OUR seniors &amp;amp; OUR homeless struggling. by #GartrellLinda htt…</t>
  </si>
  <si>
    <t>RT @FoxNews: .@hogangidley45 on immigration: “It’s been out of hand, and that’s one of the reasons that the president wanted a lasting, lon…</t>
  </si>
  <si>
    <t>RT @WhoWolfe: Why we need a wall! https://t.co/Ynpp7sYdFL</t>
  </si>
  <si>
    <t>Future Proves Past Mousepad https://t.co/rkEdE1HlqE</t>
  </si>
  <si>
    <t>Q Anon - I'm With Q Women's https://t.co/MZapvNManr #QAnon</t>
  </si>
  <si>
    <t>https://t.co/kTqBtqjFfH</t>
  </si>
  <si>
    <t>#MAGA https://t.co/fy9F6OyZi8</t>
  </si>
  <si>
    <t>#MAGA #NRA https://t.co/RQv72HBAsD</t>
  </si>
  <si>
    <t>#SemperFiMarines #Marines https://t.co/rnMHtCqli5</t>
  </si>
  <si>
    <t>RT @veteranhank: Gun LAWS do not stop shootings. A bad person DOES NOT follow the LAWS! The only way to stop them is to have a good person…</t>
  </si>
  <si>
    <t>RT @CattHarmony: May the celebration of resurrected life bring new hope to your being. May the empty tomb help you to leave your sorrows at…</t>
  </si>
  <si>
    <t>RT @FoxNews: Huckabee: "The greatest single characteristic of people on the far left is they have zero sense of humor. I mean, these are th…</t>
  </si>
  <si>
    <t>Retired Marine - Pure Light Technologies Update! - 03/31/2018 https://t.co/HcaE4aqwu9 via #Pure-Light #PureLight #PureLightTechnologies</t>
  </si>
  <si>
    <t>Veteran Brothers https://t.co/4lfjbFpib5</t>
  </si>
  <si>
    <t>Others Would Not Do - MARINE https://t.co/q82baqCPib #SemperFi #Marines #MarineCorps</t>
  </si>
  <si>
    <t>Freedom is Not Free MARINES https://t.co/E7KXpUftUM</t>
  </si>
  <si>
    <t>Revolution Evolution https://t.co/jphyiHRHJf</t>
  </si>
  <si>
    <t>Gandhi https://t.co/OUpVCjxB4S</t>
  </si>
  <si>
    <t>Pure Light Shirts!  https://t.co/Y2dayvvgE8 #PureLight #Pure-Light
#PureLightTechnologies</t>
  </si>
  <si>
    <t>Q Anon - Got Q? Long Sleeve https://t.co/aIsCbsgv8y #Qanon</t>
  </si>
  <si>
    <t>POW MIA https://t.co/nFjYkZGGgb #MotleyCrew
#MotleyCrewStore
#TheMotleyCrewStore</t>
  </si>
  <si>
    <t>I Love Q Solo Mug https://t.co/hkK4q36j1E #QAnon
QClearance</t>
  </si>
  <si>
    <t>Friends, Please watch this short video I made for you https://t.co/2wGgNU9GgF
Check out my website:  https://t.co/ik7akpGVqr
Steve Motley Interviews Pure Light CEO Roger Young: https://t.co/loot4ovmGq #Pure-Light # PureLight # PureLightTechnologies #MotleyCrew #TheMotleyCrew https://t.co/MAEdiplBtH</t>
  </si>
  <si>
    <t>RT @GartrellLinda: #AmericaFirst 
Take care of OUR kids, OUR poor, OUR vets, OUR seniors
We're sick of paying for those who just use the US…</t>
  </si>
  <si>
    <t>RT @watspn1013: Thank you President Trump. A man who reverently bows his head in prayer. America is so blessed to have this man leading Ame…</t>
  </si>
  <si>
    <t>RT @RickOhioImBack: @Mikeproudvet @kctaylor24   @trueTrumpman  @HugeHashTag  @deniseallen24  @crazee_rdz  @Lenono910  @Monica4Trump  @whitc…</t>
  </si>
  <si>
    <t>RT @JoanneTirado09: "There's a rule of thumb in politics,if you're at the point where you're complaining about the other guy being mean and…</t>
  </si>
  <si>
    <t>RT @TheNYevening: How #Rockefeller Destroyed Natural Cures to Create #BigPharma https://t.co/jWLLM2AXAM https://t.co/b94ykIwiT9</t>
  </si>
  <si>
    <t>RT @realJohnnyZipp: CNN is fainting away because Ted Nugent called gun-grabbing kids 'SOULLESS' https://t.co/0vtCxAZoVf</t>
  </si>
  <si>
    <t>RT @veteranhank: Europeans were sold on the lie that the low IQ, low skill, low education Sunni Hoard would keep the Socialist Ponzi Scheme…</t>
  </si>
  <si>
    <t>RT @The_Rain_Makers: @CharlieDaniels can you help us?
Join the fight and help grow #TheStorm.  The assets are in place and this is day 1 of…</t>
  </si>
  <si>
    <t>RT @Steve_Pippin: @Goodoz
@fckngary
@WildmanTy
@AstoryTina
@NalydV1776
@R4Randall1
@pferrari10
@rmcmartino1
@Really_FUBAR
@Trump_Girl11
@Co…</t>
  </si>
  <si>
    <t>RT @HappyPatriotGal: @SickOfTheSwamp @jack Sandy is a true American Patriot, teacher, and friend. Her tweets are clean and wise, yet @Twitt…</t>
  </si>
  <si>
    <t>RT @_The_Watchers_: #QAnon #GreatAwakening #MAGA #InternetBillOfRights #EndTheFed #DrainTheSwamp #FakeNews #photo @POTUS @realDonaldTrump h…</t>
  </si>
  <si>
    <t>RT @FreedomPatriot7: Citizens of #Trumpville 
@Riaannels 
@RickOhioImBack 
@Technologyoffe4 
@Belle4DJT 
@AmericanTrue7 
@AshNicole_08 
@As…</t>
  </si>
  <si>
    <t>RT @Wildmanwings: Follow these Patriots 
@cs0058sc @vbrookdebbie @JNongel @Jayne720 @Alisand3 @dtannie @LauraByTheSea58  @ChateauFleury @Su…</t>
  </si>
  <si>
    <t>RT @JNongel: I͎S͎ T͎H͎I͎S͎ T͎H͎I͎N͎G͎ O͎N͎?! 🎤👈🏻 https://t.co/xmSJVwQKiO</t>
  </si>
  <si>
    <t>RT @Hells_Wrath_: @HillaryClinton 
You're right...The media has been telling you to go away.
You're right... They never said that to a ma…</t>
  </si>
  <si>
    <t>RT @JNongel: 👇🏻👇🏻👇🏻👇🏻👇🏻👇🏻👇🏻👇🏻👇🏻
TᕼIᔕ Iᔕ ᗯᕼY Tᖇᑌᗰᑭ GOT ᗰY ᐯOTE Iᑎ 2016
ᗩᑎᗪ ᗯᕼY ᕼE'ᒪᒪ GET ᗰY ᐯOTE Iᑎ 2020 #KᗩG 
👇🏻👇🏻👇🏻👇🏻👇🏻👇🏻👇🏻👇🏻👇🏻 https:/…</t>
  </si>
  <si>
    <t>RT @minnman47: https://t.co/wqypC7nHB8</t>
  </si>
  <si>
    <t>RT @mgw81180: @Mikeproudvet @swiveltwister @TammyRushing4 @Tazmajick @Terryhk1Carter @mattos_candie @mccall1954 @michaelvalsi @michie1266 @…</t>
  </si>
  <si>
    <t>RT @Mikeproudvet: #TrumpSuperTrain @Mikeproudvet
Car #58
@swiveltwister
@TammyRushing4
@Tazmajick
@Terryhk1Carter
@mattos_candie
@mccall195…</t>
  </si>
  <si>
    <t>RT @JohnGre2563232: Where are we heading? if it doesn't matter then go home and get as comfy as you can for now...@POTUS #MAGA #InternetBil…</t>
  </si>
  <si>
    <t>RT @SherriPlaza: As a Patriot, I always Stand and Salute the Flag. I expect Everyone too.... Show Respect for the Country We Love #MAGA #KA…</t>
  </si>
  <si>
    <t>RT @Jamierodr10: @RealJamesWoods says Send the National Gard to the border until you can rid “Republicans without balls”. We need a congres…</t>
  </si>
  <si>
    <t>RT @ShowboatBob: Time for a new train...
#BobsTrumpTrain
#LoveTrumpTrain
#RidersRetweet!
#ActionTakersRT&amp;amp;FB https://t.co/ivYQTZLciF</t>
  </si>
  <si>
    <t>RT @GIJoeOPS: 🕊#HeIsRisen!🕊
He Is Not Here: For He Is Risen, #Amen!
Matthew28:6
O Death, Where Is Thy Sting? O Grave, Where Is Thy Victo…</t>
  </si>
  <si>
    <t>RT @President1Trump: Here are the Patriotic Students of Rockledge Florida high school 🇺🇸 who had their own walk out in support of the Secon…</t>
  </si>
  <si>
    <t>RT @Alaskans4Trump: RT if you want @HARRISFAULKNER to permanently replace unhinged Shepard Smith. She's smart, classy &amp;amp; unbiased. https://t…</t>
  </si>
  <si>
    <t>RT @kwilli1046: Best Way To #DrainTheSwamp &amp;amp; #MAGA. https://t.co/HFwEskPnKi</t>
  </si>
  <si>
    <t>RT @PradRachael: BOYCOTT THE VIEW AND JOY SHOULD BE FIRED.
BOYCOTT  BOYCOTT 
LET'S MAKE THIS GO VIRAL. https://t.co/ZFgbSJIvLX</t>
  </si>
  <si>
    <t>RT @DiamondandSilk: If Democrats get elected, they're going to repeal the tax cuts.  That's more money for them to funnel through their poc…</t>
  </si>
  <si>
    <t>RT @USAloveGOD: Follow my #Patriot friend💛💋
👉 @MightyNitin22 🇺🇸
#TrumpTrain
#MAGA #Trump supporter ✔
#HappyNewYear https://t.co/dDqmUpbZ57</t>
  </si>
  <si>
    <t>RT @ShowboatBob: #BobsTrumpTrain
@ShowboatBob
@WilheminaFoxx
@AmericaHasBalls
@earthstar12
@Dondorey1
@TweetTweetHAR
@Johnjrambo16
@skinnyl…</t>
  </si>
  <si>
    <t>RT @CoronaDope702: Seals are wonderful creatures.
@us_navyseals 
@POTUS 
#badassdudes
#QAnon https://t.co/EQarAtWFIz</t>
  </si>
  <si>
    <t>RT @Mikeproudvet: #TrumpSuperTrain @Mikeproudvet
Car #69
@SarahCorriher 
@uBenLied2
@RockinTrump
@triciatrump
@bethtcoast
@comsensepolitic…</t>
  </si>
  <si>
    <t>RT @RebelYelliex: Good morning all, have a beautiful day! 💞🌸 https://t.co/W0PkzT2ESk</t>
  </si>
  <si>
    <t>RT @MilitaryEarth: Happy Easter! #EasterBunny https://t.co/RSv8nD80Bw</t>
  </si>
  <si>
    <t>RT @AlwaysActions: #ReTweet if you Stand
With @IngrahamAngle https://t.co/js54vlNDW3</t>
  </si>
  <si>
    <t>I have 474 new followers from USA, Canada, India, and more last week. See https://t.co/Z5SFmgjj3M https://t.co/b7Kn5c3u2z</t>
  </si>
  <si>
    <t>RT @PoliticalPossum: #FollowBackFriday #Patriots who are #MAGA, Follow, like &amp;amp; retweet
@ElizabethSolle2
@JNongel
@MaiWorld51
@Steve_Pippin…</t>
  </si>
  <si>
    <t>RT @MartinB45719553: @nerak0331  https://t.co/VZnfY3mIg0</t>
  </si>
  <si>
    <t>RT @RichHamblin11: @RealJamesWoods @WinklerGlenda @SpeakerRyan Drain the Swamp ! https://t.co/ZkF4xjuxm0</t>
  </si>
  <si>
    <t>RT @RealMAGASteve: James Woods Calls for National Guard to Stop Caravan of Illegals Headed to U.S. Border.
If this caravan is not stopped…</t>
  </si>
  <si>
    <t>RT @candylux752: She nailed it 😂😂😂 https://t.co/6BF6HiR0BQ</t>
  </si>
  <si>
    <t>RT @PoliticalPossum: #MAGA #MAGA #MAGA
@camojo82
@CurrinJr
@bmood1960
@US_Patriot_BN
@tld5318
@wwwillstand
@DallasIrey
@tmg1119
@WesleyTBro…</t>
  </si>
  <si>
    <t>RT @KatTheHammer1: "I'm a mom that's why I own guns."
~@DLoesch https://t.co/WktPVjrFiX</t>
  </si>
  <si>
    <t>RT @my2006bmw: It's time to #BuildTheDamnWall They have no rights! They are illegally entering our country pouring in thru open boarders. T…</t>
  </si>
  <si>
    <t>RT @AntonioSabatoJr: I'm so grateful for all of your love and support. We had an amazing show of support yesterday. We are only $480 from o…</t>
  </si>
  <si>
    <t>RT @SisterJennifer8: Everytime Roseanne Barr tries to expose child slavery and the fact that child slavery rings exist a bunch of resist tr…</t>
  </si>
  <si>
    <t>RT @FoxNews: BREAKING: Chinese space station Tiangong-1 projected to land off Brazil coast tonight https://t.co/ZA4XWAS7ih</t>
  </si>
  <si>
    <t>RT @Fuctupmind: Chinese space station Tiangong-1 projected to land off Brazil coast
https://t.co/ovz8hHknql</t>
  </si>
  <si>
    <t>RT @KMGGaryde: Happy Easter to all my twitter friends.  Enjoy your dinner with family &amp;amp; love ones.🐇🥂 https://t.co/LWoLF1Cds7</t>
  </si>
  <si>
    <t>RT @dragon376: As predicted by #Qanon https://t.co/6c2Jvr7Lzk</t>
  </si>
  <si>
    <t>https://t.co/lQb7tDZIAg https://t.co/qT9YWofxpX</t>
  </si>
  <si>
    <t>Why is he not in prison for his many crimes? https://t.co/Kc8gqBpWxM</t>
  </si>
  <si>
    <t>RT @AMike4761: Police: Man Exposes Himself to a Child in Chicago Target Store Women’s Bathroom. #ma4t  https://t.co/qP4LaqNZB8</t>
  </si>
  <si>
    <t>RT @Thomas1774Paine: Vatican Refuses to Disavow Pope’s Alleged Denial of Hell https://t.co/wr0K1eGubr</t>
  </si>
  <si>
    <t>RT @TheLastRefuge2: Common Question:  “How do you square Mueller in all this?”… https://t.co/xn9tU6iNp2 https://t.co/ilNuynTIHS</t>
  </si>
  <si>
    <t>RT @RedStormIsHERE: #MAGA
#KAG2020 
💥💥Boom💥💥 https://t.co/sZtXahjmLX</t>
  </si>
  <si>
    <t>RT @PrisonPlanet: NEVER apologize for anything. The fact Ingraham caved betrayed a quite stunning failure to grasp how mob outrage culture…</t>
  </si>
  <si>
    <t>RT @LouDobbs: Where's that wall?  Will Border Patrol actually secure the border? An army of illegal aliens is marching on America https://t…</t>
  </si>
  <si>
    <t>RT @EjHirschberger: 🇺🇸🇺🇸*Hogg* - 'I Would Love To See Her Go.' (@IngrahamAngle Laura Ingram) 🇺🇸🇺🇸  @POTUS     #MAGA     #KAG
#PoliticalPaw…</t>
  </si>
  <si>
    <t>RT @DallasIrey: #Trumpville
@JuJak23 
@DebbyHouser 
@Susan_Texan 
@DeeGR8whiteluvr 
@AlkireMike
@martywren9 
@WillWtroyer 
@JaguarJinx 
@Ri…</t>
  </si>
  <si>
    <t>Question Everything!  TNR Mug https://t.co/e3tTx94pz3 #QAnon #TrueNewsRadio</t>
  </si>
  <si>
    <t>I Love Q Solo https://t.co/AvhHLvhcg7 #QAnon #MAGA</t>
  </si>
  <si>
    <t>RT @KatTheHammer1: I just voted for #KeepLauraIngraham on @thetylt. Share this and Tylt the conversation. https://t.co/UgEaTiqIH9 or RT◢</t>
  </si>
  <si>
    <t>RT @Parish_sr: https://t.co/YFkwTxKHLa</t>
  </si>
  <si>
    <t>Nice Shirt Asshole! https://t.co/E6m8ZTjT3T</t>
  </si>
  <si>
    <t>Retired Marine - Introduction to Pure Light Technologies! - 03/27/2018 https://t.co/Ac6jJ5vaMa #PureLight #Pure-Light #PureLightTechnologies #TheMotleyCrew #MotleyCrew</t>
  </si>
  <si>
    <t>Retired Marine - Pure Light Technologies Update! - 03/31/2018 https://t.co/HcaE4aqwu9 #PureLight #Pure-Light # PureLightTechnologies #TheMotleyCrew</t>
  </si>
  <si>
    <t>Steve Motley | Business Marketing Profile https://t.co/09C0RjgZKj</t>
  </si>
  <si>
    <t>RT @ThomasWictor: (8) The next morning, a Sikorsky MH-53 Pave Low flew over my city at treetop level.
This is used to insert special force…</t>
  </si>
  <si>
    <t>RT @npnikk: Roseanne Barr: President Trump Is Destroying D.C. Pedophile Rings.. Actress Roseanne Barr praised President Trump in a series o…</t>
  </si>
  <si>
    <t>RT @OliverMcGee: Retweet if you still support @IngrahamAngle https://t.co/bbSQEmcxqB</t>
  </si>
  <si>
    <t>RT @inittowinit007: 🔥ALARMING🔥👇READ THIS BILL ATTACHED! 💥FEB 26💥
🙏🇺🇸STOP THEM POTUS🇺🇸🙏
#2AShallNotBeInfringed #QAnon 
.@realDonaldTrump  .@…</t>
  </si>
  <si>
    <t>RT @Fuctupmind: @StacyLStiles @IngrahamAngle @Wayfair @TripAdvisor @Nestle @Progressive @hulu @sleepnumber @ATT @Nutrish @Allstate @esuranc…</t>
  </si>
  <si>
    <t>RT @John_KissMyBot: A Whining ‘Hogg’ And The #FakeNews Liberals Are Trying Destroy Laura Ingraham Because She’s A Conservative Woman.
Hey…</t>
  </si>
  <si>
    <t>RT @JacobAWohl: Massive Pedophile Ring Busted, 230 Kids Saved — But CNN will say this is just a conspiracy theory dreamed up by @therealros…</t>
  </si>
  <si>
    <t>RT @KatTheHammer1: "There are only two things certain in this century: 1) the sun will rise every morning, and 2) the Second Amendment will…</t>
  </si>
  <si>
    <t>RT @DallasIrey: #Trumpville
@Annettefreschwi 
@DaveSchreiber3 
@paulbenedict7 
@pjbowles4 
@MY_2_Cents_OK
@RightToWalkOut 
@joey_beavers 
@…</t>
  </si>
  <si>
    <t>RT @pinkk9lover: We on the #TrumpTrain R the strongest, most scrupulous, God-fearing people on the 🌎We will NOT compromise our 🇺🇸 values or…</t>
  </si>
  <si>
    <t>RT @USFreedomArmy: You and about 65 million other Americans that value freedom. Our patriot army awaits your enlistment at https://t.co/oSP…</t>
  </si>
  <si>
    <t>RT @GrizzleMeister: My brother Ted Nugent just calling it like he sees it. Liberals are capitalizing off the trauma suffered by children to…</t>
  </si>
  <si>
    <t>RT @AMike4761: Well, well, well, we always knew this time would come, when two disgraced former #FBI big-wigs, turn on one another!…</t>
  </si>
  <si>
    <t>RT @kwilli1046: I've always believed that if you studied hard, worked hard, helped others &amp;amp; did your best everything would work out fine. T…</t>
  </si>
  <si>
    <t>RT @brandongroeny: What is going on in my country? Young adults are openly marching for the removal of their rights. God &amp;amp; patriotism have…</t>
  </si>
  <si>
    <t>RT @jerome_corsi: IDEOLOGUE TEACHERS rant uncontrollably their HATE-TRUMP trash in classroom - Brave 6th Grade Girl Records Unhinged Teache…</t>
  </si>
  <si>
    <t>RT @KMGGaryde: Gun Rights Provocateur David Hogg Rejected By Four Colleges To Which He Applied.  Any takers???? https://t.co/nmucQbZGlJ</t>
  </si>
  <si>
    <t>RT @TruthMaga: 6. And even more 👇👇👇🤣🤣🤣🤣🤣🤣🤣🤣🤣
@msbizz73 
@TrumpsDC 
@bugnurse970 
@Dr_Kaco 
@mommasew 
@AmericanLaoch 
@Daisy49103 
@jayMAGA…</t>
  </si>
  <si>
    <t>RT @DallasIrey: #Trumpville #FBF 
@bruce_fritts
@jennybowles03
@DallasIrey
@BobHarr1944 
@1stAmendAlive 
@formulalol 
@rkinseth 
@GIJoeOPS…</t>
  </si>
  <si>
    <t>RT @DanCovfefe1: @thebradfordfile #GodBlessAmerica #GodBlessOurMilitary #GodBlessTrump #GodBlessYou #GoodFriday 🇺🇸 https://t.co/cMHz0tECP9</t>
  </si>
  <si>
    <t>RT @marklevinshow: CNN trying to Hogg-tie Ingraham and Fox https://t.co/3QKRJ1zd7W</t>
  </si>
  <si>
    <t>WATCH: Actor Attacks Laura Ingraham: 'You Filthy Pig. You Dog-Faced Animal. You F***in Pig.' https://t.co/JdcD4l9uQJ</t>
  </si>
  <si>
    <t>RT @PrisonPlanet: David Hogg cotinues to stir resentment amongst Republicans, giving them a reason to vote in the mid-terms. He has my full…</t>
  </si>
  <si>
    <t>RT @RealAlexJones: .@davidhogg111 Hogg, now you and the Democratic party organizations you work for are trying to bully Laura Ingraham off…</t>
  </si>
  <si>
    <t>RT @Dawn_DeMore1: RT To Show Your For @IngrahamAngle 
#IStandWithLauraIngraham 
We Love And Support You And Our #1A! ❤
#BoycottWayfair #…</t>
  </si>
  <si>
    <t>RT @FoxNews: Sailors assigned to Los Angeles-class attack submarine USS Topeka are greeted by family and friends during a homecoming celebr…</t>
  </si>
  <si>
    <t>RT @FLOTUS: Wishing everyone happiness and health on this #GoodFriday. https://t.co/I49O9pZaoG</t>
  </si>
  <si>
    <t>RT @buzzman888: 🇺🇸#2A 🇺🇸Thank You @DLoesch Dana Loesch: for Your Relentless Efforts #Defending Our #2A Rights - The Ugly Attacks on You &amp;amp; Y…</t>
  </si>
  <si>
    <t>RT @GrizzleMeister: A gentle reminder for those who don’t believe that the swamp runs deep. https://t.co/KgfMTmuNU3</t>
  </si>
  <si>
    <t>RT @LisaMei62: LOL!!  "Barr fans were speculating that the Trump-supporting actress had secretly been taken out and swapped with an imposte…</t>
  </si>
  <si>
    <t>RT @teenyboxes: TIME TO COME TOGETHER.  NO MORE RIGHT OR LEFT.  JUST US!
WE THE PEOPLE
XOXOXOX
#ReleaseTheHRCVideo 
#MAGA 
#HRCvideo 
#WeT…</t>
  </si>
  <si>
    <t>RT @TresDeplorable: Raising his fist ? Calling politicians bitch of the NRA?#marinerapper shreds him in this song ⬇️🇺🇸#GoodFriday #Saturday…</t>
  </si>
  <si>
    <t>RT @vannsmole: A missed opportunity for child crisis actor @davidhogg111 https://t.co/54QabZmL2J</t>
  </si>
  <si>
    <t>RT @TomiLahren: Benefits AND seats? No. https://t.co/RVQ3k1kVHE https://t.co/81KnXp9U46</t>
  </si>
  <si>
    <t>RT @BlueSea1964: 🚨 FBI DETAINS INFOWARS' CONTRIBUTOR TED MALLOCH -- Steals His Cellphone (VIDEO) ...Update: Malloch Released But Shaken!!!!…</t>
  </si>
  <si>
    <t>RT @alozras411: Congrats @therealroseanne on a very successful premier show. Thank you #Roseanne for standing up for what you believe in an…</t>
  </si>
  <si>
    <t>RT @SteveMotley: Steve Motley Interviews Pure-Light Technologies CEO / Inventor Roger Young! https://t.co/yK3zfH1XKc #purelight #pure-light</t>
  </si>
  <si>
    <t>RT @SteveMotley: Retired Marine - This Video is Only for Those Interested In Pure Light Technology! https://t.co/Ac6jJ5vaMa #PureLight #Pur…</t>
  </si>
  <si>
    <t>RT @KevinPaz822: https://t.co/WmfE24txQf</t>
  </si>
  <si>
    <t>RT @ItsNorbitPeters: Watch how the corrupt MSM defends/covers-up the smoking gun e-mails linking Obama to @FBI &amp;amp; @DOJ efforts to exonerate…</t>
  </si>
  <si>
    <t>Q Anon - Great Awakening https://t.co/4MtrFSwMtA</t>
  </si>
  <si>
    <t>Q Anon - Got Q? Long Sleeve https://t.co/aIsCbsgv8y</t>
  </si>
  <si>
    <t>RT @inittowinit007: 🔥HILLARY GOES TO GITMO🔥
#HRCVideo  #ReleaseTheVideo  #MAGA #QAnon .@POTUS 
.         .@realDonaldTrump https://t.co/XYG…</t>
  </si>
  <si>
    <t>Q Anon - I'm With Q Women's https://t.co/MZapvNManr</t>
  </si>
  <si>
    <t>Bicycle Patent https://t.co/q9g8Q8TB8w</t>
  </si>
  <si>
    <t>Lights Camera Meltdown Toddler https://t.co/DKOtfbj1vH</t>
  </si>
  <si>
    <t>Hero Youth https://t.co/CcvmxNRWLJ</t>
  </si>
  <si>
    <t>Karma Infant https://t.co/YNmW1TGkgl</t>
  </si>
  <si>
    <t>This Mom https://t.co/ProJ8g9NcL</t>
  </si>
  <si>
    <t>RT @Remi_Vladuceanu: Bitcoin is Supposedly Dead, But Not Quite https://t.co/8Ta9aKYMOJ 
#newsoftheweek #Bitcoin #blockchain #crypto #crypto…</t>
  </si>
  <si>
    <t>RT @DonnaWR8: @RealErinCruz Make #California GREATAgain! 
#VoteErinCruz
#RedWaveRising2018 https://t.co/tKKgdq54tR</t>
  </si>
  <si>
    <t>RT @velvetrose15: #VietnamVeteransDay Honoring all of our Vietnam veterans.  You were never given the special thanks and treatment you dese…</t>
  </si>
  <si>
    <t>RT @TRUTH_USA_2016: Absolutely LOVE THIS!
#OOHRAH 🇺🇸💪🏽 https://t.co/hYSivk39yB</t>
  </si>
  <si>
    <t>RT @DallasIrey: #Trumpville
@IngrahamAngle
@CAS5050
@siness22
@YodaJaxNme3
@RightToWalkOut
@dovewings68
@LindaLu4America
@sweetrtweetrD
@Da…</t>
  </si>
  <si>
    <t>RT @BrennaKellyNews: #BREAKING: 20 y/o Jahrell Lillard was shot in the Clackamas Town Center parking lot. Deputy says he is Damian Lillard’…</t>
  </si>
  <si>
    <t>RT @busylizzie48: @_FranklinWright @here4Potus1224 Love this man! https://t.co/O82yf89m9v</t>
  </si>
  <si>
    <t>RT @RealEagleWings: Earlier, Fabio referred to the homeless crisis in California as the "wild wild west." https://t.co/3nu0OOPQI1</t>
  </si>
  <si>
    <t>RT @ColumbiaBugle: @davidhogg111 @IngrahamAngle Because Laura Ingraham is a great conservative who believes in protecting our rights as Ame…</t>
  </si>
  <si>
    <t>RT @thebradfordfile: Voice of a child? Nope.
It's the voice of hypocrisy. https://t.co/NQHmsCHhvN</t>
  </si>
  <si>
    <t>WTF are we doing? https://t.co/yaPPStqUUZ</t>
  </si>
  <si>
    <t>RT @StacyLStiles: Here’s a group photo of the the most corrupt administration in the history of America. 
#ObamaGate #DrainTheSwamp #DeepS…</t>
  </si>
  <si>
    <t>RT @RedStormIsHERE: If you support @IngrahamAngle and refuse to be held hostage by nasty boy #Hoggs who’s feelings were hurt, pls #RT to sh…</t>
  </si>
  <si>
    <t>RT @DallasIrey: #Trumpville
@IngrahamAngle 
@JonDeLeonUSA 
@pjbowles4 
@Libertywins 
@rkinseth 
@formulalol 
@RightToWalkOut 
@bbusa617 
@R…</t>
  </si>
  <si>
    <t>RT @RodStryker: David Hogg is boycotting common sense.
He smears law abiding citizens &amp;amp; NRA members, calling us the child murderers.
He d…</t>
  </si>
  <si>
    <t>John Stossel: Why so many are 'taking the red pill' (and discovering the truth about the mainstream media) https://t.co/9JnzAIiqYy #FoxNews</t>
  </si>
  <si>
    <t>This Vegetable Will Fix Everything Wrong In Your Body! https://t.co/XoaaP7quAq</t>
  </si>
  <si>
    <t>RT @BackThePolice: Yes! https://t.co/ff3j8WjuWK</t>
  </si>
  <si>
    <t>RT @IWillRedPillU: President Trump Ousts Veterans Affairs Secretary David Shulkin for Rear Admiral Dr. Ronny L. Jackson
#TheAmericans #STAR…</t>
  </si>
  <si>
    <t>RT @gal_deplorable: Right there with you Anon.
#TrustThePlan
#QAnon https://t.co/L8f9F68q98</t>
  </si>
  <si>
    <t>RT @surfermom77: On Tuesday, ABC relaunched “Roseanne” after two decades of being off the air. However, they added a twist: a pro-Trump plo…</t>
  </si>
  <si>
    <t>RT @DallasIrey: #Trumpville
@ChakosSusan
@L1120Harold 
@Texas_Proud_MP 
@BullToss69 
@JaguarJinx 
@DebbieTheMOTS 
@Erickslunatick
@J_MAGA…</t>
  </si>
  <si>
    <t>RT @RodStryker: @JohnBouchell The only way to expose the fraud being perpetrated on Americans is to hold those accountable who gave the "St…</t>
  </si>
  <si>
    <t>The Real Collusion Story https://t.co/kxbR0Xs2Sp</t>
  </si>
  <si>
    <t>RT @thetracyhilton: N3W Q DR0PS 
3/28/18 
@jerome_corsi https://t.co/S0Q2woozA0</t>
  </si>
  <si>
    <t>RT @WalshFreedom: Trump will nominate Admiral Ronny Jackson as the next VA Secretary. https://t.co/R4UCtip2cN</t>
  </si>
  <si>
    <t>RT @TheLastRefuge2: President Trump Fires VA Secretary David Shulkin… https://t.co/HXcD90GOYj https://t.co/BbWoSyU5W7</t>
  </si>
  <si>
    <t>RT @FoxNews: Charles Lane on @POTUS replacing Shulkin as VA secretary: "It's a strange irony that these are the people that our country owe…</t>
  </si>
  <si>
    <t>RT @JDrake2112: This is exactly why nobody takes these march’s  seriously, i’m willing to bet $100 her mother was wearing a vagina costume…</t>
  </si>
  <si>
    <t>RT @AnnaApp91838450: 🚨PATRIOTS NOT SURE/I'M IN TWITTER TIME OUT WON'T LET DROP A POST/STORY/ PICTURE TIME🎯 BELOVED PRESIDENT TRUMP 
💯SUPPOR…</t>
  </si>
  <si>
    <t>RT @RealWolfsPride: .@realDonaldTrump .@POTUS 
‘What Separates The Winners From The Losers 
Is How A Person Reacts To Each New Twist Of Fai…</t>
  </si>
  <si>
    <t>RT @TruthMaga: He is my President.....
He is your President...
He is our President....
Like it or not he Is President stand behind him o…</t>
  </si>
  <si>
    <t>RT @JDugudichi: @Megavolts001 @Rusty662 @Tru1dy @goodmedicine4us @Selinasyfy @jones_mahoney @surfd55 @CharlesXtoXsome @dasertine @marie_mic…</t>
  </si>
  <si>
    <t>RT @RealAlexJones: BREAKING: FBI Detains Infowars Contributor Over Fake Russian Collusion Narrative https://t.co/7AaQGLYqQ3</t>
  </si>
  <si>
    <t>RT @PatriotLexi: 📍Sarah Sanders Briefing: 'No Pardons Under Consideration'📍
The president’s lawyer working on the special counsel probe, T…</t>
  </si>
  <si>
    <t>RT @Trey_VonDinkis: #EU #LeftistSedition #IslamicTerrorism #Globalism=Communism
.
.
🇬🇧UNITED KINGDOM: 
UK Journalist &amp;amp; Truth Teller Tommy…</t>
  </si>
  <si>
    <t>RT @otdon: @codeofvets @Truthseeker126 #MAGA #KAG2020 #VOTRED #AmericaFirst #codeofvets https://t.co/zrwccGPe6A</t>
  </si>
  <si>
    <t>RT @PatriotMarie: John Stossel: Why so many are 'taking the red pill' (and discovering the truth about the mainstream media) They are And a…</t>
  </si>
  <si>
    <t>https://t.co/4VhEj6TRZQ https://t.co/9JnzAIiqYy</t>
  </si>
  <si>
    <t>https://t.co/4VhEj6TRZQ https://t.co/BpTUbC2piP</t>
  </si>
  <si>
    <t>RT @AMike4761: Inspector General Confirms Probe Of FBI's Criminal FISA Warrant Abuse To Spy On Trump.                              #ma4t…</t>
  </si>
  <si>
    <t>RT @patrickgotti: Roseanne is back ! She was hoping for at least 6 million viewers her 1st show it got over 18 million same cast &amp;amp; just lik…</t>
  </si>
  <si>
    <t>RT @inittowinit007: 🙏”Please PRAY for those who would lay down their lives to protect your FREEDOMS!”🙏
.@realDonaldTrump  .@POTUS 
#TheGrea…</t>
  </si>
  <si>
    <t>Retired Marine - This Video is Only for Those Interested In Pure Light Technology! https://t.co/Ac6jJ5vaMa #PureLight #Pure-Light</t>
  </si>
  <si>
    <t>RT @cjane53: PATRIOTS UNITED!!!!
@PatriciaEggett2
@shar91526564
@grayguy1942
@No50884605
@patriot_latina
@PastenseDig
@LisaRoll4
@covfefear…</t>
  </si>
  <si>
    <t>RT @HrrEerren: @GenFlynn🇺🇸deserves at least the 🎖Medal of Honor🏅 for his sacrifice in the #DrainTheSwamp project that is so important to🇺🇸…</t>
  </si>
  <si>
    <t>RT @thehill: First episode of new pro-Trump "Roseanne" scores monster ratings  https://t.co/vXTws10CRv https://t.co/xtdMQEdPrJ</t>
  </si>
  <si>
    <t>RT @nerak0331: .@thebestcloser on #Periscope: #CloserNation #EggDrp #GoLive #Trump #MAGA #News #BNC #USA #… https://t.co/20m7QEMpca https:/…</t>
  </si>
  <si>
    <t>RT @SteveMotley: Have You Heard About Pure Light Technologies? You will soon! Official Launch Friday 30 March 2018!  We Need Marketing Reps…</t>
  </si>
  <si>
    <t>Injustice In Progress – Revisiting Vince Edwards https://t.co/Vsipbytoyg via @YouTube</t>
  </si>
  <si>
    <t>Vince Edwards – Calling All Patriots https://t.co/caHYC6w63x via @YouTube</t>
  </si>
  <si>
    <t>Q Anon - Q Sent Me Women's https://t.co/mZ7wNmblJK</t>
  </si>
  <si>
    <t>RT @SteveMotley: That's a Freaking Dragon Anti-Tank Weapon! Love It!  You Go Girl.....Get Some! https://t.co/5Yrmh77hY3</t>
  </si>
  <si>
    <t>RT @SteveMotley: Q Anon - I'm With Q Women's Shirt! https://t.co/MZapvNuzvT #QAnon</t>
  </si>
  <si>
    <t>RT @Austin2018Rose: Let’s get .@hidehunt1 to 25,000. She’s an awesome tweeter! She’s working hard to get grassroots elected. Please give he…</t>
  </si>
  <si>
    <t>RT @USFreedomArmy: Scream out America. Your freedoms are being slowly taken away. Stand up &amp;amp; enlist in our patriot army at https://t.co/oSP…</t>
  </si>
  <si>
    <t>RT @TheLastRefuge2: What a Difference Six Months Makes – International Media Discuss Kim Jong-Un Meeting With Xi Jinping… https://t.co/VLSz…</t>
  </si>
  <si>
    <t>RT @yigsstarhouse: https://t.co/Wpz77yvADY</t>
  </si>
  <si>
    <t>RT @Tombx7M: Face down
The Deep state doesn’t likes 
#FoxandFriends #morningjoe #QANON #MAGA
#TheStormIsHere #Trump #NorthKoreaTalks https:…</t>
  </si>
  <si>
    <t>RT @ColumbiaBugle: @realDonaldTrump God Bless the NRA!!! https://t.co/PdSB1APEnP</t>
  </si>
  <si>
    <t>RT @EjHirschberger: I simply have two words for left wing Stormy Daniels hysteria: Bill Clinton 
The End. 
#MAGA by #Kawney2 https://t.co…</t>
  </si>
  <si>
    <t>RT @realDonaldTrump: Received message last night from XI JINPING of China that his meeting with KIM JONG UN went very well and that KIM loo…</t>
  </si>
  <si>
    <t>RT @StanBrotherUSMC: GOOD MORNING LEATHERNECKS, DEVIL DOGS, MARINES..... https://t.co/mD0a7ZoWe3</t>
  </si>
  <si>
    <t>RT @realDonaldTrump: THE SECOND AMENDMENT WILL NEVER BE REPEALED! As much as Democrats would like to see this happen, and despite the words…</t>
  </si>
  <si>
    <t>RT @JosieFiorda: #QAnon #Q https://t.co/hzqwEiY2lS</t>
  </si>
  <si>
    <t>RT @Don_Vito_08: When your entire “Resistance Movement” to #Trump is contingent on emotional high school kids and a porn star, it’s time fo…</t>
  </si>
  <si>
    <t>RT @TrumpsBlonde2: His name was Mark Zuckerberg 😎 https://t.co/wt2AA2nAha</t>
  </si>
  <si>
    <t>RT @mixedopinionss: Just going to put this here. Remind everyone to have fun and support trump. Also best dance moves ever
https://t.co/GLZ…</t>
  </si>
  <si>
    <t>RT @mixedopinionss: #DavidHogg Fully exposed. No Conspiracy Theory. This is 100% Indisputable proof. Retweet Now Spread. Expose the Fra… ht…</t>
  </si>
  <si>
    <t>Q Anon - I'm With Q Women's Shirt! https://t.co/MZapvNuzvT #QAnon</t>
  </si>
  <si>
    <t>https://t.co/MCa7p4SZgQ</t>
  </si>
  <si>
    <t>Yes Indeed I Believe in Evolution! https://t.co/jphyiI9j7P</t>
  </si>
  <si>
    <t>Revolution Evolution https://t.co/jphyiI9j7P #MAGA</t>
  </si>
  <si>
    <t>RT @DineshDSouza: President Reagan has a word for the #MarchForOurLives demonstrators…
https://t.co/dWk4dDy58o https://t.co/JDOtT7CpXy</t>
  </si>
  <si>
    <t>RT @RedPillWorld: #ROSEANNE  is the “Red Pill.” She will wake up millions. Simply amazing.
Congrats @therealroseanne, you deserve this. 👏…</t>
  </si>
  <si>
    <t>RT @stacy_redvirgo: @thebradfordfile Peeping Tom👇🏻👇🏻👇🏻👇🏻 https://t.co/4yVkWcLX5b</t>
  </si>
  <si>
    <t>RT @Golfinggary5221: Do you know why #Liberals call our #truth #HateSpeech?
TRUTH SOUNDS LIKE HATE TO THOSE WHO HATE TRUTH
#1A
#MAGA
#KAG h…</t>
  </si>
  <si>
    <t>RT @brutalistPress: Massive red pill in Colorado! https://t.co/EyZasI5JnR https://t.co/KJmXuiaZ8a</t>
  </si>
  <si>
    <t>RT @EjHirschberger: @my2006bmw @hotfunkytown It’s sad to see how brainwashed #America was and is. We’re waking up though!! #MAGA #USA🇺🇸 by…</t>
  </si>
  <si>
    <t>That's a Freaking Dragon Anti-Tank Weapon! Love It!  You Go Girl.....Get Some! https://t.co/5Yrmh77hY3</t>
  </si>
  <si>
    <t>RT @55true4u: Part II – How were they ‘adopted’ into the cult (as children).
What were they provided for obeying and staying silent (brainw…</t>
  </si>
  <si>
    <t>RT @Tombx7M: Now for the real news
 #StormyDanielsInterview 
#60minutes #FoxandFriends #Morningjoe #tcot 
#ccot #qanon #Trump #MAGA https:/…</t>
  </si>
  <si>
    <t>RT @55true4u: "deathbed confession" audio tape in which former CIA agent Watergate conspirator E. Howard Hunt admits he was approached to b…</t>
  </si>
  <si>
    <t>RT @jerome_corsi: Here's a playbook. Want to read it &amp;amp; follow Or, @realDonaldTrump would you rather die the death of a 1k small cuts &amp;amp; be D…</t>
  </si>
  <si>
    <t>RT @TrumpSlide_2020: Watch
👇🏻
Validate your gut instincts  
👇🏻
RT 
#QAnon
#PumpRules #MizTV 
https://t.co/3uzoaYPB7G</t>
  </si>
  <si>
    <t>RT @Tombx7M: Everyone day war
 #whatilearnedtoday #MAGA #Trump
#QAnon https://t.co/CxgtLGagI6</t>
  </si>
  <si>
    <t>Why pay in Idaho is rising at the fastest rate in the nation https://t.co/5pKcIyz2G7 via @WSJ</t>
  </si>
  <si>
    <t>Fake news 2.0: personalized, optimized, and even harder to stop - via @techreview https://t.co/axIs2c2tkJ</t>
  </si>
  <si>
    <t>In response to California sanctuary law, Orange County Sheriff makes public inmates' release dates https://t.co/eYRVd0ht10</t>
  </si>
  <si>
    <t>Two pilots report seeing UFO in southern Arizona skies https://t.co/8K78jixYuo</t>
  </si>
  <si>
    <t>https://t.co/2UC10RSIaQ</t>
  </si>
  <si>
    <t>China confirms Kim Jon-un went to Beijing to meet President Xi Jinping https://t.co/eu2DsKAWfV via @MailOnline</t>
  </si>
  <si>
    <t>Cambridge Analytica Whistleblower: Facebook Able to Listen to You at Home and Work https://t.co/3WDjjZN96A #Trending via @pjmedia_com</t>
  </si>
  <si>
    <t>RT @sweetatertot2: You are incredibly naive if you think the elite leftist funding mass protests against guns are doing it "for the childre…</t>
  </si>
  <si>
    <t>RT @larrycraft57: What is going on here.Twilight Zone???
YouTube removed this. luckily a anon downloaded it.  #QAnon
 https://t.co/b7aMkzPg…</t>
  </si>
  <si>
    <t>RT @Tombx7M: Say it with me folks
#FoxandFriends #MorningJoe #MAGA #QAnon 
#Trump #Tcot #Ccot #TuesdayThoughts https://t.co/4r7472Qdg0</t>
  </si>
  <si>
    <t>I Love This Picture! #MAGA https://t.co/kdkYfS1yr1</t>
  </si>
  <si>
    <t>RT @TeenyLZP: THIS WOMAN IS A CRIMINAL!!! 
#LockHerUp #FisaAbuse #ReleaseTheVideo #HillaryForPrison #HRCVideo 
#WeThePeople #DeepState #Th…</t>
  </si>
  <si>
    <t>RT @Tombx7M: Repeal the Second Amendment 
How about enforcing the laws 
#MAGA #Trump #QAnon #2a https://t.co/zTThWvtisp</t>
  </si>
  <si>
    <t>RT @Tombx7M: These Valedictorians can’t wait to fill out the census. it’s written all over their faces
 #Tucker #Hannity #MAGA #Trump #Qano…</t>
  </si>
  <si>
    <t>RT @gal_deplorable: Are your eyes open?
#QAnon https://t.co/arFVPLPeEX</t>
  </si>
  <si>
    <t>RT @Tombx7M: The midterms are coming
Your hard work should be the motivation
#Hannity #Trump #MAGA #Qanon #California https://t.co/519sbZ2…</t>
  </si>
  <si>
    <t>RT @anon_RicoRich: @jerome_corsi Apparently what you Dr @jerome_corsi are trying to share with #WeThePeople #QAnon #Qanon8chan #thestorm #t…</t>
  </si>
  <si>
    <t>RT @IWillRedPillU: This is a PETITION from @JudicialWatch
HELP EXPOSE GEORGE SOROS
Please Sign This Petition &amp;amp; Spread To Family &amp;amp; Friend #T…</t>
  </si>
  <si>
    <t>RT @GingerQMemeBot: @TheSharpEdge1 @realDonaldTrump  https://t.co/bC0UtNXdPm</t>
  </si>
  <si>
    <t>RT @H0418811807: https://t.co/UlOwb6KA6S</t>
  </si>
  <si>
    <t>RT @teenyboxes: NEW Q! FLYNN WILL BE CLEARED 30 DAYS!!!!! HOLY YES! and there is a really long one so go read it!!!
https://t.co/2CwLem8Rr…</t>
  </si>
  <si>
    <t>Have You Ever Wanted to Be In The Right Place at the Right Time With the Right People With the Right Product? Have You Heard About Pure Light Technologies? Well....You Will Soon! The Official Company Launch is... https://t.co/kQpS5mM5cQ</t>
  </si>
  <si>
    <t>RT @colinsdad888: FYI! 
THIS Omnibus Spending Bill is not a "FEDERAL BUDGET". This Bill comes with a set of instructions on how the money s…</t>
  </si>
  <si>
    <t>RT @GarrisonToons: Hillary Clinton's Crooked Cranium! https://t.co/RHhVdbGCkw</t>
  </si>
  <si>
    <t>RT @USATrump45: Nice Jobs, Kids! NRA Contributions More Than Tripled In February https://t.co/kDymfByupA</t>
  </si>
  <si>
    <t>Total Fabricated Lie! "Stormy" like The Storm is Upon Us! #TheGreatAwakening #TheStorm #QAnon https://t.co/V9LP31k3uD</t>
  </si>
  <si>
    <t>RT @Thomas1774Paine: “Dumb F–ks”: Julian Assange Reminds Us What Mark Zuckerberg Thinks Of Facebook Users https://t.co/lsuv4HnubM</t>
  </si>
  <si>
    <t>RT @veteranhank: All lovely, but the lovely lady on the left is heavenly. https://t.co/SmztfRGvAW</t>
  </si>
  <si>
    <t>RT @kwilli1046: We Owe illegals Nothing! We Owe Our Veterans Everything! Retweet if You Agree! #MAGA #AmericaFirst https://t.co/ylBN6oir4i</t>
  </si>
  <si>
    <t>RT @ChrissyUSA1: #MAGA #Patriot #Qanon #TheStormHasCome #WeThePeople #InternetBillOfRights #MAGAOneRadio #2A #TheGreatAwakening #GodsArmy…</t>
  </si>
  <si>
    <t>Revolution Evolution https://t.co/PJDN2plUgP #MAGA #TheMotleyCrew #QAnon #AmericanRevolution2.0</t>
  </si>
  <si>
    <t>RT @bbusa617: John Paul Stevens: Repeal the Second Amendment https://t.co/eefpVmfE1n
JOHN PAUL STEVENS REPEAL STORY IN NYT But Make No Mis…</t>
  </si>
  <si>
    <t>RT @jenn_027: Blatant misuse of military funds? Give me a break. 
#BuildTheWall use the #ArmyCorps and #ProtectAmericans 
My bet is @ICEg…</t>
  </si>
  <si>
    <t>RT @LaunaSallai: NO IFs ANDs or BUTs, Lets MAGA PEEPS
@scm491
@suzanb1776
@DaveSchreiber3
@galrunner2004
@stacie_allison
@ChuckPithy
@Pithy…</t>
  </si>
  <si>
    <t>RT @gal_deplorable: Flynn WILL walk!
New from #QAnon. https://t.co/O5SkJxUMSV</t>
  </si>
  <si>
    <t>RT @gal_deplorable: WE ARE THE GATEKEEPERS OF ALL [BY ALL WE MEAN ALL] INFORMATION. 
New from #QAnon! https://t.co/ghoLkuMDgv</t>
  </si>
  <si>
    <t>RT @DannysFitness: Meet Ben Garrison, The Number One Political Cartoonist In The World https://t.co/UIiNSDTuX9 via @YouTube</t>
  </si>
  <si>
    <t>RT @GrrrGraphics: Anti-'sanctuary state' movement picks up steam in Orange County
Must be "Cataphobic" in #OrangeCounty Right? #california…</t>
  </si>
  <si>
    <t>RT @TheGreatFeather: Make gun control the central issue of the 2018 midterms! I double dare you liberals! The GOP voters will be out in dro…</t>
  </si>
  <si>
    <t>RT @jamestrumpster1: All Hail IG #Horowitz Don't forget #WhiteyBulger case -- #KevinHogg father of #DavidHogg was one of the raid/arrest FB…</t>
  </si>
  <si>
    <t>Have You Heard About Pure Light Technologies? You will soon! Official Launch Friday 30 March 2018!  We Need Marketing Reps To Help Us Take This Patented Technology to the World. https://t.co/f2yp5bCrdu Go Here to Join My Team:  https://t.co/4itP0BS5si https://t.co/lZdVYyvJIf</t>
  </si>
  <si>
    <t>https://t.co/4VhEj7btoq https://t.co/EzQjoTPnnJ</t>
  </si>
  <si>
    <t>RT @mikandynothem: 📺RETWEET📺 if you are watching or will be watching and supporting the new "Trump friendly" Roseanne show! It rocks! @ther…</t>
  </si>
  <si>
    <t>#MAGA https://t.co/NPLIsuyue8</t>
  </si>
  <si>
    <t>#SemperFi #Marines #AmericaFirst #MAGA https://t.co/VmJN0C7DSj</t>
  </si>
  <si>
    <t>#MAGA https://t.co/lnsfcaRp1v</t>
  </si>
  <si>
    <t>Why Is This Bitch Still Walking The Streets?  #LockHerUp https://t.co/SC1X5S2FaV</t>
  </si>
  <si>
    <t>RT @ExDemLatina: #Roseanne  is proof you can tackle politics and be funny! 
 @jimmykimmel and all the late night leftist shills for the De…</t>
  </si>
  <si>
    <t>RT @RealEagleWings: .@therealroseanne @SG21829707 
.@birdankle @RealWolfsPride 
 A powerful statement as her grandson tastes in clothes doe…</t>
  </si>
  <si>
    <t>RT @John_KissMyBot: In 2009 Facebook’s Zuckerberg said he’d NEVER SELL Your Personal Information, WELL, Guess What ? HE LIED 👉He’s Been Sel…</t>
  </si>
  <si>
    <t>RT @AnnaApp91838450: 🇺🇸GOOD NIGHT PATRIOTS
THANK GOD FOR PRESIDENT TRUMP'S STRENGTH TO STAND UP/ HATERS / FAKE MEDIA &amp;amp; CORRUPT DEMOCRATS💯🙏…</t>
  </si>
  <si>
    <t>RT @gbroh10: #DeepStateDemolished 
#StandWithTrump 
#MAGAForAll 
"I want to make sure that people understand that one of my jobs is to mak…</t>
  </si>
  <si>
    <t>RT @CommieCruncher: PARKLAND is a DISTRACTION.
PARKLAND was specifically organized &amp;amp; designed to DISTRACT [TEST] - watch the news.
ACTORS a…</t>
  </si>
  <si>
    <t>RT @NevadaJack2: North Korean leader Kim Jong Un has pledged to denuclearize and meet U.S. officials, China said on Wednesday after an hist…</t>
  </si>
  <si>
    <t>RT @FriendlyJMC: So the DEMS are opposed to asking citizens if they are legal for the census.
Can their attempts to rig elections be expos…</t>
  </si>
  <si>
    <t>RT @GrizzleMeister: Typical Hollywood Hypocrisy by individuals like Snoopy who’ve made millions acting gangster &amp;amp;traveling w/armed security…</t>
  </si>
  <si>
    <t>RT @Q_101_X: "Repeal the Second Amendment" John Paul Stevens, well Sir you can rest assured the #RepealThe2nd will never happen in your lif…</t>
  </si>
  <si>
    <t>RT @EjHirschberger: RT Political Correctness is killing #America . #USA #Americans #Military #PJNET #NRA #2A #Trump #Cruz #Congress @GOP by…</t>
  </si>
  <si>
    <t>RT @VFL2013: 🤔🤔🤔 Just Saying.... Ummm No!!! https://t.co/6fWjwavggO</t>
  </si>
  <si>
    <t>Question Everything! Q Shirt!  Check Out Our Selection! - https://t.co/r3SJVlkya0 #QAnon @QuestionEverything #MAGA</t>
  </si>
  <si>
    <t>Buy Dr. Corsi's book "Killing The Deep State" https://t.co/YiCgftpEs4</t>
  </si>
  <si>
    <t>How true is this? #MAGA https://t.co/tczXhI0SKu</t>
  </si>
  <si>
    <t>Retired Marine - Pure Light Technologies! The Future of Light is Here! https://t.co/Ac6jJ5vaMa #PureLight #Pure-Light
#PureLightTechnologies</t>
  </si>
  <si>
    <t>RT @RedWaveRising1: ATTN: #ArmyofTrump 
Do you live in Alabama?
Have friends &amp;amp; family in AL? 
Call, text, email...CARPOOL &amp;amp; offer rides…</t>
  </si>
  <si>
    <t>RT @PrisonPlanet: Retweet if you're a Trump supporter who couldn't give a flying f**k about Stormy Daniels. #StormyDanielsDay</t>
  </si>
  <si>
    <t>RT @MarkDice: The 60 Minutes Skanky Daniels NOTHING BURGER 😆 [video]: https://t.co/qpsnAWax8S https://t.co/kHleyE5xyC</t>
  </si>
  <si>
    <t>RT @RealMattCouch: America First Media Live from Washington, D.C. #SethRich #HisNameWasSethRich https://t.co/Xn8ZVKCMLe</t>
  </si>
  <si>
    <t>RT @RedStormIsHERE: Let's ALL remember HOW great our @POTUS truly is! We MUST all get out &amp;amp; #VoteRed &amp;amp; for #TrumpSupporters in 2018 THEN DO…</t>
  </si>
  <si>
    <t>RT @KMGGaryde: Good Night Patriots! Tomorrow take a chance ...get up &amp;amp; fight for Trump's agenda.  You won't regret it.
#SleepWell😴
#ThinkAb…</t>
  </si>
  <si>
    <t>RT @EjHirschberger: TRUTH ARROWS 🎯🎯🎯
Democrats don’t just HATE our president... They HATE America! 
#AmericaFirst #MAGA 🇺🇸
#LiberalismIsA…</t>
  </si>
  <si>
    <t>RT @The_Trump_Train: BUILD THE WALL!
BUILD THE WALL!
BUILD THE WALL!
BUILD THE WALL!
BUILD THE WALL!
BUILD THE WALL!
BUILD THE WALL!…</t>
  </si>
  <si>
    <t>RT @RealEagleWings: .@dbongino:Problem with this debate; you have people who live in these cultural bubbles who talk about gun owners as if…</t>
  </si>
  <si>
    <t>Well said Raging Gay! https://t.co/7HEsR5Uomo</t>
  </si>
  <si>
    <t>RT @MarkDice: That bombshell 60 Minutes interview with Skanky Daniels is sure to sink Trump once and for all.   Wait...what's this?  Oh, it…</t>
  </si>
  <si>
    <t>RT @prayingmedic: Trump Expels Russian Diplomats To Force Peace Talks https://t.co/nqOOTlqun3</t>
  </si>
  <si>
    <t>RT @RealMattCouch: Rise and Rise again, until lambs become Lions.</t>
  </si>
  <si>
    <t>RT @mike_Zollo: It is time to mobilize for 2018 midterms. Do not be lazy, do not get comfortable, do not give excuses, it is OUR job to vot…</t>
  </si>
  <si>
    <t>OMG! How Nasty is That? https://t.co/eiHuCidRaF</t>
  </si>
  <si>
    <t>These dumb bastards fabricated this entire “Stormy” Bull Shit story based on “The Storm” as in #QAnon https://t.co/K7rLhqgubs</t>
  </si>
  <si>
    <t>RT @John_KissMyBot: Hollywood is Suffering It’s Worst Box Office Sales In History 😂 
Hmm 🤔, Is America Finally Boycotting The Hollywood El…</t>
  </si>
  <si>
    <t>RT @sap_togo: 'Throw All That Crap Out' - Bolton Poised To Make HUGE Changes At The National Security Council
https://t.co/rhKCn4ADd4 https…</t>
  </si>
  <si>
    <t>RT @Rambobiggs: If we’ve been friends for years on social media and we’ve never met and you’ve never actually used a picture of yourself, d…</t>
  </si>
  <si>
    <t>RT @dawg_lb: "No doubt it is not about guns, but about people control"!!!!!
#2Amendment 
#dawg_lb https://t.co/nxgH2bwY6e</t>
  </si>
  <si>
    <t>RT @IngrahamAngle: Up next -- new info about what the FBI knew before the deadly Pulse nightclub terror attack. Is this another black eye f…</t>
  </si>
  <si>
    <t>RT @Dawn_DeMore1: Good Morning Patriots 🇺🇸
Stay Strong, Stay United 🗽
@GenFlynn Thank You For Your Service Sir 🇺🇸 God Bless You and Your…</t>
  </si>
  <si>
    <t>RT @KendallMigues: Mitch you betrayed Americans who put your Party in power making victory in Midterms more unlikely. Fall on your sword an…</t>
  </si>
  <si>
    <t>RT @TuckerCarlson: In real life, nothing is simple. We don't know why the incidence of school shootings has risen, even as the proportion o…</t>
  </si>
  <si>
    <t>RT @realDonaldTrump: Trade talks going on with numerous countries that, for many years, have not treated the United States fairly. In the e…</t>
  </si>
  <si>
    <t>I have 405 new followers from USA, UK., Canada, and more last week. See https://t.co/Z5SFmgjj3M https://t.co/FrQPvkXyf2</t>
  </si>
  <si>
    <t>RT @DjLots3: We love you Mr. President!!!!
@POTUS @realDonaldTrump will protect us and keep us safe even against Americans (Dems) that don…</t>
  </si>
  <si>
    <t>RT @TrumpTrainMRA4: Please Call Two Men and a Truck and get those AntiAmerica RhinoPublican’s Out of BroKen Corrupt Washington and lets giv…</t>
  </si>
  <si>
    <t>RT @USFreedomArmy: These are the kinds of people CNN employs. The MSM is a farce. Enlist in the #USFA at https://t.co/oSPeY48nOh. Stand up…</t>
  </si>
  <si>
    <t>RT @V_of_Europe: Almost daily there are mass protests against Merkel and migration. This was Kandel today! https://t.co/ikOZnOg56f</t>
  </si>
  <si>
    <t>RT @Q_101_X: #DisappointmentIn4Words &amp;gt;&amp;gt;&amp;gt; #MarchForOurLives
#DisappointmentIn4Words &amp;gt;&amp;gt;&amp;gt; #MarchForOurLives
#DisappointmentIn4Words &amp;gt;&amp;gt;&amp;gt; #March…</t>
  </si>
  <si>
    <t>RT @buzzman888: 🇺🇸🇺🇸 So Tell Me: What Is Your Message? #MarchForOurLives🇺🇸🇺🇸
#PoliticalPawns   
#KAG!   @POTUS  @NRA   #NRA   #SecondAmend…</t>
  </si>
  <si>
    <t>RT @Kimbraov1: WHITE HOUSE PURGE about to begin, led by John Bolton https://t.co/ooj5ZKkwI8 via @barenakedislam</t>
  </si>
  <si>
    <t>RT @StacyLStiles: Yah, I didn’t want @POTUS to sign the crappy #Omnibus, HOWEVER, I still trust President @realDonaldTrump  over anyone els…</t>
  </si>
  <si>
    <t>RT @TruthMatters13: Some trust in chariots and some in horses, but we trust in the name of the LORD our God.
Psalm 20:7
Whatever happens,…</t>
  </si>
  <si>
    <t>RT @Chicago1Ray: Students in [Wash DC] were quick to call for a ban on Assault weapons, but do they know what that means? Answers below 👇…</t>
  </si>
  <si>
    <t>The Chris Shine Story! https://t.co/OyBjsj6OJn</t>
  </si>
  <si>
    <t>RT @ThyConsigliori: 1) The #ClearFlynnNow mission faces two types of missions. To clear @GenFlynn is our positive mission. To bring justice…</t>
  </si>
  <si>
    <t>RT @sanskrit4: @ArizonaKayte @Jerzygma @POTUS @realDonaldTrump @alozras411 @GartrellLinda @gr8tjude @bbusa617 @BrotherVet @GrizzleMeister @…</t>
  </si>
  <si>
    <t>RT @RealMAGASteve: “Men are falling behind as Fathers are disappearing from American family life, and it's having a devastating effect on t…</t>
  </si>
  <si>
    <t>RT @Jillibean557: @RealJamesWoods I respectfully disagree. Trump secured 700 billion for our Military this is no small feat. The game is no…</t>
  </si>
  <si>
    <t>Freaking Eddie Munster All Grown Up Makes Me Sick! https://t.co/G9OwI2onQd</t>
  </si>
  <si>
    <t>RT @EjHirschberger: Keep the Trump train rolling, R/T #WootWoot!  #MAGA
@GeorgiaDirtRoad
@APTT45Babe 
@jimlibertarian 
@SharonLesley11 
@Li…</t>
  </si>
  <si>
    <t>RT @LVNancy: ISIS-aligned gunman takes hostages &amp;amp; kills 2 #Trebes 
#France outlawed guns 
... someone forgot to tell the criminal tho 🤨
P…</t>
  </si>
  <si>
    <t>RT @John_KissMyBot: My Support For President #Trump Continues At 100 %.     I Put the Blame On Paul Ryan and Mitch McConnell 
The Bill Doe…</t>
  </si>
  <si>
    <t>RT @kwilli1046: It is astonishing how blind the left has become. The #NRA fights for our constitutional rights and provides gun safety trai…</t>
  </si>
  <si>
    <t>RT @tracybeanz: Tomorrow I am waking up at 4AM. I am going to read and analyze every last line of this bill and when I am done, I will do e…</t>
  </si>
  <si>
    <t>RT @kwilli1046: I Stand With Trump 100%! Retweet If You Stand With Trump Too!  #AmericaFirst #DrainingTheSwamp #MAGA</t>
  </si>
  <si>
    <t>RT @RodStryker: Liberals(Dems &amp;amp; Rinos) won a huge victory today. #omnibusbill
Trump wanted to veto, but would have been overruled by Congr…</t>
  </si>
  <si>
    <t>RT @DiamondandSilk: Every please settle down and trust the process.  Stop jumping off the Trump Train when things don't go your way, then w…</t>
  </si>
  <si>
    <t>RT @RealWolfsPride1: Patriots .@POTUS is battling The #DeepState #RINO  #LiberalismIsAMentalDisease He’s surrounded by these evil globalist…</t>
  </si>
  <si>
    <t>RT @NothingYouHear: Car 9
@NothingYouHear
@TheRealJeepin2k
@KPikklefield
@rnlynn1958
@VETERAN486
@151Management
@Timesupjokers
@IngaSher
@C…</t>
  </si>
  <si>
    <t>RT @NothingYouHear: Car 8
@NothingYouHear
@KevinMooreTX16
@Maga4Justice
@StacksMistie
@JasonDean227
@PurpleDragon333
@MissSassyIA
@anarchis…</t>
  </si>
  <si>
    <t>RT @RealEagleWings: .@RepMarkMeadows omnibus bill: We don't build the wall but yet we put money in for a tunnel? The last time I checked,…</t>
  </si>
  <si>
    <t>RT @EjHirschberger: Follow and retweet these #MAGA Patriots🇺🇸🚂
@ReconmomC
@MC_Mad_Man
@Caparosa52
@sandy__21
@wwwillstand
@CLK54321
@Gavin…</t>
  </si>
  <si>
    <t>RT @RealJamesWood1: Zuckerberg has sold more Facebook stock in the last 3 months before Facebook's major scandal became public than any ins…</t>
  </si>
  <si>
    <t>RT @Trumpism_45: The Democrat Party is catiputing Joe Biden into the 2020 Presidential race as a trial balloon for pedophile accepting Demo…</t>
  </si>
  <si>
    <t>RT @LouDobbs: The New Wave of Corruption- @PeterSchweizer: Barack Obama’s best friend made millions by investing in highly regulated indust…</t>
  </si>
  <si>
    <t>RT @ColumbiaBugle: "The Judge said you have to keep in mind the 'reasonable enlightenment of a multi-racial society.' So as we become more…</t>
  </si>
  <si>
    <t>RT @kwilli1046: America's Hero Of The Day - Great Mills High School Resource Officer Blaine Gaskill Who Responded to the Scene in Less than…</t>
  </si>
  <si>
    <t>RT @RealWolfsPride: Hillary Should Just Admit She Hates Half of America https://t.co/h3d4zxKSeU</t>
  </si>
  <si>
    <t>RT @vinceableworld: I had 427 subscribers on #YouTube when I looked about an hour ago. Now I have 331? WTF? https://t.co/zmaa52Q1gg</t>
  </si>
  <si>
    <t>RT @vinceableworld: THE NEW ALAMO! Americans Run Off Their Land By Foreigners in THIS COUNTRY! Costilla County Colorado AMERICA: EYES ON!…</t>
  </si>
  <si>
    <t>RT @jeepsuzih2: Clint Eastwood Makes A Massive Announcement👇 Hollyweird IsThe Place Of Traitors &amp;amp; Pedophiles 
I've Decided To Leave This Aw…</t>
  </si>
  <si>
    <t>RT @TruthMaga: 🤓🤓🤓Louder Louder .....Still can’t hear 👂 You !
Who’s your President thats right 👇👇👇👇👇This guy https://t.co/fXMROYE9Ya</t>
  </si>
  <si>
    <t>RT @inittowinit007: 🔥🇺🇸POTUS🇺🇸 is taking on the DEEP STATE .. not just in USA.. the  WORLD depends on his success! This war defines our fut…</t>
  </si>
  <si>
    <t>RT @GrizzleMeister: Too soon? 👀
😂😂😂 https://t.co/c3yO2v1ydU</t>
  </si>
  <si>
    <t>RT @SandraTXAS: It time for us to put YouTube out of business:
YouTube New Ban on Guns Could Put 100s of Channels Out of Business
https:/…</t>
  </si>
  <si>
    <t>RT @KatTheHammer1: "It's not that conservatives don't care. We do. We just have different answers than liberals do. It's a difference of th…</t>
  </si>
  <si>
    <t>Roger Young CEO of Pure Light Technologies Reveals The Future is NOW! - ... https://t.co/WjoFZ8Xnyg #PureLight #Pure-Light  #PureLightTechnologies</t>
  </si>
  <si>
    <t>RT @jerome_corsi: Just Published: https://t.co/PjylH9nvfl Jerome Corsi, Charles Ortel, and Jason Goodman discuss my new book https://t.co/p…</t>
  </si>
  <si>
    <t>RT @RealWolfsPride: BOOM! LOU DOBBS GOES OFF: “Why Doesn’t Someone Tell Speaker Ryan to Go to Hell? – He’d Sell Out His Mother!” (VIDEO): h…</t>
  </si>
  <si>
    <t>RT @ORGANlCROBOT: New Q post! #qanon @JohnOutbakjak @SteveMotley @antischool_ftw @DestroyIllusion @tracybeanz @jerome_corsi @FedupWithSwamp…</t>
  </si>
  <si>
    <t>RT @QanonPosts: Wednesday Q drop:
Deep State panic
#QAnon thread begins HERE: https://t.co/f2fsQIj2MQ</t>
  </si>
  <si>
    <t>RT @ChrissyUSA1: #MAGA #Patriot #Qanon #TheStormHasCome #WeThePeople #InternetBillOfRights  #KeepAmericaGreat #2A #TheGreatAwakening #GodsA…</t>
  </si>
  <si>
    <t>RT @FoxFriendsFirst: BREAKING NOW.
Local outlets are reporting that police have arrested a suspect in the Austin bombings. https://t.co/kgQ…</t>
  </si>
  <si>
    <t>RT @55true4u: #QAnon 👇 https://t.co/TKFZzDeT68</t>
  </si>
  <si>
    <t>RT @lsmith4680: YOU are brainwashed IF you think:
🔵GVT freebies won't cost your freedom
🔵Banning guns will keep you safe
🔵Freedom of Speech…</t>
  </si>
  <si>
    <t>RT @DiamondandSilk: Still no answers from the RNC or the GOP as to why there are 46 seats without a Republican candidate to run against Dem…</t>
  </si>
  <si>
    <t>RT @jerome_corsi: #Qanon8chan was RIGHT - "TRUST THE PLAN" - @jeffsessions FIRED McCabe FRIDAY - McCabe LOSES PENSION, now FACES CRIMINAL C…</t>
  </si>
  <si>
    <t>RT @ORGANlCROBOT: New Q Post! #qanon @FedupWithSwamp @DestroyIllusion @antischool_ftw @jerome_corsi @SteveMotley https://t.co/kCjAq7NrvP</t>
  </si>
  <si>
    <t>RT @RealMattCouch: Let's talk about Seth Rich, shall we... I guess its' time to inform New followers.. We've had lots of requests.. 
Consi…</t>
  </si>
  <si>
    <t>RT @__valv: #Qanon https://t.co/1YyNZuUCFr</t>
  </si>
  <si>
    <t>IDIOT! https://t.co/mhuOoRJLHg</t>
  </si>
  <si>
    <t>RT @DallasIrey: #Trumpville
@FightBackUS
@TruthMaga 
@DallasIrey
@CraigManoukian 
@Grace_Asher1
@Wildirish216
@pjbowles4 
@sherrylynne60 
@…</t>
  </si>
  <si>
    <t>RT @Trumpism_45: https://t.co/QubXo665PH</t>
  </si>
  <si>
    <t>The Future of Light, Help us introduce this to the World https://t.co/rCmeHDCfSY via @YouTube</t>
  </si>
  <si>
    <t>The Future of Light, Help us introduce this to the World!  https://t.co/rCmeHDCfSY #PureLight #PureLightTechnologies #Pure-Light</t>
  </si>
  <si>
    <t>RT @Snak_ePlissken: @DontPetTheSnake @Jillibean557 P https://t.co/W0PgvlOg42</t>
  </si>
  <si>
    <t>RT @steadfastloyal: Stalinesque Evil | A Political Cartoon By @afbranco https://t.co/yNP6lvpHpt 
Evidence continues to mount that Google,…</t>
  </si>
  <si>
    <t>#QAnon NEW &amp;amp; HUGE : #BOOM x 3 Next Week / Who’s #Next? / SERCO-SES ‘l87’... https://t.co/VkYOdLFVcS via @YouTube</t>
  </si>
  <si>
    <t>I have 510 new followers from USA, UK., India, and more last week. See https://t.co/Z5SFmgjj3M https://t.co/2DAmZCXYK1</t>
  </si>
  <si>
    <t>TNFM RAW TRANSMISSION #7 17 MAR 18 https://t.co/LG2dnakhuZ via @YouTube</t>
  </si>
  <si>
    <t>RT @Strutstuff1: @MarkSimoneNY @Delmarva123 McCabe is a great guy really 🤮 https://t.co/UuaOwOlVng</t>
  </si>
  <si>
    <t>RT @usmc_army: Happy St. Patrick’s Day. 🍀 https://t.co/IEHXOBbM0f</t>
  </si>
  <si>
    <t>RT @luluHru: Follow, Retweet,Followback, Reply #maga 
@ArneAlvarado 
@1ofthegoodguyz 
@luluhru
@CoraMartinek 
@BigPapaRalphie 
@Satchalisti…</t>
  </si>
  <si>
    <t>RT @PoliticalPossum: Did you know these Patriots will followback? Follow, like &amp;amp; retweet
@DebbieCollier
@Vs20161
@bdclq
@formulalol
@chill…</t>
  </si>
  <si>
    <t>RT @realDonaldTrump: Andrew McCabe FIRED, a great day for the hard working men and women of the FBI - A great day for Democracy. Sanctimoni…</t>
  </si>
  <si>
    <t>RT @chilllingwithme: Just love this video.. https://t.co/3nj8gHvHNC</t>
  </si>
  <si>
    <t>RT @USFreedomArmy: Nor does anyone else who can read critically. Our patriot army awaits your enlistment at https://t.co/oSPeY48nOh. #Const…</t>
  </si>
  <si>
    <t>RT @USFreedomArmy: This is probably something the psychiatrists need to address. Enlist in the #USFA at https://t.co/oSPeY48nOh. Patriots o…</t>
  </si>
  <si>
    <t>RT @Trumpism_45: #DrainingTheDeepState one Clinton colluder at a time. https://t.co/k8KhgDLCzc</t>
  </si>
  <si>
    <t>RT @ChrissyUSA1: #MAGA #Patriot #Qanon #TheStormHasCome #WeThePeople #InternetBillOfRights #BOOM #KeepAmericaGreat #2A #1A #TheGreatAwakeni…</t>
  </si>
  <si>
    <t>We The People Mug Large https://t.co/dIyz10B4dJ</t>
  </si>
  <si>
    <t>Q Anon - Q Sent Me Women's https://t.co/mZ7wNmblJK #QAnon #Q #QSentMe #MAGA</t>
  </si>
  <si>
    <t>Q Anon - Got Q? Long Sleeve https://t.co/aIsCbsgv8y #QAnon #Q #GotQ #MAGA</t>
  </si>
  <si>
    <t>RT @Trumpism_45: @realDonaldTrump #DrainTheDeepState https://t.co/JtdSrjVND0</t>
  </si>
  <si>
    <t>RT @PaulLee85: Almost had it McCabe! 2 Million lost in pension, that’s what I call karma. Also, Fired before his 50th Birthday as well! htt…</t>
  </si>
  <si>
    <t>RT @yigsstarhouse: Hope you all dont mind Im just playing a bit tonight! I bbbzzz happy https://t.co/ZqpGKOV7rP</t>
  </si>
  <si>
    <t>RT @GemMar333: Stormy Daniels arrested July 09, for domestic violence in Tampa Bay after allegedly beating her husband in the head because…</t>
  </si>
  <si>
    <t>RT @DallasIrey: 'I don't have
time for political 
correctness and 
neither does 
this country' 
#GodBless our @POTUS 🙏🏼🇺🇸
#MakeAmericaGre…</t>
  </si>
  <si>
    <t>RT @USFreedomArmy: Another distorted picture from the MSM. The patriots of America are forming up at the https://t.co/oSPeY48nOh. #Constitu…</t>
  </si>
  <si>
    <t>RT @Alokla: #qanon https://t.co/xBTVGXt08Y</t>
  </si>
  <si>
    <t>RT @KatTheHammer1: I'm just gonna leave this here!! 
KARMA👇👇 https://t.co/S9Kp5JUgAz</t>
  </si>
  <si>
    <t>RT @StockMonsterVIP: Andrew McCabe Sighting https://t.co/NKRC2wjJA1</t>
  </si>
  <si>
    <t>RT @thebradfordfile: Andrew McCabe has been fired.
Get packing. #ObamaGate https://t.co/1DwRVWu1bF</t>
  </si>
  <si>
    <t>RT @REALtrumpbureau: @DallasIrey @junipersage1 @WiseWitted @WalkerjohnP @mwiley4975 @dcassepoolman @artech42 @Mike_Beacham @J_MAGA @CDAKORT…</t>
  </si>
  <si>
    <t>https://t.co/tr0Wor0rYW</t>
  </si>
  <si>
    <t>RT @ACatholicKnight: https://t.co/1bVwNJ9Leg</t>
  </si>
  <si>
    <t>RT @NWOinPanicMode: Andrew McCabe got fired, and will soon be looking at prison. 
And it begins... the indictments of the traitors is comi…</t>
  </si>
  <si>
    <t>RT @StockMonsterVIP: HEY ANDREW MCCABE.. GUESS WHAT !!??? https://t.co/7APn93lVmJ</t>
  </si>
  <si>
    <t>RT @jacknbridge: You can go to sleep now Mr. President. The plug has finally been pulled and swamp is finally beginning to drain! #MAGA #Ke…</t>
  </si>
  <si>
    <t>Pack Your Shit and Get Your Dumb Ass Moving Your Liberal Freakzoid. #MAGA https://t.co/C8i7jSO0nD</t>
  </si>
  <si>
    <t>RT @patrickgotti: All you Liberals out there that doubted me when I said 2 years ago Crooked @HillaryClinton gang would be facing criminal…</t>
  </si>
  <si>
    <t>RT @KatTheHammer1: In all Law Enforcement agencies?! IF YOU LIE?! 
YOU ARE FIRED!!!!!! 
#EXONERATEFLYNNNOW 
#EXONERATEFLYNNNOW
#EXONERATE…</t>
  </si>
  <si>
    <t>RT @MarkDice: Corrupt FBI deputy director (2nd in command) Andrew McCabe FIRED!  How you like them apples Mueller!  We're MAGA. You're next.</t>
  </si>
  <si>
    <t>RT @SteveMotley: Steve Motley Interviews Roger Young CEO of Pure-Light Technologies!
https://t.co/loot4ovmGq 
Watch My Video intro - https…</t>
  </si>
  <si>
    <t>RT @tracybeanz: Nothing is going to save you, McCabe. It’s over. I hope you spend the rest of your days in prison. You are an utter disgrac…</t>
  </si>
  <si>
    <t>Wish I could be there, but just can't make this date in April! I will however be @ The Red Pill Expo in Spokane, Washington on June 21-23, 2018 and hope to see you all there! https://t.co/JvPSQIF9jX https://t.co/Xoxx2nmUKE</t>
  </si>
  <si>
    <t>Steve Motley Interviews Roger Young CEO of Pure-Light Technologies!
https://t.co/loot4ovmGq 
Watch My Video intro - https://t.co/C3OcjUGoqq 
Watch This - https://t.co/uFojxGkDO1
Go Here To Join (Go Gold Level)
https://t.co/ik7akpGVqr
( I will contact you directly once you join!) https://t.co/UMUWkQKwVy</t>
  </si>
  <si>
    <t>RT @KatTheHammer1: "Everyone has a right to bear arms. If you take away from legal gun owners then the only people who have guns are the ba…</t>
  </si>
  <si>
    <t>Retired Marine - Last Chance to Save 15% on Red Pill Expo Spokane, WA  https://t.co/sQJRm8sxk7 #RedPillExpo #RedPill #HeresYourRedPill</t>
  </si>
  <si>
    <t>Retired Marine - Patriots Please Support Dr. Jerome Corsi &amp;amp; Purchase His New Book "Killing The Deep State"  https://t.co/R0d2hKYzWa #DrCorsi #JeromeCorsi #KillingTheDeepState</t>
  </si>
  <si>
    <t>Roger Young CEO of Pure Light Technologies Reveals The Future is NOW! -https://t.co/WjoFZ8Xnyg #PureLight #Pure-Light #PureLightTechnologies</t>
  </si>
  <si>
    <t>RT @SandraTXAS: It's time to remind @DNC @GOP that they work for US!! 
I AM NOT A REPUBLICAN or DEMOCRAT!
I am a conservative leaning lib…</t>
  </si>
  <si>
    <t>RT @goofballgeorge: Pooches for #TrumpTrain 
Car #2 🚂🚃🚃🚃
@ANTIQUE4UNIQUE
@ARIZONAMAGA
@AskaStockbroker
@AutolysisB
@BaBieGirlieGirl
@bachan…</t>
  </si>
  <si>
    <t>RT @Pianosb4me: #Pro2A https://t.co/vzuXfKsVCr</t>
  </si>
  <si>
    <t>RT @MAGAVoice: 3⃣0⃣
@TeresaJTaylor1 
@slimmer79
@timthecripple
@birdman8272
@lkmoore44
@nikofury74
@chris_skier
@PamelaKruse4
@scali_gianna…</t>
  </si>
  <si>
    <t>RT @John_KissMyBot2: Hillary Went to India to Complain about being a Loser😂
Democrats Aren’t Happy When She suggested that women who voted…</t>
  </si>
  <si>
    <t>RT @MAGAVoice: 2⃣8⃣
@magahorsefarms
@tofknit
@Deplorable_RobG
@Bobbowden50
@1SallyGreene
@ElisAmerica1
@VietvetBo
@TrumpRollsOn
@ItsJustJil…</t>
  </si>
  <si>
    <t>RT @foxandfriends: Navy F/A-18 jet crash off Key West leaves 2 aviators dead https://t.co/hzQKbCBcaH</t>
  </si>
  <si>
    <t>RT @bbusa617: https://t.co/4a4sZl7fhF
CIA OFFICER/WHISTLE BLOWER KEVIN SHIPP:
"Hillary Clinton was running and is running a global financi…</t>
  </si>
  <si>
    <t>RT @Thomas1774Paine: Cleaning house: State Dept under secretary fired just hours after Tillerson https://t.co/z7ttGj23Rr</t>
  </si>
  <si>
    <t>RT @USFreedomArmy: This is the rundown of the Marxist propaganda machine. There may be a few left out. Enlist in the #USFA at https://t.co/…</t>
  </si>
  <si>
    <t>RT @Golfinggary5221: Teacher Investigated For Feeding Puppy To Snapping Turtle In Front Of Students 
Well, if he doesn't get to keep his t…</t>
  </si>
  <si>
    <t>RT @chon_ran: #grateful https://t.co/Oqro8Thnxn</t>
  </si>
  <si>
    <t>RT @JeffreyBurum: Love my Vet brothers and sisters!
Taking US to where Eagles fly
Jeffrey Burum for US Congress CA26 
https://t.co/1rlBrfY…</t>
  </si>
  <si>
    <t>RT @jeepsuzih2: Wilt...&amp;amp; Grace 
🤣🤣🤣😂😂😂 https://t.co/ZWaBlSakee</t>
  </si>
  <si>
    <t>RT @brutalistPress: Another gem my sister sent me from their little protest of the forced walkout at her California high school https://t.c…</t>
  </si>
  <si>
    <t>Harley Patent https://t.co/oJb9YehcAD</t>
  </si>
  <si>
    <t>American Hero https://t.co/rOp59Z3Dxv</t>
  </si>
  <si>
    <t>Veteran Grandpa https://t.co/CyerhZLIss</t>
  </si>
  <si>
    <t>I Love Q Long Sleeve https://t.co/16Ltf4gu0g</t>
  </si>
  <si>
    <t>The Answer Mug https://t.co/Luh91OVCPO</t>
  </si>
  <si>
    <t>Question Everything Q Mug https://t.co/e3tTx94pz3</t>
  </si>
  <si>
    <t>Freedom Marines Mug https://t.co/BFlo9e5peR</t>
  </si>
  <si>
    <t>RT @SteveMotley: The Future of Light is Here! Pure-Light Technologies Making Homes, Businesses and The World Cleaner, Safer, Happier and He…</t>
  </si>
  <si>
    <t>RT @1acemadsen1: https://t.co/G0jsZtYgbf</t>
  </si>
  <si>
    <t>RT @VivianMHari: https://t.co/e9n7PIPWMB</t>
  </si>
  <si>
    <t>Retired Marine - Last Chance to Save 15% on Red Pill Expo Spokane, WA Sale Ends 1200 Noon 15 March 2018 https://t.co/sQJRm8sxk7 #RedPillExpo</t>
  </si>
  <si>
    <t>Steve Motley Interviews Pure-Light Technologies CEO / Inventor Roger Young! https://t.co/yK3zfH1XKc #purelight #pure-light</t>
  </si>
  <si>
    <t>Join Us @ 12:00 Noon Mountain Today 03/14/2018 on True News Radio!  Steve Motley Interviews Roger Young CEO and Inventor of Pure-Light Technologies! https://t.co/inewuIdO9x #PureLight # Pure-Light</t>
  </si>
  <si>
    <t>#SemperFi #Marines https://t.co/i28GfP7BM4</t>
  </si>
  <si>
    <t>RT @alozras411: FANTASTIC!!! 
👉@realDonaldTrump #POTUS
#KAG https://t.co/la1JMzIOn0</t>
  </si>
  <si>
    <t>RT @Smoochie6005: https://t.co/4R7Zlbhh5n</t>
  </si>
  <si>
    <t>RT @toptechin2017: These giant hands could be your best travel buddy https://t.co/nkAzIjrjEr</t>
  </si>
  <si>
    <t>RT @ArizonaKayte: The #Democrats and Liberal #Media are in full #meltdown mode over the #Intelligence Commitee's findings that there was #N…</t>
  </si>
  <si>
    <t>https://t.co/4VhEj7btoq https://t.co/USbSKDHT6D</t>
  </si>
  <si>
    <t>RT @DallasIrey: Hillary's first 2020 campaign photo!!🤣🤣🤣🤣🤣🤣🤣🤣🤣🤣🤣🤣🤣
#Trumpville #KeepAmericaGreat2020 https://t.co/pqvCnpw8JQ</t>
  </si>
  <si>
    <t>RT @GrantJKidney: Hillary stumbles again. 😂 https://t.co/oNLTiVFACJ</t>
  </si>
  <si>
    <t>RT @realDonaldTrump: Heading to see the BORDER WALL prototypes in California! https://t.co/fU6Ukc271l</t>
  </si>
  <si>
    <t>RT @joel_capizzi: @wolverines_dad @Gsteb1 @mikclrk1 @lillianmcrowley @RealCaryPrice @ScottPresler @Saccone4PA18 Third in line is the Speake…</t>
  </si>
  <si>
    <t>RT @realDonaldTrump: If we don’t have a wall system, we’re not going to have a country. Congress must fund the BORDER WALL &amp;amp; prohibit grant…</t>
  </si>
  <si>
    <t>RT @Cenobite2012: Catch this!
#QAnon
#Qanon8chan https://t.co/vs6WVCSrBm</t>
  </si>
  <si>
    <t>RT @HiCaliberLilGal: Oh, Mister @ClintEastwoodLA, have I got a meme for you!
#HClilGal https://t.co/A8KfSWF9qu</t>
  </si>
  <si>
    <t>Join us Wed 14 March 2018 @ 12:00 Noon Mountain on TrueNewsRadio for the Steve Motley Interview of Pure-Light Technologies CEO and Inventor Roger Young! https://t.co/inewuIdO9x</t>
  </si>
  <si>
    <t>RT @NevadaJack2: One Mexican resident who makes a regular habit of sneaking across the U.S.-Mexico border illegally shrugged off Trump’s bo…</t>
  </si>
  <si>
    <t>The Future of Light is Here! Pure-Light Technologies Making Homes, Businesses and The World Cleaner, Safer, Happier and Healthier!  https://t.co/ik7akpGVqr #Pure-Light #PureLight #PureLightTechnologies</t>
  </si>
  <si>
    <t>Hey Friends, Have you heard about Pure-Light Technologies based in Rigby, Idaho? 
This is the company and... https://t.co/yOkecKgNiM</t>
  </si>
  <si>
    <t>Retired Marine - Steve Motley To Interview Roger Young CEO &amp;amp; Inventor of Pure-Light Technologies! https://t.co/STzmzSiIP3 #PureLight</t>
  </si>
  <si>
    <t>RT @RodStryker: Crooked Killary in Mumbai, India, trashed America's Heartland, saying Trump voters who went with #MAGA were looking backwar…</t>
  </si>
  <si>
    <t>RT @EjHirschberger: Mayors Who Harbor Illegal Alien Killers Could Face The Death Penalty, According to Federal Law https://t.co/0OJg1rWzXu…</t>
  </si>
  <si>
    <t>RT @polishprincessh: As a military wife I thank you for honoring our military President Trump!
We owe our Heroes the Utmost Respect for Def…</t>
  </si>
  <si>
    <t>RT @AnnaApp91838450: PATRIOTS PLEASE JION ME IN RETWEETING THIS IN💯SUPPORT 
FOR PRESIDENT TRUMP &amp;amp; ALL THE HATE &amp;amp; ATTACKS AGAINST
OUR PRESID…</t>
  </si>
  <si>
    <t>RT @thebradfordfile: House Intelligence Committee:
~ No collusion
~ Never collusion
~ Not collusion
~ Zero collusion
~ Naught collusion
~ N…</t>
  </si>
  <si>
    <t>RT @USFreedomArmy: When the author of the Constitution speaks one must listen. Join our patriot army at https://t.co/oSPeY48nOh. Stand up f…</t>
  </si>
  <si>
    <t>RT @SadiqKhan: We cannot &amp;amp; should not slow down tech innovation - but we can no longer ignore some of the more harmful effects created by t…</t>
  </si>
  <si>
    <t>RT @brutalistPress: Assange, for the THIRD time today, tweets about the CIA running as Dems at midterms. GET YOUR ASSES OUT AND VOTE. https…</t>
  </si>
  <si>
    <t>RT @jerome_corsi: Rep. Devin Nunes Warns Drudge: Twitter is Censoring Your Account! https://t.co/THdRSmS4JO TIME FOR #InternetBillsOfRights…</t>
  </si>
  <si>
    <t>RT @Thomas1774Paine: FBI Insiders Blow Whistle on Massive Las Vegas Cover Up; Agents Told Not to Investigate Key Evidence Including ISIS Te…</t>
  </si>
  <si>
    <t>RT @realDonaldTrump: Possible progress being made in talks with North Korea. For the first time in many years, a serious effort is being ma…</t>
  </si>
  <si>
    <t>#LockHerUp https://t.co/0rz7yC1H37</t>
  </si>
  <si>
    <t>RT @MilitaryEarth: 100 years old and still kicking. https://t.co/LRBxdfmRXl</t>
  </si>
  <si>
    <t>RT @OurVoice911: FoxNews: .IngrahamAngle on criticism of POTUS tariffs: "Once again, we see that most on Capitol Hill still do not get why…</t>
  </si>
  <si>
    <t>RT @OurVoice911: JudicialWatch: JW Prez TomFitton: “Bruce Ohr -- a top DOJ official in the Obama Admin -- had an obvious conflict of intere…</t>
  </si>
  <si>
    <t>RT @LiverLipLouie: Libs say you can’t blame everyone for the Actions of a few, but they do. They blame all Gun Owners for the Actions of a…</t>
  </si>
  <si>
    <t>RT @DiamondandSilk: Crooked falling down Hillary is so clueless, it's sad that she  doesn't even realize that her demonizing Trump is part…</t>
  </si>
  <si>
    <t>RT @ABC: 16 teachers in Texas spent their Saturday training on how to handle a gun in the event of an active shooter situation. “We do our…</t>
  </si>
  <si>
    <t>March 12 Dr Jerome Corsi Help take Qanon Message to a Wider Audience https://t.co/kFQUwyVgDm via @YouTube</t>
  </si>
  <si>
    <t>RT @marklevinshow: 60 Minutes does Stormy. How the great have fallen. https://t.co/hgEC9YfUpR</t>
  </si>
  <si>
    <t>I have 441 new followers from USA, Canada, Australia, and more last week. See https://t.co/Z5SFmgjj3M https://t.co/bxwHuxrE99</t>
  </si>
  <si>
    <t>The Q Movie https://t.co/rNt2CKAlvg via @YouTube</t>
  </si>
  <si>
    <t>RT @REALtrumpbureau: @KatTheHammer1 @all_hrs  https://t.co/sH76Lrg3zC</t>
  </si>
  <si>
    <t>RT @RealWolfsPride: RT if u agree ‼️
#FridayMotivation https://t.co/VEerfbkOUd</t>
  </si>
  <si>
    <t>RT @TruthMaga: 🙏😇🙏😇🙏😇🙏😇🙏
Prayers For @GenFlynn 
#ClearFlynnNow 
#ClearFlynnNow 
#ClearFlynnNow 
#ISTANDWITHGENFLYNN 
#ISTANDWITHGENFLYNN…</t>
  </si>
  <si>
    <t>RT @codeofvets: Prayer Request: Please pray for my daughter she is having a difficult time with losing baby Jonathan! I just spoke to her o…</t>
  </si>
  <si>
    <t>RT @RodStryker: #MAGA translation of
"The Art of The Deal" w/ NK:
"Peace Through Strength"
Kim Jong Un is getting pummeled by US sanction…</t>
  </si>
  <si>
    <t>RT @bbusa617: Seattle Police Begin Gun Confiscations: No Laws Broken, No Warrant, No Charges https://t.co/deEbhTAm6S
WASHINGTON'S NEW "RED…</t>
  </si>
  <si>
    <t>RT @RealWolfsPride: GREATEST PRESIDENT 
THE STORM IS HERE https://t.co/jHJgw2dw55</t>
  </si>
  <si>
    <t>RT @KatTheHammer1: #InternetBillOfRightsNow .
#InternetBillOfRightsNow .
#InternetBillOfRightsNow .
#InternetBillOfRightsNow .
#InternetBil…</t>
  </si>
  <si>
    <t>Health Ranger announces https://t.co/LFvn07KsT8 as "the answer to YouTube censorship" ... bypass tyranny and censorship with... https://t.co/KRpXB65yPC</t>
  </si>
  <si>
    <t>Health Ranger announces https://t.co/LFvn0823KG as “the answer to YouTube censorship” … bypass tyranny and censorship with p2p file sharing – https://t.co/wgQfOKh6ZW https://t.co/XsLhdy8PTu</t>
  </si>
  <si>
    <t>RT @DallasIrey: Hey y'all a Special #Trumpville #ShoutOut to Rebecca Z.  Please follow @rzRollTide huge #Patriot and a wonderful #WomenForT…</t>
  </si>
  <si>
    <t>RT @wolferkitten: https://t.co/SAcU9jqHs8. #ISTANDWITHGENFLYNN https://t.co/GuPHoHIqzI</t>
  </si>
  <si>
    <t>RT @JrcheneyJohn: Twitter @TwitterSupport @Twitter  I’m not sure why you Shadow Banned me because I didn’t break any of your rules 
But it…</t>
  </si>
  <si>
    <t>Jerry Brown You Suck You Un-American Globalist POS! https://t.co/gGNJHF3ogw</t>
  </si>
  <si>
    <t>God Bless Our Beloved President Donald J. Trump @realDonaldTrump https://t.co/Xmd2m9EEeo</t>
  </si>
  <si>
    <t>RT @1776Stonewall: Michael Flynn is forced to sell his house to pay for legal fees. Mueller has ruined this mans life. Flynn is an innocent…</t>
  </si>
  <si>
    <t>RT @WayneDupreeShow: 🎙 Sessions Throws Down Gauntlet; Sues CA Over Sanctuary Policies for Illegal Aliens 202 470 6738 https://t.co/N9T7vXff…</t>
  </si>
  <si>
    <t>RT @AMErikaNGIRLBOT: Have schools become Bastions of Liberal indoctrination ? RT if U Agree Teacher should be fired Immediately! Parents-Fi…</t>
  </si>
  <si>
    <t>RT @codeofvets: Please share this veteran’s VA story @Deplor4ble He lives in Meridian MS! He needs resolution! https://t.co/o1Jpy0q6sI</t>
  </si>
  <si>
    <t>Very Cool. Be All You Can Be! Go Army! Becoming good friends with LtCol Roy Potter is changing my opinion and attitude about you Army People! #SemperFi #Marines https://t.co/4odD6KBwYo</t>
  </si>
  <si>
    <t>RT @Trump45Michael: G☕️☕️D   M🌞RNing   🦁TrumpLicans🦁
Happy NoObama Trump Hump Day
Don’t Mess with Texas, DemonCrap’s
🚂TrumpTrain🚞MakingAmer…</t>
  </si>
  <si>
    <t>RT @buzzman888: 🇺🇸🇺🇸 Amazing Footage Using a Newly Installed Backward-Facing Camera Installed #Under Jet #1 - It’s Not All About Politics o…</t>
  </si>
  <si>
    <t>RT @brandongroeny: If you love America, you believe in our constitution. If you believe in our constitution, you would oppose Sanctuary Cit…</t>
  </si>
  <si>
    <t>True News Radio Replay - 03/07/2018 With Special Guest LtCol Roy Potter! https://t.co/EOV1tCeKWc</t>
  </si>
  <si>
    <t>Please Join Us Today at 12:00 Noon Mountain for Major Steve Motley's True News Radio Show with Special Guest LtCol Roy Potter! https://t.co/EOV1tCeKWc</t>
  </si>
  <si>
    <t>True News Radio With Special Guest LtCol Roy Potter 12:00 Noon Mountain 03/07/2018 https://t.co/aFvNgsPsoN via @YouTube</t>
  </si>
  <si>
    <t>RT @_L_o_r_i_: We don't know them all, but we owe them all. 
Thank a veteran every day!
It means the world to them
.#SupportOurVets
.#Respe…</t>
  </si>
  <si>
    <t>RT @G1rly_Tattoo3d: @jacklasalle1 I am a Trump lover &amp;amp; proud of it‼️
As are my friends 🇺🇸 We proudly #SupportOurMilitary, and #SupportOurVe…</t>
  </si>
  <si>
    <t>Announcing My Appearance on Major Steve Motley's Radio Show Wed Mar 7th https://t.co/3vWIHWfVg2 @YouTube</t>
  </si>
  <si>
    <t>RT @gjonesc3: #TrumpEnergy #Trump2020 https://t.co/GKa994weie</t>
  </si>
  <si>
    <t>RT @papawat1: Former CIA Director John Brennan Comes Unhinged - Calls POTUS Trump a Paranoid Charlatan https://t.co/XAt1IVhpRT</t>
  </si>
  <si>
    <t>RT @PatriotMarie: 🗣🗣#OKLAHOMA ELECTION 
                TOMORROW 
👉🏻TUESDAY MARCH 6th  🔴
✅BRAD BOLES FOR HOUSE DISTRICT 5 ⭐️
PATRIOTS KEE…</t>
  </si>
  <si>
    <t>RT @USFreedomArmy: Just a few "Deplorables" crossing the Delaware. Thank God for these men. Our patriots await your enlistment at https://t…</t>
  </si>
  <si>
    <t>RT @G1rly_Tattoo3d: A BIG thank you 🙏🏻 to our #Military and their Families. I appreciate your service &amp;amp; your sacrifice. Thank you for prote…</t>
  </si>
  <si>
    <t>RT @gbroh10: #StableGenius 
#ArmyOfTrump 
#MAGA4ALL
Jeff Sessions:
Ninja or Nincompoop? 
"As Qanon likes to say, “Expand your thinking.”…</t>
  </si>
  <si>
    <t>RT @WayneDupreeShow: If there is one thing we know about President Trump, he walks the walk and talks the talk when it comes to loving Amer…</t>
  </si>
  <si>
    <t>RT @MICHELL59952525: Our #PresidentTrump Told The
Truth Nothing But The Truth
#WeThePeople 100% Believe Him
&amp;amp;Stand By His IntegrityEven Mor…</t>
  </si>
  <si>
    <t>RT @CHIBears247: Matt Forte will sign a one-day contract to retire a Chicago Bear. How awesome! Congratulations, @MattForte22! #BearDown ht…</t>
  </si>
  <si>
    <t>RT @Thomas1774Paine: This country will never be united as long as you have maniacs who want to change the Constitution. If you don't like t…</t>
  </si>
  <si>
    <t>RT @dbongino: Dear Liberals,
Please stop with the “we don’t want to take your guns” line. Just be honest about it. Citing Australia as an e…</t>
  </si>
  <si>
    <t>RT @The_Trump_Train: RT if you agree: Maxine Waters should be required to take an IQ test after repeatedly sounding like a 4 year old.</t>
  </si>
  <si>
    <t>RT @TomiLahren: My Oscar Final Thoughts for these hypocritical grandstanders https://t.co/NaoqxYp26k https://t.co/ZTDfatMqFU</t>
  </si>
  <si>
    <t>RT @5b20be6386164f8: #StupidLibs
#StupidLibsDontGetIt!
#HillaryWasRussianChoice https://t.co/cuTzVPu19w</t>
  </si>
  <si>
    <t>RT @RealEagleWings: .@LouDobbs - Mueller’s Russia Probe a farce He’s found nothing, yet his probe persists and widens. @LeeZeldin says it n…</t>
  </si>
  <si>
    <t>RT @KazmierskiR: Trump’s administration announced Thursday it is planning on imposing a 25 percent tariff on steel imports and a 10 percent…</t>
  </si>
  <si>
    <t>RT @Vengeance_X2: Liberals are up in arms over Trumps changes, lol. Here's the thing, you buffoons.. it's not often you get to see how one…</t>
  </si>
  <si>
    <t>RT @codeofvets: We Want Veterans To Get Quality Care - White House BriefingSalute to Code of Vets veterans🇺🇸🙌 https://t.co/Klg0daFSCw</t>
  </si>
  <si>
    <t>RT @MichDeplorable: Car#37. @jenworkmail38
@BoordLori
@The1stUncAnnie1
@CissyGebets
@jnabors
@RealBamaCowboy
@bcmonego
@mimiheartsTrump
@Dv…</t>
  </si>
  <si>
    <t>RT @IngrahamAngle: President Trump's Approval Rating Tops Barack Obama BY 4 POINTS at Same Time of His Presidency https://t.co/2JHtAoNxTB</t>
  </si>
  <si>
    <t>Retired Marine- This Video Only For People Interested In The Health Bene... https://t.co/WmJTK1xdzt via @YouTube</t>
  </si>
  <si>
    <t>RT @TruthMaga: 🇺🇸🇺🇸🇺🇸🇺🇸🇺🇸🇺🇸🇺🇸🇺🇸🇺🇸🇺🇸🇺🇸
We are at a Fork in the Road they Are trying To grab 1A &amp;amp; 2A Rights !
Trying to out Our @POTUS
Let’s…</t>
  </si>
  <si>
    <t>RT @inittowinit007: @RealJamesWoods That’s correct! 😡We will not be watching!  When you attack our
🇺🇸POTUS🇺🇸 , you attack all 
🇺🇸AMERICANS…</t>
  </si>
  <si>
    <t>RT @ClintonMSix14: My new profile pic...😊
And we know that in all things God works for the good of those who love him, who have been calle…</t>
  </si>
  <si>
    <t>RT @RealKyleMorris: “I learned a long time ago to keep your damn mouth shut if you want to stay in show business.”
An ABC interviewer turn…</t>
  </si>
  <si>
    <t>RT @nancylee2016: Amazing, patriotic, gold star, widow #denvernight will not be silenced. She tells it like it is. 💞Love her.💞...my hero.…</t>
  </si>
  <si>
    <t>RT @dbongino: The #Oscars will be a multi-hour whining festival full of elitist snobs bashing people and ideas they neither understand, nor…</t>
  </si>
  <si>
    <t>RT @marklevinshow: See you in less than two hours at 10 pm eastern on Fox. My guest is Devin Nunes!</t>
  </si>
  <si>
    <t>RT @Liz_Wheeler: 500 police officers guarding the #Oscars.
Plus firefighters, police helicopters, FBI agents, &amp;amp; private security specialis…</t>
  </si>
  <si>
    <t>I have 615 new followers from USA, India, UK., and more last week. See https://t.co/Z5SFmgjj3M https://t.co/JJ8VXPWocX</t>
  </si>
  <si>
    <t>RT @LVNancy: If you're #BOYCOTTINGTHEOSCARS 
I have a movie suggestion🍿
Progressives slammed #DeathWishMovie as fascist &amp;amp; racist
💬My take…</t>
  </si>
  <si>
    <t>RT @TomHall: Wow!
This woman’s bravery is just stunning.
🚂
#Humanity #FridayFeeling #FlashbackFriday #noreaster
https://t.co/k3WCwZ1GDo</t>
  </si>
  <si>
    <t>RT @CalFreedomMom: Once again, liberalism warps the mind into unrecognizable mush!
#LiberalismIsAMentalDisorder https://t.co/ZlDvqawNUZ</t>
  </si>
  <si>
    <t>RT @JulianAssange: So far, #Russiagate is all tip and no iceberg. https://t.co/oviyE1MOZB</t>
  </si>
  <si>
    <t>RT @jbirdinga: One fundamental thing the Libs &amp;amp; gun control crowd will never see
The 2nd Amendment is the foundation &amp;amp; protection of the 1s…</t>
  </si>
  <si>
    <t>RT @MarkDice: YouTube is being sued for systemically discriminating against white people who applied for a job there.   Meanwhile in the li…</t>
  </si>
  <si>
    <t>#LockHerUp https://t.co/1SSJvOpHA8</t>
  </si>
  <si>
    <t>RT @MarkDice: YouTube has terminated @jerome_corsi's entire channel because he's a 'birther.'  That's 'bullying' Barack Obama, apparently,…</t>
  </si>
  <si>
    <t>RT @KatTheHammer1: "I have absolutely nothing to even consider resigning over."
 ~John Kelly WhiteHouse Chief of Staff. https://t.co/Cc4NK…</t>
  </si>
  <si>
    <t>RT @2runtherace: Something big coming? #QAnon #GreatAwakening #WeThePeople #TruthBelongsWithThePeople #SethRich @realDonaldTrump https://t.…</t>
  </si>
  <si>
    <t>RT @G1rly_Tattoo3d: Our Flag 🇺🇸 does not fly because the wind blows it. It flies with the last breath of EVERY soldier who died defending i…</t>
  </si>
  <si>
    <t>RT @Tombx7M: All eyes on the East Coast
#BombCyclone #Monster #TheFive https://t.co/twrykZ5bom</t>
  </si>
  <si>
    <t>RT @ChrisStrub: .@chrisbrogan has been a torchbearer, a leader, a spectacular ambassador for the entire #socialmedia genre. Five minutes wi…</t>
  </si>
  <si>
    <t>RT @GrrrGraphics: Thank you for making this the most shared #BenGarrison #cartoon EVER!  We had so much traffic- we moved our site to a big…</t>
  </si>
  <si>
    <t>RT @1776Stonewall: Seth Rich father confirmed his son was Wikileaks leaker. "Ed Butowsky, the man who offered to assist the family with the…</t>
  </si>
  <si>
    <t>RT @junogsp5: 102 MPH Wind Gusts Grandfather Mtn NC 
Numerous Flights Cancelled 
in NE Blizzards Misery Index 
Soaring Stay Safe Friends 
#…</t>
  </si>
  <si>
    <t>RT @codeofvets: PLEASE SHARE THESE AMERICA FIRST CANDIDATES #REDFRIDAY #VOTE #codeofvets https://t.co/LLFSFBO2Pp</t>
  </si>
  <si>
    <t>RT @truckinwithnorm: It’s #REDFriday Freedom isn’t free but it’s worth the price. https://t.co/ng51b4r4px</t>
  </si>
  <si>
    <t>RT @Rambobiggs: I joined the NRA because of this kid https://t.co/BSU5Sb44Ly</t>
  </si>
  <si>
    <t>RT @junogsp5: TGIF 💥 Follow Me &amp;amp; 100% 
Follow Back Guarantee 
4 Conservative MAGA Agenda 
#Trump #TrumpTrain https://t.co/Ljkc5mDABa</t>
  </si>
  <si>
    <t>RT @jdolan2020: He know every way to destroy California but not one solution on how make California great again.  Sad‼️ https://t.co/5rnBDa…</t>
  </si>
  <si>
    <t>RT @jerome_corsi: GIZMODO confirms @ericschmidt terminated my YouTube account Today https://t.co/jUcNHShi8X BIGGEST MISTAKE ERIC EVER MADE…</t>
  </si>
  <si>
    <t>RT @1776Stonewall: Trump is going to make us the oil, coal and steel leader in the world. All this on top of American manufacturing at a 45…</t>
  </si>
  <si>
    <t>RT @codeofvets: Watch on #Periscope: ▪️PRESIDENT TRUMP IS WINNING▪️Twitter is losing with blatant attacks▪️VOTE VOTE VOTE https://t.co/gQum…</t>
  </si>
  <si>
    <t>RT @MarkDice: We can't back down, we need to fill YouTube with even more conservative content, and expose their Orwellian censorship to eve…</t>
  </si>
  <si>
    <t>RT @RealJamesWoods: Schumer should be censured for being the despicable #racist he is.  https://t.co/JI1l70MBkI</t>
  </si>
  <si>
    <t>RT @pinkk9lover: 🇱🇷Thank you  for your service men, women , &amp;amp; K-9s of our #military . I appreciate our #Veterans #Soldiers #REDFriday #2A #…</t>
  </si>
  <si>
    <t>RT @mike_Zollo: I’m so sick of these wimpy punk ass kids like David Hogg trying to take our guns away. Who is this twerp? This kid hasn’t h…</t>
  </si>
  <si>
    <t>RT @StandingDarrell: 🇺🇸You’re nobody until.@realDonaldTrump names you😁 https://t.co/86Et92M4sl</t>
  </si>
  <si>
    <t>RT @Corp125Vet: #ErinCruzUSSenateCA   Build the Wall , reinforce our Laws by Enforcement Of Existing Ones! New Legislation isn’t Warranted.…</t>
  </si>
  <si>
    <t>RT @RoystonPotter: For everyone's information. https://t.co/IcuZ7GkeNm</t>
  </si>
  <si>
    <t>RT @dbongino: If the dossier wasn’t needed because they already had probable cause, then why did they include it in their affidavit? If the…</t>
  </si>
  <si>
    <t>RT @MarkDice: Why is YouTube using a Left wing hate group (the Southern Poverty Law Center) as moderators? https://t.co/8dNHiidtyS</t>
  </si>
  <si>
    <t>RT @RealJamesWoods: https://t.co/53IFZwQESj</t>
  </si>
  <si>
    <t>RT @StandingDarrell: 🇺🇸Good guys with guns versus a bad guy with a gun ~ great job ladies but please get larger caliber weapons, shoot cent…</t>
  </si>
  <si>
    <t>RT @DiamondandSilk: We Now Know Who Was Secretly Behind Broward Sheriff’s Order to Not Arrest — Take 1 Guess.
https://t.co/Stp3z6g97u</t>
  </si>
  <si>
    <t>RT @SaraCarterDC: LATEST: Chairman Nunes Demands DOJ investigate Possible FBI Criminal FISA Violations via @SaraCarterDC https://t.co/ndPUC…</t>
  </si>
  <si>
    <t>RT @CrazyHarleyChi1: #QAnon #QAnon8chan #GreatAwakening @POTUS  #WeThePeople 
If you follow the messages of #Q PLEASE this is a MUST READ!!…</t>
  </si>
  <si>
    <t>RT @DiamondandSilk: The Justice Department needs to open up investigations on any college campus that allow others to spew racism toward pe…</t>
  </si>
  <si>
    <t>RT @MarkDice: Sheriff Israel @browardsheriff won't resign because he knows he's going to get sued by the victims' families, and resigning w…</t>
  </si>
  <si>
    <t>RT @Texas_GunsNGod: So ship, ship, ship everything by FedEx! A company who stands UP for the Constitution! #2A #MAGA @realDonaldTrump #Vote…</t>
  </si>
  <si>
    <t>RT @AllActivists: #WhatHappened... Duh!
https://t.co/nb3qyLWH0q</t>
  </si>
  <si>
    <t>RT @RobertEThrasher: LOL... https://t.co/mFeidJweSr</t>
  </si>
  <si>
    <t>I attended the 1st Annual Red Pill Expo in Bozman, Montana last year and it was Fantastic!  If you're a Truth... https://t.co/EmB1MvHH8M</t>
  </si>
  <si>
    <t>Red Pill EXPO Admissions https://t.co/EpxJVlPmsa</t>
  </si>
  <si>
    <t>This Asshole Sheriff Israel absolutely must be fired. https://t.co/Bc39uXgWJ5</t>
  </si>
  <si>
    <t>RT @FeminineHygiene: HEY #LibTards, a/k/a;
#Antifa
#Commies
#ControlFREAKS
#Crazies
#DemocRats
#Douchebags
#Liberals
#MentallyIll
#Nazis
#P…</t>
  </si>
  <si>
    <t>RT @AMike4761: https://t.co/5SmUGRiS2b</t>
  </si>
  <si>
    <t>#SemperFi #Marines.          #FedEx #QAnon https://t.co/CkMUKNwFIt</t>
  </si>
  <si>
    <t>RT @StandingDarrell: 🇺🇸Never forget that Broward County is #SwampCountry🇺🇸 https://t.co/Mv8W3K5voo</t>
  </si>
  <si>
    <t>RT @CollinRugg: David Hogg is boycotting school until gun reform is passed.
I guess he doesn’t need to get a high school diploma now that…</t>
  </si>
  <si>
    <t>RT @AnnCoulter: Isn't the murder of 17 school kids worthy of as big an investigation as Mueller's endless investigation of silly Russian po…</t>
  </si>
  <si>
    <t>RT @TomFitton: Enough with special prosecutors, we need prosecutions -- more than enough to lawfully arrest Hillary Clinton.  So no wonder…</t>
  </si>
  <si>
    <t>RT @WayneDupreeShow: Oakland Mayor felt it was her job to warn illegals that ICE was coming to round them up. That's sedition y'all!
https…</t>
  </si>
  <si>
    <t>RT @MarkDice: Is that anti-NRA kid going to be on Dancing with the Stars next week?  Seems like the only show he hasn't been on yet.</t>
  </si>
  <si>
    <t>All #Patriots need to #BoycottKimmel. He is a total POS! https://t.co/onossHB0SK</t>
  </si>
  <si>
    <t>RT @theflash__8: WHY I WILL NEVER VOTE #Democrat ? #DemocratLiesMatter  #MakeAmericaSmartAgain #MakeAmericaSafeAgain #MakeAmericaGreatAgain…</t>
  </si>
  <si>
    <t>RT @WolfsPrideUSA00: @Corp125Vet @RealErinCruz .@Corp125Vet  We❤️Erin #ErinCruzUSSenateCA #VoteErinCruz #VoteConservative #KeepCaConservati…</t>
  </si>
  <si>
    <t>RT @MAGAVoice: 💥💥💥
Looks like @POTUS @realDonaldTrump has more courage than the #CowardsOfBroward #CowardCountySheriffIsrael 
Read here…</t>
  </si>
  <si>
    <t>RT @mikandynothem: Delta made the decision they will take on #NRA. 
They will be out of business within 6 months! 📉
Are there any other com…</t>
  </si>
  <si>
    <t>Wow! Nothing quite like a Beautiful Woman with a Gun! 😎 https://t.co/RXewLBR3Yk</t>
  </si>
  <si>
    <t>RT @Golfinggary5221: THANK YOU THANK YOU! 
Yesterday reached 40000 followers! So grateful for each of you who have taught me, encouraged me…</t>
  </si>
  <si>
    <t>RT @RealMAGASteve: 17-dead Kids and Scott Israel is talking about “Candy and Nuts and O.J. Simpson‼️
Scott Israel is a bumbling idiot. I w…</t>
  </si>
  <si>
    <t>RT @Helensabin1: My husband and I are wearing our NRA hats whever we go. IF libs/ corporations don't like it, too damn bad!  This morning a…</t>
  </si>
  <si>
    <t>NEWS REPORT: Veterans' Mission to End Child Trafficking in USA https://t.co/SG1jOvKCvT via @YouTube</t>
  </si>
  <si>
    <t>BANNED from YouTube &amp;amp; Facebook - Here's Where to Find Me https://t.co/HyKyyA9YvY via @YouTube</t>
  </si>
  <si>
    <t>I have 831 new followers from South Korea, Russia, and more last week. See https://t.co/Z5SFmgjj3M https://t.co/fdThis0nXB</t>
  </si>
  <si>
    <t>RT @jbirdinga: Good Morning Patriots
May your day be filled with peace, joy and purpose. And Let's #MAGA 
#WeAreOne
#GuardianHawk77 https:…</t>
  </si>
  <si>
    <t>RT @Deplorable80210: GLOBALISTS OLD PLAY BOOK STRATEGY: 1) PROPAGANDA, 2) DIVISION/TERRORISM, 3) CIVIL UNREST/WAR, 4) MARTIAL LAW, 5) DICTA…</t>
  </si>
  <si>
    <t>RT @oclare2043: Seasoned vets are not going to cower to gunfire.  They know how to respond to it.  If it were a vet, He would not wait for…</t>
  </si>
  <si>
    <t>RT @1Munder: OVER THE WEEKEND THE ARE TRYING TO GET RID OF OUR FREEDOM OF SPEECH, HR #1865 #HR1865 #FreedomOfSpeech  #INTERNETCENSORSHIP ht…</t>
  </si>
  <si>
    <t>RT @tom2badcat: Companies punishing @NRA members:
Delta Airlines
Hertz
Enterprise
Met Life
Chubby
United Airlines
First National Bank of O…</t>
  </si>
  <si>
    <t>RT @channelinggalt: Ask the Dixie Chicks how trashing their base worked out for them! https://t.co/HxWWqoLBjY</t>
  </si>
  <si>
    <t>RT @dbongino: Make no mistake. Liberals are anti-civil liberties advocates. They’re at war with freedom &amp;amp; the Bill of Rights. They want to…</t>
  </si>
  <si>
    <t>#WeThePeople Need to cut ties and #Boycott them all. https://t.co/yAZdtj1tTm</t>
  </si>
  <si>
    <t>I'm a Patriot! I spent 22 years in the Marines and I love and support #POTUS. Last Tuesday I had 41K Followers on Wed morning I had 36K! Please add me to your Patriot Lists and Follow Me @SteveMotley Thanks and #SemperFi</t>
  </si>
  <si>
    <t>#SemperFi #Marines https://t.co/ejrI4k0dvI</t>
  </si>
  <si>
    <t>RT @StephenMilIer: Imagine our country without the 2nd Amendment where the Democrats don't even have to try to find excuses after wiretappi…</t>
  </si>
  <si>
    <t>RT @Corp125Vet: Code of Vets is AMERICA FIRST, VETERANS FIRST! God Bless every Oath Swearer, keeper! Weather the Storm! We shall Prevail 💪👊…</t>
  </si>
  <si>
    <t>RT @IsraelUSAforevr: Coward, irresponsible, you're a disgrace! https://t.co/hXamLnBEkY</t>
  </si>
  <si>
    <t>RT @The_Trump_Train: Americans are flooding the NRA with membership requests... As expected, the left’s desire to abolish the 2nd amendment…</t>
  </si>
  <si>
    <t>Who told these Officers to Stand Down? Who orchestrated this event? https://t.co/DJb5d05EVL</t>
  </si>
  <si>
    <t>I feel your pain Lady Deplorable! https://t.co/uuoY6QG2Cu</t>
  </si>
  <si>
    <t>RT @WayneDupreeShow: Broward County Sheriff Now Says “Four” Deputies Didn’t Enter To Save Children 
The NRA didn't fail these students, th…</t>
  </si>
  <si>
    <t>RT @paphotog: Join the @NRA today https://t.co/IZtWH6iwim</t>
  </si>
  <si>
    <t>RT @Isa4031AMP: .@kelliwardaz:  Arizona will you vote for Kelli? She speaks truth: “I think that @POTUS  offered the democrats an extremely…</t>
  </si>
  <si>
    <t>RT @lsmith4680: Dana, @DLoesch, YOU are my new SHE-RO! 
What an amazing, empowering, speech! You had me cheering &amp;amp; applauding from my desk!…</t>
  </si>
  <si>
    <t>RT @PoliticalPossum: Don't Tread on We The People while we #MAGA. Follow, comment, and retweet for a maximum #FollowBackFriday
@RavensKar…</t>
  </si>
  <si>
    <t>Design you POS! https://t.co/eJtXty7h8o</t>
  </si>
  <si>
    <t>RT @TheTrumpLady: Ohio Schools are now GEARING UP &amp;amp; Arming Teachers. “Our Staff members are trained to go to the threat and address the thr…</t>
  </si>
  <si>
    <t>RT @RedStormIsHERE: #WeThePeopleKNOW
#WeHearYouTrump
#InternetBillOfRights
#SaturdayMotivation https://t.co/JWmWuvAVZa</t>
  </si>
  <si>
    <t>Fire that POS Now! https://t.co/n9cw5lU4ZN</t>
  </si>
  <si>
    <t>RT @BrotherVet: We're those officers told to stand down
Seems unlikely to have 4 men 
Act Cowardly while kids are being 
Murdered .
Kinda…</t>
  </si>
  <si>
    <t>RT @jerome_corsi: As @realDonaldTrump counterattack gains speed #QAnon #Qanon8chan MSM narrative of Florida School Attack BEGINS TO BREAK D…</t>
  </si>
  <si>
    <t>Thank you @Luluhru2 for adding me to your list! https://t.co/eyv4HA4frT</t>
  </si>
  <si>
    <t>RT @fast782: This is the Snake story and I’ve told it 100 times. It sounds much better coming from President Trump. God Bless America, God…</t>
  </si>
  <si>
    <t>RT @JacobAWohl: 22 shot, 6 killed in Chicago this weekend. 
MSM coverage of the carnage: ZERO</t>
  </si>
  <si>
    <t>RT @Doodisgirl: I’m not saying it’s a necessity for every teacher, but it should at least be an option..
Hundreds of teachers sign up for f…</t>
  </si>
  <si>
    <t>RT @TheGreatFeather: This is how strong Trump is and is required to be and this is what he is doing... We have to help him increase the con…</t>
  </si>
  <si>
    <t>RT @realDonaldTrump: Dems are no longer talking DACA! “Out of sight, out of mind,” they say. DACA beneficiaries should not be happy. Nancy…</t>
  </si>
  <si>
    <t>RT @NevadaJack2: Liberal Piers Morgan Defends Trump, 
Slams Obama, 
Calls FBI 'Federal Bureau Of Incompetence' https://t.co/sEybilFdby</t>
  </si>
  <si>
    <t>RT @DallasIrey: #Trumpville 
@jb29pdx 
@sweet_n_sosassy 
@maga_fedup
@bibeydoll11 
@DallasIrey 
@luluHru 
@wolfeatworld 
@DanAndr66 
@JCain…</t>
  </si>
  <si>
    <t>RT @IrisWatts20: @Fuctupmind @DonnaWR8 @carrieksada @realPolitiDiva @AmericanHotLips @RepStevenSmith @StacyLStiles @thebradfordfile @SKYRID…</t>
  </si>
  <si>
    <t>RT @buzzman888: 🇺🇸#2A 🇺🇸 Dana Loesch @DLoesch Exemplifies What a *Warrior* Is - She's Constantly Putting Herself on The Line in an Effort t…</t>
  </si>
  <si>
    <t>RT @Daisy49103: 🔴🇺🇸🔴🇺🇸🔴🇺🇸🔴🇺🇸🔴
HEY Republicans! Let's Turn This Whole Nation Red.
GET OUT AND #VoteRed, EVERYWHERE!!! 
No more BLUE, they ha…</t>
  </si>
  <si>
    <t>RT @kwilli1046: Attention #Trump Supporters &amp;amp; Basket of #Deplorables. We Have The Strength &amp;amp; Unity To Make A Difference In America. Our Con…</t>
  </si>
  <si>
    <t>RT @JacobAWohl: The same month that Carter Page joined the Trump Campaign, the FBI "interviewed" him for 10 hours. Sounds like the FBI, NOT…</t>
  </si>
  <si>
    <t>RT @dbongino: Nobody joins the NRA for rental car discounts. 5 million voices will not be silenced by this relentless economic war on liber…</t>
  </si>
  <si>
    <t>RT @nancylee2016: @MSNBC @RepAdamSchiff Mueller indicted 13 Russian who live in Russia... big deal.  No Russian/Trump collusion. Yaaa the W…</t>
  </si>
  <si>
    <t>YouTube takes aim at conspiracies and propaganda  https://t.co/oZ3hOtEJhk via @WSJ</t>
  </si>
  <si>
    <t>RT @Chicago1Ray: "Liberty, when it begins to take root is a plant of rapid growth" #GeorgeWashington 
"Govt of the PPL, by the PPL,for the…</t>
  </si>
  <si>
    <t>Anti-School x Destroying the Illusion - Social Media Censorship Can't St... https://t.co/uYkT3izG3V via @YouTube</t>
  </si>
  <si>
    <t>U.S. UPDATE. Friday Nite RedPillRadio Live Show/6:pm Central https://t.co/8sTSJ2Nc0n via @YouTube</t>
  </si>
  <si>
    <t>RT @realArizonaDan: https://t.co/uDvjW0QQDY</t>
  </si>
  <si>
    <t>RT @GrrrGraphics: Voice of Reason vs. Voice of Treason #BenGarrison #Cartoon 
#Trump #MAGA #AmericaFirst  vs #Obama 
#Constitution vs. #Glo…</t>
  </si>
  <si>
    <t>Friends, How much more of this shit must #WeThePeople endure? How many more of our men and women must be killed before we wake up? ALL COP KILLERS AND CHILD MOLESTERS NEED TO BE HUNG BY THE NECK UNTIL'!!!!!!!!!!!!!!!!!!! https://t.co/b1A7QudsBm</t>
  </si>
  <si>
    <t>RT @petefrt: Sharyl Attkisson: Investigating the Investigators at DOJ and FBI - Why Heads Are Rolling at FBI, DoJ
@SenatorBurr @DevinNunes…</t>
  </si>
  <si>
    <t>RT @1776Stonewall: Bernie Sanders attacks Hillary Clinton for allowing Russian interference in the 2016 election. It's about time Bernie gr…</t>
  </si>
  <si>
    <t>RT @MarkDice: CNN is one giant Russian troll farm.</t>
  </si>
  <si>
    <t>RT @SteveMotley: #MAGA https://t.co/cGyVO1px1o</t>
  </si>
  <si>
    <t>I spent 22 tough years serving my country and this is the treatment I get from these communist Bastards?Censoring my Free Speech? https://t.co/0zuJUzy1an</t>
  </si>
  <si>
    <t>WTF? Every night Twitter takes people from me! For every 10 new followers they take 5 away! This is so unfair! I'm just sick of this shit! #TwitterLockOut</t>
  </si>
  <si>
    <t>#MAGA https://t.co/cGyVO1px1o</t>
  </si>
  <si>
    <t>Join GAB Today and Follow Me! I Follow Back! https://t.co/IOx6SncNFP https://t.co/MYoiiFFKaJ</t>
  </si>
  <si>
    <t>On the same day that 17 children were murdered in a Florida high school, almost 300 Americans were killed by FDA-approved prescription medications https://t.co/YuttDHiR8S</t>
  </si>
  <si>
    <t>RT @JohnTDolan: That my President!!!  And I thank God everyday, for he has truly blessed America.🇺🇸 https://t.co/fbfL8QMv2Y</t>
  </si>
  <si>
    <t>RT @SteveMotley: WTF? I went from 40K Followers last night to 37K this morning????</t>
  </si>
  <si>
    <t>RT @ArizonaKayte: @Twitter, @TwitterSupport 
i lost over 3400 followers last night while i was sleeping. What the hell are you geniuses do…</t>
  </si>
  <si>
    <t>RT @HowieRosenberg: You don't need to compete with anyone but yourself. https://t.co/7CCt72jHyg</t>
  </si>
  <si>
    <t>On the same day that 17 children were murdered in a Florida high school, almost 300 Americans were killed by FDA-approved prescription medications – https://t.co/wgQfOKh6ZW https://t.co/YuttDHiR8S</t>
  </si>
  <si>
    <t>RT @kwilli1046: The Words of Day Are "Twitter Purge" On Tuesday Night, Most of Us Lost Thousand of Followers. As #Deplorables &amp;amp; #Trump Supp…</t>
  </si>
  <si>
    <t>WTF? I went from 40K Followers last night to 37K this morning????</t>
  </si>
  <si>
    <t>RT @AnnaApp91838450: https://t.co/6aoa5WVAQ4
PATRIOTS MAD MAX MUST HAVE CROSSC5HE LINE IN HER DISTRACT
🚨KARMA 🚨 #Justice 
#MakeAmericaGreat…</t>
  </si>
  <si>
    <t>RT @starcrosswolf: On average about 20 people per year are killed due to school related gun violence. On average about 2,300 students are k…</t>
  </si>
  <si>
    <t>RT @jerseygirl2you: Guess it wasn’t halal? https://t.co/702k0R0pLZ</t>
  </si>
  <si>
    <t>RT @brandongroeny: liberals are so desperate to prove #TrumpColluded  and are so discouraged that Mueller basically proved that not to be t…</t>
  </si>
  <si>
    <t>Joy Behar is a TURD! Once a TURD Always a TURD! You just can't Polish a TURD! 
Joy #WeThePeople want you to just STFU and go away! You don't matter to any of us any longer you freaking TURD! https://t.co/eaHFGGT4JN</t>
  </si>
  <si>
    <t>How about this POS Mueller hand carrying Yellow Cake Uranium directly to the Russians when he was the Director of the FBI? WTF???? #UraniumOne #UraniumOneScandal https://t.co/TNlxvnCGsA</t>
  </si>
  <si>
    <t>Batter Up You Globalist Bitches! #MAGA https://t.co/wrDOkO7URP</t>
  </si>
  <si>
    <t>RT @MAGAKrissy: @AHamiltonSpirit #stillnotyourpresident #shelost #stopcrying #MAGAlikeAmofo #MAGA #Trump2020 #TrumpTrain #hillarylost https…</t>
  </si>
  <si>
    <t>I Miss Those Days Too Brother!  Let's Fix This Shit Once and For All. #MAGA https://t.co/p7honlzsEp</t>
  </si>
  <si>
    <t>RT @SebGorka: This is NOT Evil. 
Evil exists in one place only: the human soul. 
Evil CANNOT be legislated against. 
Evil must be identi…</t>
  </si>
  <si>
    <t>RT @RealSaavedra: @dbongino He literally votes for communists. 
https://t.co/jhyiyxflSB</t>
  </si>
  <si>
    <t>Our #POTUS @realDonaldTrump will prosecute these Bastards! I have great faith and confidence in him to get it done! #MAGA https://t.co/0GYt1dQQGg</t>
  </si>
  <si>
    <t>RT @President1Trump: .@PlanetTyrus suggests using veterans to protect our schools! It’s a win-win situation 🇺🇸 #GodBlessOurChildren  #GodBl…</t>
  </si>
  <si>
    <t>Wow! Awesome! #SemperFi #Marines https://t.co/fjAS9YmGJN</t>
  </si>
  <si>
    <t>How did this POS ever become #POTUS? Truth is Indeed Stranger Than Fiction! #MAGA https://t.co/xwQo0CYwip</t>
  </si>
  <si>
    <t>RT @veteranhank: Throughout the course of American history, courageous men and women have taken up arms to secure, defend and maintain thes…</t>
  </si>
  <si>
    <t>RT @txmoni7_lopez: @JoleneHale16 @tommyhubb @GeorgiaDirtRoad Love this one https://t.co/1mX4n7Nuwi</t>
  </si>
  <si>
    <t>RT @freekoreandogs: Happy New Year! from our Korean rescue babies :) #KoreanRescue #akita #Jindo https://t.co/VbnnqtCHgd</t>
  </si>
  <si>
    <t>RT @AllenWest: I offer condolences for the shooting victims and families of M. Stoneman Douglas HS in Broward County. I know the school ver…</t>
  </si>
  <si>
    <t>RT @Isa4031AMP: .@IngrahamAngle: "It's time for the special counsel to interview @HillaryClinton, @JohnKerry, Susan Rice, Ben Rhodes and ma…</t>
  </si>
  <si>
    <t>RT @Liz_Wheeler: In Sutherland Springs, govt-run Air Force let Kelly slip thru cracks.
In Parkland, govt-run FBI let Nikolas Cruz slip thr…</t>
  </si>
  <si>
    <t>RT @SaraZWood: ❤️🇺🇸Because American patriots are the cream of the crop and the cream always rises to the top! #AmericaFirst #MAGAForAll #Re…</t>
  </si>
  <si>
    <t>RT @USATrump45: RETWEET if you think schools should have signs like this 👇 instead of “Gun-Free Zone” signs!
#Florida #MAGA 🇺🇸 https://t.c…</t>
  </si>
  <si>
    <t>Mitt Romney is a Globalist Shill. #WeThePeople must work collectively to make sure this Wolf in Sheep’s clothing does not get that Senate seat! #NoRomney https://t.co/L16eX1vJLg</t>
  </si>
  <si>
    <t>Why is this not surprising to anyone? All of those Obama people were Crooks! https://t.co/DZHo6uM2ku</t>
  </si>
  <si>
    <t>RT @RealJamesWoods: When Sessions finally speaks, it is invariably precise and substantive.  https://t.co/XTiAfzQPlu</t>
  </si>
  <si>
    <t>RT @SaraCarterDC: #RussiansIndicted Exactly as we’ve discussed Russia was intent on creating discord and chaos. US officials duped and poli…</t>
  </si>
  <si>
    <t>RT @pinkk9lover: A great show! @IngrahamAngle is a great common sense take on the #MSM #DeepState bull 💩. Laura looks beautiful tonight in…</t>
  </si>
  <si>
    <t>RT @RepLeeZeldin: Happy #PresidentsDay to the great American Presidents who have fearlessly &amp;amp; selflessly guided us through times of war, de…</t>
  </si>
  <si>
    <t>That POS Shep Smith needs to be removed immediately! https://t.co/8Uha9rh1Av</t>
  </si>
  <si>
    <t>RT @DailyMail: LIVE: Teens perform a 'lie-in' outside the White House to urge a change in America's gun laws https://t.co/Br4USxkxhN https:…</t>
  </si>
  <si>
    <t>RT @starcrosswolf: 13 Russians indicted over the election. With those indictments, the ways or means of meddled in our election is removed.…</t>
  </si>
  <si>
    <t>RT @DallasIrey: School Shooting Surviver Turned Activist David Hogg's Father in FBI, Appears To Have Been Coached On Anti-Trump Lines. The…</t>
  </si>
  <si>
    <t>Hang the Bastard. #MAGA https://t.co/6DQcow0a6s https://t.co/X6eye8Q9sr</t>
  </si>
  <si>
    <t>RT @DestroyIllusion: Q made this book famous! Better pick up my physical copy before the Deep State tries to burn them all 
#qanon #Behold…</t>
  </si>
  <si>
    <t>RT @dbongino: Criminals don’t give a damn about gun laws. They never have. They never will. They don’t care about homicide, robbery, or rap…</t>
  </si>
  <si>
    <t>McMaster Back Stabs Trump/Mc/Mueller/RR Must GO! https://t.co/sYMw3PICCT via @YouTube</t>
  </si>
  <si>
    <t>RT @UTHornsRawk: ♦️🌀♦️🌀♦️🌀♦️🌀♦️🌀♦️
Thank you President Trump!
We love and appreciate you so much.   ⭐️#MAGA⭐️
#PresidentsDay2018
♦️🌀♦️🌀♦️🌀…</t>
  </si>
  <si>
    <t>Look at this Shit! Liberals are ruining the minds of these young kids! Liberalism is a Mental Disorder! #MAGA https://t.co/b6CGqXog6F</t>
  </si>
  <si>
    <t>RT @chon_ran: SHED weight &amp;amp; feel GREAT!  
3-step system + eating delicious!
#weightloss #nutrition #healthy https://t.co/8CPwXzrOHA</t>
  </si>
  <si>
    <t>RT @DanCovfefe1: “Obama was President up to, and beyond, the 2016 Election. So why didn’t he do something about Russian meddling?”  -DJT👇🏻…</t>
  </si>
  <si>
    <t>RT @GartrellLinda: VIDEO &amp;amp; TRANSCRIPT:
GOTCHA! A Stammering John Podesta Stunned by a REAL Question from CBS Reporter
What will be more del…</t>
  </si>
  <si>
    <t>RT @Smoochie6005: https://t.co/DUrzIK4Tah</t>
  </si>
  <si>
    <t>RT @PatriotPete101: Good morning Patriots across the Nation around the world.
🇺🇸HAPPYV PRESIDENTS DAY 🇺🇸
Plz follow my tagged friends and I…</t>
  </si>
  <si>
    <t>#WeThePeople Absolutely Love  @IngrahamAngle https://t.co/qRQDlL4Aho</t>
  </si>
  <si>
    <t>RT @PatriotPete101: #WeThePeople want to say THANK YOU 
@POTUS @FLOTUS for all you do. HAPPY PRESIDENTS DAY. 
#BestPresidentEver 
#WeStandW…</t>
  </si>
  <si>
    <t>RT @busylizzie48: 🔴⚪️🔵⚪️🔴⚪️🔵⚪️🔴⚪️🔵
        🔺 Presidents Day 🔺
                        2018
Celebrate these Great Presidents - oops not th…</t>
  </si>
  <si>
    <t>How Much Truth Can You Handle?
https://t.co/4VhEj6TRZQ https://t.co/sR4Orq1K4s</t>
  </si>
  <si>
    <t>#MAGA #SemperFi #Marines https://t.co/naE19NKZsA</t>
  </si>
  <si>
    <t>RT @racinginRacine: TRUST SESSIONS... 
https://t.co/t9ei6Vyvzg? https://t.co/oG9gxDaxeq</t>
  </si>
  <si>
    <t>RT @J12Young: @MilitaryEarth @MaxSkyler1 The best way to honor Pfc. Frye is to respect those who are serving now as well as the veterans wh…</t>
  </si>
  <si>
    <t>RT @BlueSea1964: 🚨 Hillary Tweeted Such A Ridiculous Lie That Even The Washington Post Called Her Out!
#DemocRats
#LiberalDesease
#Storyte…</t>
  </si>
  <si>
    <t>RT @KlinekeH50: https://t.co/kUHp2I3CJk</t>
  </si>
  <si>
    <t>Got to Have One! #SemperFi #Marines https://t.co/aLPoFA9rFr</t>
  </si>
  <si>
    <t>Here's Your Red Pill https://t.co/tiwtTQSZ3k</t>
  </si>
  <si>
    <t>https://t.co/82nxkKEjcX</t>
  </si>
  <si>
    <t>Never Heard of QAnon? What is all this talk about Q you ask? Well, here you go friends.....get yourself up to... https://t.co/8w6sLYLfao</t>
  </si>
  <si>
    <t>https://t.co/DWCVY2nMxH</t>
  </si>
  <si>
    <t>This Question Everything Q Mug is Our # 1 Selling Item at 
https://t.co/fJbthEqB5L 
Get Yours Today!... https://t.co/hbit62cOic</t>
  </si>
  <si>
    <t>Love This New Question Everything Q Shirt! https://t.co/r3SJVl2WLq #QAnon #Q #MAGA</t>
  </si>
  <si>
    <t>Blake Shelton -  "Lonely Tonight" featuring Ashley Monroe (Official Video) https://t.co/6YuJ5XnimC via @YouTube</t>
  </si>
  <si>
    <t>RT @vannsmole: I'm curious  ..did the left kick &amp;amp; scream about gun control after #KateSteinl was murdered by an illegal alien?
.@afbranco…</t>
  </si>
  <si>
    <t>RT @JrcheneyJohn: Trump @realDonaldTrump has NO Problem Telling It Like It Is Without Any Liberal Political Correctness👉He Tweets Out A Com…</t>
  </si>
  <si>
    <t>RT @StacyLStiles: President @realDonaldTrump: The greatest President in the history of the United States of America. #MAGA #GodBlessAmerica…</t>
  </si>
  <si>
    <t>RT @Sissy_USMC: General Kelly in physical Altercation with Chinese Official
Last November when Chinese tried to block nuclear football from…</t>
  </si>
  <si>
    <t>Love this New Q Shirt! Question Everything!  https://t.co/r3SJVl2WLq Use Code RedPillMonkey at checkout to save 10%</t>
  </si>
  <si>
    <t>Thanks For Being Such a Great FaceBook Friend Charlie Starr! https://t.co/5B4AZRCONT</t>
  </si>
  <si>
    <t>Great Article! QAnon: The Storm and The Awakening | MAGA PILL https://t.co/831sSWR0Vj</t>
  </si>
  <si>
    <t>I have 535 new followers from USA, India, UK., and more last week. See https://t.co/Z5SFmgjj3M https://t.co/5Q7m6aov64</t>
  </si>
  <si>
    <t>QAnon: The Storm and The Awakening | MAGA PILL https://t.co/831sSWR0Vj</t>
  </si>
  <si>
    <t>RT @Golfinggary5221: CONGRATULATIONS TO NOAH, THE NEWEST member of the 1000 follower club! An incredible young man, high school junior, sta…</t>
  </si>
  <si>
    <t>RT @dbongino: People who still, despite the continued failure to produce a drop of actual evidence, believe in Russian collusion with the T…</t>
  </si>
  <si>
    <t>RT @GaryDeSantis: John Kerry’s State Dept. Under Obama Administration Approved Visas for Mueller’s 13 Russian Operatives back in 2014. Now…</t>
  </si>
  <si>
    <t>Jail Time! https://t.co/52HU0CUjFY</t>
  </si>
  <si>
    <t>My team of Patriots are fighting everyday! Check us out! https://t.co/4VhEj6TRZQ https://t.co/rgXVneBpFb</t>
  </si>
  <si>
    <t>Join us for the True News Radio Show with Steve Motley today @ 11:30am Mountain https://t.co/ElPsUqAXNK https://t.co/9IRkQqiNRc</t>
  </si>
  <si>
    <t>RT @AnnaApp91838450: https://t.co/5vqQnAkHdj
Patriot Ladies are ready to Roll 
#DrainTheSwamp 
#deepstategate 
#RedWaveRising2018 
#RussiaC…</t>
  </si>
  <si>
    <t>RT @maccloskey1: Did you ever look at this famous pic from 2009 and wonder?
@POTUS @realDonaldTrump 
#ReleaseTheCures
#GreatAwakening
#OBA…</t>
  </si>
  <si>
    <t>RT @bbusa617: AH THE EARLY YEARS !! Back When Barry And Mike Were Just 2 Loving Young Men... https://t.co/63cHZCiDMS</t>
  </si>
  <si>
    <t>RT @The_Trump_Train: Here's a picture of the Florida Parkland School shooter...
Resistance? ANTIFA? Communist? https://t.co/fzh5nuuDBE</t>
  </si>
  <si>
    <t>RT @minnman47: https://t.co/b9HIFkpwFq</t>
  </si>
  <si>
    <t>RT @WI4Palin: Best one yet. #ObamaPortrait #ObamaGate https://t.co/11rAvHaeDy</t>
  </si>
  <si>
    <t>RT @Thomas1774Paine: Liberals Furious That Trump Wants To Replace Food Stamps With Actual Food https://t.co/nOPkiTBQhV</t>
  </si>
  <si>
    <t>How Much Truth Can You Handle? 
https://t.co/4VhEj6TRZQ https://t.co/8FcQvgjVsU</t>
  </si>
  <si>
    <t>I Knew I Loved You - Savage Garden - Lyrics https://t.co/tr0Wor0rYW via @YouTube</t>
  </si>
  <si>
    <t>Retired Marine - Happy Valentines Day From Grandpa Steve The Dancing Mar... https://t.co/hoeBmLp5RJ via @YouTube</t>
  </si>
  <si>
    <t>Retired Marine - Happy Valentines Day From Grandpa Steve The Dancing Mar... https://t.co/hoeBmL7v0b via @YouTube</t>
  </si>
  <si>
    <t>Call me maybe Orginal-Military https://t.co/m3kXZkkt8j via @YouTube</t>
  </si>
  <si>
    <t>RT @jerome_corsi: Google Extends War on https://t.co/8yxnbeoqQC by Demonetizing QAnon Videos https://t.co/8bg3RyfEQd via @realalexjones</t>
  </si>
  <si>
    <t>RT @SteveMotley: Happy Valentines Day to All My Wonderful Friends!  Just Felt like Cutting Up and Doing a little Valentines... https://t.co…</t>
  </si>
  <si>
    <t>RT @JamesLeoGarner1: Just so you know...... https://t.co/vNJzugiHAg</t>
  </si>
  <si>
    <t>RT @President1Trump: Freaking liberals ruin everything! Shaun White Wins an historic gold medal but all they care about is gossip ..some ol…</t>
  </si>
  <si>
    <t>RT @gaye_gallops: THE CRUMBS ACT.... Pelosi will forever be known as THE CRUMB! Tax reform legislation could make bonuses  tax free! Repres…</t>
  </si>
  <si>
    <t>RT @junogsp5: What Really Happened in Vegas?
Was it Terror Attack ?
Was it Assassination Attempt
on Saudi Ldr Salman ahead 
of Arrests 4 Ma…</t>
  </si>
  <si>
    <t>RT @VildyViix: @RealMAGASteve  https://t.co/RKEefRe3UT</t>
  </si>
  <si>
    <t>RT @dbongino: Dear Susan Rice,
People who do things “by the book” don’t email themselves about doing things by the book.</t>
  </si>
  <si>
    <t>RT @Gioia_5464: S P E R M on Obama's Head...I didn't think this Portrait could be any Worse 
until I saw a Close Up of Obama's Head. Unbeli…</t>
  </si>
  <si>
    <t>RT @Loduv: Joy Behar calls Christianity mental illness. No sorry Joy, your constant mockery of the principles America was built on is your…</t>
  </si>
  <si>
    <t>RT @thebradfordfile: Dear Daughters,
Always remember...
~ be sweet. be kind. be original.
And never watch @TheView.
Love, DaDa https://t.co…</t>
  </si>
  <si>
    <t>RT @redhead4645: We have more elections to win! If you really care about our future and the future of your children please vote for Good Co…</t>
  </si>
  <si>
    <t>RT @RSCGOP: Michelle Malkin "Something just seems off about the Obama portrait? Not sure what it is." Malkin always wants to be helpful and…</t>
  </si>
  <si>
    <t>Here's Your Red Pill - Motley Crew Mug https://t.co/D1eCE2MfuT</t>
  </si>
  <si>
    <t>RT @DallasIrey: Now this is funny stuff! 🤣🤣🤣🤣🤣#Trumpville https://t.co/PPQVog1eHE</t>
  </si>
  <si>
    <t>RT @EjHirschberger: My husband, my hero.❤We support our President @realDonaldTrump, and his mission to #MAGA. #ThrowbackThursday #SupportOu…</t>
  </si>
  <si>
    <t>Abolish The Fed! #MAGA #AmericaFirst #AbolishTheFed https://t.co/Ym10OfLDaX</t>
  </si>
  <si>
    <t>10% Off All Shirts, Hoddies and Mugs for a Limited Time! 
Use Code: RedPillMonkey at Check Out! https://t.co/2tp3ydz9Nx</t>
  </si>
  <si>
    <t>I Love Q I.Q. Shirt https://t.co/eorNwWHjXq  10% Off With Code: RedPillMonkey at Check Out! Other QAnon Shirts Available! Check Us Out! #MAGA #QAnon #Q</t>
  </si>
  <si>
    <t>RT @NobelPrize: "Human beings have the capability to love each other above all differences."
This #ValentinesDay Chemistry Laureate Jacque…</t>
  </si>
  <si>
    <t>RT @CaliConsrvative: I voted for Trump in 2016.
I will vote Trump again in 2020.
Never before have we the American people had such insigh…</t>
  </si>
  <si>
    <t>Happy Valentines Day Friends! Just Felt like Cutting Up and Doing a little Valentines Dancing! Remember "All... https://t.co/ks6Q5ErCqf</t>
  </si>
  <si>
    <t>Happy Valentines Day to All My Wonderful Friends!  Just Felt like Cutting Up and Doing a little Valentines... https://t.co/rttqqbJs3U</t>
  </si>
  <si>
    <t>Our #PresidentTrump is a great man! I Thank God every day for him! #MAGA https://t.co/IMc9FuouTV</t>
  </si>
  <si>
    <t>RT @JrcheneyJohn: Please meet Corey, Our next generation of the Conservative Movement.  He’s a college student, A Conservative and A Trump…</t>
  </si>
  <si>
    <t>Absolutely! Hang the Bastard if guilty! We have to put an end to this shit! Any Asshole who hurts a child DIES! End of story! https://t.co/6DQcowhLv2 https://t.co/AUKizIeqjy</t>
  </si>
  <si>
    <t>RT @StacyLStiles: General Kelly has integrity, honor, intelligence &amp;amp; class. Something you will never see in your lifetime, McAuliffe. Jealo…</t>
  </si>
  <si>
    <t>RT @gal_deplorable: LEAK: Loretta Lynch, James Comey &amp;amp; Andrew McCabe in HOT SEAT as IG Investigation Nears End https://t.co/VbWm1odUBG</t>
  </si>
  <si>
    <t>RT @RedWaveRising: While the fools are salivating over #NorthKorea s NEW IT girl, maybe they should #RememberOttoWarmbier 
#TuesdayThought…</t>
  </si>
  <si>
    <t>RT @poconomtn: Social Media is blamed for so much but can you even imagine if we didn’t have it to get the truth out and had to solely rely…</t>
  </si>
  <si>
    <t>RT @brithume: Kelly ended the floating crap game that was the White House before he took charge. Now the players in that game are seeking r…</t>
  </si>
  <si>
    <t>RT @Thomas1774Paine: US Army Going Old School With Training After Too Many Recruits Act “Entitled” https://t.co/Kcx82N8Zrv</t>
  </si>
  <si>
    <t>RT @jerome_corsi: Exclusive: Leftist Google Employees Conspire To Undermine Breitbart's Ad Revenue Breitbart https://t.co/h9G0cC6yeA via @B…</t>
  </si>
  <si>
    <t>RT @DiamondandSilk: Had a wonderful time with @AlvedaCKing at the White House reception honoring Black History Month.  Love you Alveda. htt…</t>
  </si>
  <si>
    <t>RT @jerome_corsi: Declassified: Comey Had Secret Russia Meeting With Obama Amid "Unmaskings" | Zero Hedge https://t.co/U0T4sSDLce UNMASKING…</t>
  </si>
  <si>
    <t>RT @TomFitton: .@JudicialWatch lawsuit uncovered how Mueller's FBI worked with Lois Lerner's IRS to try to prosecute the very groups Obama…</t>
  </si>
  <si>
    <t>RT @JohnTDolan: Comey and Strzok both admit General Flynn “Did Not” lie to the FBI  as charged. Someone at DOJ charged him for what he didn…</t>
  </si>
  <si>
    <t>RT @2christian: The artist who painted Obama’s portrait, to be part of the Smithsonian Institution, has an interesting past. While reviewin…</t>
  </si>
  <si>
    <t>RT @sealeney: #BigPharma Has The Cures ! Releasing The Cure Will Cut Into Their PROFITS ! #JimmyCarterCured !
#ReleaseTheCures
#WeThePeopl…</t>
  </si>
  <si>
    <t>RT @oldhippiebroad: Excuse me Dick Durbin  I am a female landscaper &amp;amp; live in Illinois. I have a degree &amp;amp; do those jobs you say Americans c…</t>
  </si>
  <si>
    <t>RT @TuckerCarlson: The Steele dossier is absurd. Take 10 minutes &amp;amp; read it yourself. It's online. Ask yourself as you do: who would believe…</t>
  </si>
  <si>
    <t>RT @jerome_corsi: Yes, your mega# corp, right @Google so BLOCK CONSERVATIVE GROUPS w defiance in your hard-left intolerant IDEOLOGY - Eric…</t>
  </si>
  <si>
    <t>RT @jerome_corsi: Good idea GOOGLE defy @realDonaldTrump defy #QAnon #Qanon8chan Block conservatives @BreitbartNews Tell @realDonaldTrump y…</t>
  </si>
  <si>
    <t>OMG! Pure Evil..... https://t.co/7ytJFE02bl</t>
  </si>
  <si>
    <t>RT @callanbentley: Remember the graphic that @janinekrippner posted the other day comparing volcanic eruption sizes? Well, I've updated it…</t>
  </si>
  <si>
    <t>RT @Thomas1774Paine: There is NO coincidence the Rob Porter 'scandal' was leaked to the media just days AFTER Andrew McCabe lost his gun an…</t>
  </si>
  <si>
    <t>RT @kelliwardaz: Discussed our winning campaign for US Senate on @MSNBC @KasieDC last night with @kasie &amp;amp; @KevinMcLaughlin #AZSEN #WallNotD…</t>
  </si>
  <si>
    <t>RT @JDB_E5_USMC: @DenaMurphh  https://t.co/B02PgYEEaH</t>
  </si>
  <si>
    <t>RT @realDonaldTrump: Negotiations on DACA have begun. Republicans want to make a deal and Democrats say they want to make a deal. Wouldn’t…</t>
  </si>
  <si>
    <t>Can you believe this shit! I'm so disgusted at Obama and his band of demons! I pray they all go to prison! https://t.co/TRmpxcgbBr</t>
  </si>
  <si>
    <t>RT @thebradfordfile: FBI Director Wray: People who do things "by the book" don't need to write memos saying they do things "by the book."…</t>
  </si>
  <si>
    <t>RT @Don_Vito_08: Hillary Lashes Out at Trump for ‘Abuse of Power,’ Warns Him Not to Prosecute Her [Video] https://t.co/ETL55qCpYM via @amlo…</t>
  </si>
  <si>
    <t>RT @TrumpsBlonde: Pro-democracy, South Korean protesters are burning flags of North Korea. You won't see this covered on CNN.
So much for…</t>
  </si>
  <si>
    <t>RT @JulianAssange: Donald Trump Jr.'s wife hospitalized after opening envelope with white powder. Oddly, I received one last Tuesday (a ter…</t>
  </si>
  <si>
    <t>RT @Daisy49103: 🔺️🔻Can you imagine how much our President would get done, if he didn't have to constantly fight the 
🕸corruption🕸 in DC!!!…</t>
  </si>
  <si>
    <t>RT @JohnTDolan: Good Morning Patriots!!!  And there’s NO END in sight.🇺🇸 https://t.co/XyrYLgf8Yb</t>
  </si>
  <si>
    <t>Mueller has got to be the dumbest SOB on the planet! He is dirty and corrupt as hell...911 cover up, Uranium One and much more! He is destined for Gitmo! #MAGA https://t.co/dNpmzRuPBM</t>
  </si>
  <si>
    <t>RT @jerome_corsi: A Racist Con-Man: Obama's Portrait Artist, Who Hires Cheap Chinese Labor To Paint "His" Work, Says "Kill Whitey" Is A Maj…</t>
  </si>
  <si>
    <t>RT @RedWaveRising: HERE is a much MORE accurate PORTRAIT of #ObamaTheCriminal 👇👇👇
#EraseObamasLegacy
#LockObamaUp
#ObamaGate
#MondayMoti…</t>
  </si>
  <si>
    <t>RT @jerome_corsi: Busted: DNC Deputy Chair Black MUSLIM Keith Ellison Says His Mtg. with Farrakhan and Iranian President Was "Not a Private…</t>
  </si>
  <si>
    <t>RT @Trump45Michael: 🙏🏻👶🏻👼🏼 #23Days 👼🏼👶🏻🙏🏻
Jonathan is in Heaven and now we need to lift up our Angel Gretchen and her family... @codeofvets…</t>
  </si>
  <si>
    <t>RT @realDonaldTrump: Our infrastructure plan has been put forward and has received great reviews by everyone except, of course, the Democra…</t>
  </si>
  <si>
    <t>RT @Isa4031AMP: White powder in letter opened by Donald Trump Jr.’s wife determined to be non-hazardous, New York City police say  https://…</t>
  </si>
  <si>
    <t>RT @jerome_corsi: Feb 11 PART 1 Dr. Jerome Corsi DECODING starting w #QAnon post #710 "Games R FUN": https://t.co/eZHQtlf45p via @YouTube</t>
  </si>
  <si>
    <t>RT @RoystonPotter: I just tried contacting B by DM as we have before. The DM will not send. Claim has been made I and Montagraph created B.…</t>
  </si>
  <si>
    <t>US wants to privatize International Space Station: report https://t.co/Ghd3AvaJFw via @YahooNews</t>
  </si>
  <si>
    <t>San Francisco Bay Area Experiences Mass Exodus Of Residents https://t.co/GycqQUXlUJ</t>
  </si>
  <si>
    <t>RT @jerome_corsi: QAnon -- CARTER PAGE - FBI UNDERCOVER - Electronic Surveillance JEROME CORSI DECODE Feb 4 2018: https://t.co/nALsGKmGiA v…</t>
  </si>
  <si>
    <t>RT @kwilli1046: I truly want to thank everyone that helps me succeed on Twitter.  There are times that I feel helpless then people come to…</t>
  </si>
  <si>
    <t>I have 870 new followers from USA, India, Russia, and more last week. See https://t.co/Z5SFmgjj3M https://t.co/5x6RXl1EQv</t>
  </si>
  <si>
    <t>RT @SteveMotley: "Seals Are Wonderful Creatures. Heard They Work Fast at Capturing Their Prey" - Q https://t.co/Bt1m1tOIhQ</t>
  </si>
  <si>
    <t>RT @SteveMotley: I Love Q Solo Long Sleeve https://t.co/fAPBt9x6o0</t>
  </si>
  <si>
    <t>RT @TIMENOUT: #UraniumOneScandal https://t.co/3hZkk6WbpT</t>
  </si>
  <si>
    <t>RT @Golfinggary5221: Gen John Kelly is a GREAT American. 🇺🇸 Valiantly served our country, lost a son in service, and now devoted to serving…</t>
  </si>
  <si>
    <t>RT @Chicago1Ray: "Let @realDonaldTrump know we are behind him , and may God give him the strength to continue his calling" @jonvoight ✔
Sh…</t>
  </si>
  <si>
    <t>RT @EjHirschberger: Nikolai #Shmatko: "His tenure will be successful and his governing reliable" #Trump #DonaldTrump https://t.co/ouoaKWgex…</t>
  </si>
  <si>
    <t>RT @realDonaldTrump: Rep. Lou Barletta, a Great Republican from Pennsylvania who was one of my very earliest supporters, will make a FANTAS…</t>
  </si>
  <si>
    <t>I Love Q Solo Long Sleeve https://t.co/fAPBt9x6o0</t>
  </si>
  <si>
    <t>RT @IsraelUSAforevr: No more. https://t.co/kR3B8ynFnv</t>
  </si>
  <si>
    <t>RT @Jali_Cat: FBI Informant Testifies: Moscow Routed Millions To Clinton Foundation In "Russian Uranium Dominance Strategy" 
VIDEO evidenc…</t>
  </si>
  <si>
    <t>I Love Q Shirt  https://t.co/AvhHLvhcg7</t>
  </si>
  <si>
    <t>#AmericaFirst #MAGA https://t.co/ruE3wqPoXk</t>
  </si>
  <si>
    <t>#MAGA https://t.co/sWhBlnV8Oy</t>
  </si>
  <si>
    <t>"Seals Are Wonderful Creatures. Heard They Work Fast at Capturing Their Prey" - Q https://t.co/Bt1m1tOIhQ</t>
  </si>
  <si>
    <t>RT @jerome_corsi: Jerome Corsi URANIUM ONE CONTROVERSY DECODED CBTS_Stream Feb. 10, 2018: https://t.co/vOfxM4t5v4 via @YouTube</t>
  </si>
  <si>
    <t>RT @TomFitton: The American people should be able to see for themselves the FISA court docs on how Obama admin used Clinton document to mis…</t>
  </si>
  <si>
    <t>Amen Mark! Leave General Kelly alone you Freakzoids! https://t.co/cOXXa2HZo4</t>
  </si>
  <si>
    <t>Jerome Corsi About Latest QAnon Posts And DOJ, FBI Spying On Trump In Wh... https://t.co/vkXUS57CEG via @YouTube</t>
  </si>
  <si>
    <t>RT @jerome_corsi: I am now on LIVE STREAM with @cbts_stream to DECODE #QAnon #Qanon8chan overnight posts SATURDAY Feb 10 2018 https://t.co/…</t>
  </si>
  <si>
    <t>RT @realDonaldTrump: Peoples lives are being shattered and destroyed by a mere allegation. Some are true and some are false. Some are old a…</t>
  </si>
  <si>
    <t>RT @SteveMotley: A Sincere Thank You to All My Wonderful Twitter Followers and Fellow #Patriots, and #Deplorables Who Helped Me Achieve 40K…</t>
  </si>
  <si>
    <t>A Sincere Thank You to All My Wonderful Twitter Followers and Fellow #Patriots, and #Deplorables Who Helped Me Achieve 40K! 
You Guys Are The Best of The Best! Please Check Out My New Show That Starts Sunday Evening! https://t.co/lqJAWpCHvw #MAGA #MotleyCrew #QAnon https://t.co/LQAcnRJmYp</t>
  </si>
  <si>
    <t>RT @inittowinit007: 🇺🇸🇺🇸REMEMBER EVERYONE🇺🇸
              🇺🇸DEPLOYED🇺🇸
                  .@POTUS https://t.co/YXve9AEViF</t>
  </si>
  <si>
    <t>RT @MemeWarNoDeals: #qanon #GreatAwakening #WeThePeople #FullofSchiff #MAGA #TheStormIsHere  #ObamaGate #SchiffHitsTheFan #FolllowTheWhiteR…</t>
  </si>
  <si>
    <t>RT @Corp125Vet: @EricHolder Similar to Arming Idiots with Automatic Weapons Against our US Agents! You are an Ass. From Commandeering a Fed…</t>
  </si>
  <si>
    <t>RT @MONTANANBALLER: Make Sure To Follow And RT
#TrumpTrain #MAGA 
.@ArizonaKayte 
.@firemandon68 
.@christi36766871 
.@ForrestCSmith 
.@GHO…</t>
  </si>
  <si>
    <t>RT @DallasIrey: #Trumpville
@ms_defied 
@whitet622 
@DonHensarling 
@DallasIrey 
@paulsmathers 
@TrumpNewsz 
@ItsFiveO
@crum_mary 
@trmp121…</t>
  </si>
  <si>
    <t>RT @PatrioticIndpnt: The ONLY 1% American Citizens should be concerned about! https://t.co/FBaud1p4Z3</t>
  </si>
  <si>
    <t>RT @Alaskans4Trump: My wife &amp;amp; I are receiving a combined $330 more per paycheck thanks to the #TrumpTaxCuts. That equals $8,580 per year! W…</t>
  </si>
  <si>
    <t>RT @channelinggalt: #FashionTrash https://t.co/Dmre4JITGV</t>
  </si>
  <si>
    <t>WTH? https://t.co/eeZSGv6BSq</t>
  </si>
  <si>
    <t>Shipping Container Full of Body Parts of Americans Discovered on Chinese Cargo Ship https://t.co/9ehn8RSnd2 via @WestJournalism</t>
  </si>
  <si>
    <t>RT @redhead4645: Americans need to know in their hearts that Potus did not release the democrat 's memo for national security. Shifty think…</t>
  </si>
  <si>
    <t>RT @DallasIrey: #Trumpville 
#FollowBackFriday
@DartLucy
@MAKEAMERICAGR14
@GGgirl34 
@DallasIrey
@dantevos95 
@Marine0141 
@Tat2uRdWhteBlu…</t>
  </si>
  <si>
    <t>RT @EpochTimes: The Uranium One Scandal Explained: How Obama and Clinton aided Russia’s quest for global nuclear dominance. #UraniumOne #Ur…</t>
  </si>
  <si>
    <t>MICHAEL SAVAGE'S INFAMOUS "WHAT A SHITHOLE" SPEECH, BEVERLY HILLS, JANUA... https://t.co/vSA0loztoR via @YouTube</t>
  </si>
  <si>
    <t>RT @sxdoc: BPEarthWatch: Q says Beware Ides of March; Sessions not visible but now has Obama and Hillary documents needed to prove Espionag…</t>
  </si>
  <si>
    <t>RT @chon_ran: People become really quite remarkable when they start thinking that they can do things. When they believe in themselves they…</t>
  </si>
  <si>
    <t>RT @OnlineMagazin: 🆘‼💩😷 It is really no wonder that Western civilization will perish. https://t.co/BM28MJ9S0k</t>
  </si>
  <si>
    <t>RT @jerome_corsi: I have rejoined LIVE STREAM NOW https://t.co/VjBuC2dsb2 with @cbts_stream to REVIEW #QAnon #Qanon8chan posts from yesterd…</t>
  </si>
  <si>
    <t>RT @StephenMilIer: Our blessed intelligence Community used false information to start a war with Iraq and a false dossier to [almost] start…</t>
  </si>
  <si>
    <t>RT @JrcheneyJohn: New Text Messages Reveal That Obama was aware of Peter Strzok and Lisa Page’s Attempts to protect Hillary and Sabotage Tr…</t>
  </si>
  <si>
    <t>RT @Raiderotto: https://t.co/BEjQnraC2g</t>
  </si>
  <si>
    <t>RT @BlueSea1964: 🚨 URANIUM ONE Witness Testifies…Moscow Wired Millions To U.S. To Benefit Clinton Charity…Sec. Of State Hillary Clinton Was…</t>
  </si>
  <si>
    <t>RT @StephenMilIer: Nancy Pelosi stood 8 hours on the House floor praising those who selfishly steal 9-5 jobs from millions of Americans.</t>
  </si>
  <si>
    <t>RT @realDonaldTrump: Our founders invoked our Creator four times in the Declaration of Independence. Our currency declares “IN GOD WE TRUST…</t>
  </si>
  <si>
    <t>RT @PrisonPlanet: Sweden.
Muslim migrant appointed head of National Heritage Board.
Admits he hasn’t "read anything about cultural herita…</t>
  </si>
  <si>
    <t>RT @RealAlexJones: Watch Live: Rand Paul Is Right! Trump Needs To Bring Troops Home, Then Have A Parade
📺Tune in M-F 11am-3pm CST at: http…</t>
  </si>
  <si>
    <t>RT @DiamondandSilk: Looks like this new memo 2.0 implicates Hillary Clinton and her campaign who paid for a dossier produced by an agent wh…</t>
  </si>
  <si>
    <t>RT @AIIAmericanGirI: How Did Carter Page Go From FBI Undercover Spy To Accused Russian Agent? https://t.co/hymVV7hJ0v @yidwithlid #AAG</t>
  </si>
  <si>
    <t>RT @seanhannity: Obama 'wanted to know everything' https://t.co/9kAzwFf5YG</t>
  </si>
  <si>
    <t>RT @realDonaldTrump: Will be heading over shortly to make remarks at The National Prayer Breakfast in Washington. Great religious and polit…</t>
  </si>
  <si>
    <t>RT @RealMattCouch: I've noticed many people will complain about things, but very few have the courage to actually get involved. Talk is che…</t>
  </si>
  <si>
    <t>RT @NinaMorton: 💥Tucker on Fire💥 Ridiculing ‘Russian Agent’ Adam Schiff in an epic take down, Tucker says Russian conspiracy is 'subtle, cr…</t>
  </si>
  <si>
    <t>Yes sit down and STFU you freaking One World Government Globalist! #WeThePeople are done with the Bush Crime Family! #MAGA https://t.co/ecTjLm2nz9</t>
  </si>
  <si>
    <t>RT @2christian: It’s also a problem for the FBI, your job at the FBI isn’t to defend the FBI, but to enforce the law. Once your job becomes…</t>
  </si>
  <si>
    <t>His day is coming! I assure you #POTUS knows everything about 9-11 and how it really went down! All guilty parties will be rolled up soon! #MAGA https://t.co/U40TFYKHws</t>
  </si>
  <si>
    <t>RT @DallasIrey: #Trumpville
@GraceTator
@jakePoPoB 
@DuriavigRobert 
@4Mischief
@Germantownrunne
@theTRUEGrassMan 
@PATRIOT4MAGA1 
@KevinKt…</t>
  </si>
  <si>
    <t>RT @thebradfordfile: ObamaGate LIAR'S CLUB:
CHIEF LIAR: Barack Obama
LYING LOSER: Hillary Clinton
FBI LIAR: James Comey
TARMAC LIAR: Loret…</t>
  </si>
  <si>
    <t>Who among us #Patriots gives a shit what the Liberals think any longer? They all suffer from a mental disorder and need treatment! #MAGA https://t.co/vzzgCr9Ktf</t>
  </si>
  <si>
    <t>RT @starcrosswolf: The Linchpin to Deep State Spying on Trump. Carter Page. It's becoming clear why he never was charged. Carter Page was p…</t>
  </si>
  <si>
    <t>RT @Lrihendry: Dear @realDonaldTrump you should invite the Patriots to the White House since the Eagles are behaving so unpatriotic and so…</t>
  </si>
  <si>
    <t>RT @MarkSimoneNY: Nancy Pelosi today: “we have the first President who’s anti-immigrant. Who hates immigrants.” Do these lunatics ever list…</t>
  </si>
  <si>
    <t>RT @CatherineTholl: Keep the train rolling #2 
#MAGA 🇺🇸♥🇺🇸♥
@EjHirschberger 
@ellimayradrep 
@TombStoneBub 
@Nancyporano 
@tess_babbs 
@Tru…</t>
  </si>
  <si>
    <t>RT @AnnaApp91838450: https://t.co/szvCvMHY4n
Amen Kevin Bacon your a Patriot
Not a Crybaby Snowflake💥
#AmericansAreDreamersToo 
#DrainTheSw…</t>
  </si>
  <si>
    <t>RT @1776Stonewall: The FBI informant who spent 6 years Undercover and documented and has audio tapes exposing the uranium one scandal, has…</t>
  </si>
  <si>
    <t>RT @RNRKentucky: Faith Hill:  🇺🇸❤️"American Heart"❤️🇺🇸
This song describes my❤️for America. 'A pride inside you can't burn out'. 
Keep the…</t>
  </si>
  <si>
    <t>RT @realDonaldTrump: The Budget Agreement today is so important for our great Military. It ends the dangerous sequester and gives Secretary…</t>
  </si>
  <si>
    <t>RT @oldhippiebroad: Republican James John for senate in Michigan.  He’s a businessman and Iraqi veteran. Please give him your support. #Red…</t>
  </si>
  <si>
    <t>RT @tbailey5477: 📽NEW "BUSTER"VIDEO
@MightyBusterBro
"I Want Those Pictures" 
🤣😂LOMAROF😂🤣
Adam Schiff heard COLLUDING with The Russians
🤣A…</t>
  </si>
  <si>
    <t>RT @DanCovfefe1: Democrats work every day to steal your liberties and control you. Fact! 
Look what they’ve been fighting for👀
Who wants…</t>
  </si>
  <si>
    <t>And #WeThePeople think you're a freaking Idiot Torrey Smith! https://t.co/IFjoZKNNh6</t>
  </si>
  <si>
    <t>I was in the Marine Corps for 22 and never marched in a parade outside the base! Hell yeah let's have a huge parade and invite all Veterans to march too! #SemperFi https://t.co/aMoiwql1CV</t>
  </si>
  <si>
    <t>RT @StandingDarrell: 🇺🇸#ObamaKnew
Ben Garrison.@GrrrGraphics hits this one out of the park as usual ~ read his terrific exposition at the…</t>
  </si>
  <si>
    <t>RT @SteveMotley: Twitter Friends, My name is @SteveMotley from Boise, Idaho I'm a 22 year retired #Marine &amp;amp; #Patriot I've been on #TrumpTra…</t>
  </si>
  <si>
    <t>RT @NIVIsa4031: BOMBSHELL! She Knew! Text Messages Lovebirds Strzok and Page Implicate Hillary Clinton https://t.co/6knQq05xvE https://t.co…</t>
  </si>
  <si>
    <t>RT @politiciandirec: Monaco running out of space for millionaires… https://t.co/F5hSeW3cs4 https://t.co/V3VYqk8ueF</t>
  </si>
  <si>
    <t>RT @PinkBelgium: 📢 @SebGorka @RepDevinNunes @DevinNunes 
Thanks So Much Both Of You To Help @POTUS @realDonaldTrump And #American People Ag…</t>
  </si>
  <si>
    <t>RT @realDonaldTrump: NEW FBI TEXTS ARE BOMBSHELLS!</t>
  </si>
  <si>
    <t>RT @CONNORFORTRUMP: Just given Dad a shower, shave and haircut. Dad is back on track after losing his eldest son, Christopher, on the 24th…</t>
  </si>
  <si>
    <t>Friends This is Huge! Thanks @GeorgWebb for your great research! https://t.co/t9XvKBpP9X</t>
  </si>
  <si>
    <t>RT @StanBrotherUSMC: GOOD MORNING LEATHERNECKS, DEVIL DOGS, MARINES..... https://t.co/RtTXrbDxQl</t>
  </si>
  <si>
    <t>Follow Me on Gab @stevemotley https://t.co/gZTAUcKjtt</t>
  </si>
  <si>
    <t>RT @Tombx7M: Just amazing
 #UraniumOne #MAGA #tcot #ccot #wakeupAmerica
#FoxAndFriends #MorningJoe #ThursdayThoughts https://t.co/B48DZQDzs8</t>
  </si>
  <si>
    <t>RT @brutalistPress: BREAKING: Uranium One informant points the finger at Clinton. The noose is tightening! https://t.co/fUaFfFT4fQ https://…</t>
  </si>
  <si>
    <t>RT @larryelder: Feelin' the love at a certain West L.A. restaurant... https://t.co/ZvZU5msTaq</t>
  </si>
  <si>
    <t>RT @DallasIrey: Trump Has Ordered Pentagon to Stage Grand Military Parade in DC. What a glorious occasion this will be! God Bless America a…</t>
  </si>
  <si>
    <t>I Love Q Shit! Our # 1 Seller!  Join the Q Team! https://t.co/AvhHLvhcg7 #QAnon #Q #MAGA #AmericaFirst #TheMotleyCrew #MotleyCrew</t>
  </si>
  <si>
    <t>RT @SebGorka: Why would you object to celebrating and recognizing our military as @realDonaldTrump intends?
Because you don’t believe in w…</t>
  </si>
  <si>
    <t>RT @SteveMotley: Pack your shit Soros! You’re heading to Gitmo! https://t.co/yPjZNyxd17</t>
  </si>
  <si>
    <t>RT @USATrump45: .@TomFitton: "This president is being criminally investigated about his communications with the FBI director about a crimin…</t>
  </si>
  <si>
    <t>RT @DonnaWR8: ‘Weird I don’t recall seeing this on #CNN.’⬇️ @JackPosobiec 
‘A *RECORD NUMBER* of WOMEN hold High-Level, Important Roles in…</t>
  </si>
  <si>
    <t>RT @TheLastRefuge2: 1.  Get to know this name:  Bill Priestap https://t.co/cu0e1ji295</t>
  </si>
  <si>
    <t>RT @patrickgotti: @HillaryClinton @aminatou @callyrgf Think if I was you I would look into getting a good Attorney before they're all snatc…</t>
  </si>
  <si>
    <t>RT @bevroley703: @HillaryClinton @aminatou @callyrgf  https://t.co/K8kzjaKnnf</t>
  </si>
  <si>
    <t>RT @StandingDarrell: 🇺🇸In case you missed .@LouDobbs Commentary last night ~ watch it here now ~ Dimms are in disarray as .@realDonaldTrump…</t>
  </si>
  <si>
    <t>RT @ings4palin: @TrumpUpdate @PressSec @realDonaldTrump @TrumpQAnon @B75434425 https://t.co/yF8UVLlQrh</t>
  </si>
  <si>
    <t>RT @MadelineEsquire: From @thedonaldreddit: “My Korean,  now American, Mom watching that young man hold his crutches up. She cried for 20 m…</t>
  </si>
  <si>
    <t>RT @TGowdySC: There is a time to come and a time to go. This is the right time, for me, to leave politics and return to the justice system.…</t>
  </si>
  <si>
    <t>RT @sealeney: Schiff Went To Court To Help Fusion GPS Hide The Truth
#Treason
#GreatAwakening
#ReleaseTheMemo
#WeThePeople
#MAGA #Pedogate…</t>
  </si>
  <si>
    <t>RT @PrisonPlanet: https://t.co/YM71XlNWLl</t>
  </si>
  <si>
    <t>RT @Thomas1774Paine: https://t.co/LiSeWZwzdk</t>
  </si>
  <si>
    <t>RT @mflynnJR: Sooooo this is beginning to make a lot more sense...
#MemoDay https://t.co/YYSaqCvxBc</t>
  </si>
  <si>
    <t>RT @aj7773108: @JulianAssange  https://t.co/C08srgOajr</t>
  </si>
  <si>
    <t>RT @Golfinggary5221: GEORGE WASHINGTON CALLED IT!
Someday a non-politician would be called upon to overthrow a corrupt government through t…</t>
  </si>
  <si>
    <t>RT @SheriffClarke: My reaction to the Congressional Black Caucus not getting off their lazy butts to join in the outpouring of love and sup…</t>
  </si>
  <si>
    <t>RT @TheLastRefuge2: In March 2016 Carter Page Was an FBI Employee – In October 2016 FBI Told FISA Court He’s a Spy… https://t.co/PmIaCUIiG2…</t>
  </si>
  <si>
    <t>RT @starcrosswolf: RUSSIAN COLLUSION. Nunes is 100% correct. "You can't make this stuff up" You have Clinton, who hired a law firm, who hir…</t>
  </si>
  <si>
    <t>Pack your shit Soros! You’re heading to Gitmo! https://t.co/yPjZNyxd17</t>
  </si>
  <si>
    <t>RT @donjone38970700: @JAmy208 @RossGilroy @Dusseldorf_Br @UnitedWeStandDT @MKronader @GodzillaReign @SprayCanAnn @MrMartyKann @Eye4Eye @Lau…</t>
  </si>
  <si>
    <t>You see how stupid you Liberals sound to us right thinking #Patriots #MAGA https://t.co/KnecHd2t6L</t>
  </si>
  <si>
    <t>RT @HoopsPlayer1221: @HillaryClinton This should've been the title of your book. ⬇ good luck in GITMO. https://t.co/9FtLsbPOkZ</t>
  </si>
  <si>
    <t>RT @President1Trump: #ObamaGate https://t.co/coqy40N0MJ</t>
  </si>
  <si>
    <t>RT @TomSeward5: This is Jeffrey Monroe, he was killed along side Colts player Edwin Jackson by an illegal alien who has already been deport…</t>
  </si>
  <si>
    <t>RT @RealWednesdayy: "You don't want to go here Peter" 
"Democrats don't lie"
#ObamaGate 🇺🇸 https://t.co/WGnenQBVJ9</t>
  </si>
  <si>
    <t>RT @MIdifference2: @bocavista2016 @realDonaldTrump  https://t.co/hNFa3AYUq7</t>
  </si>
  <si>
    <t>RT @SteveIam4msu: @TheDemocrats @NancyPelosi  https://t.co/K7tiXKumb1</t>
  </si>
  <si>
    <t>RT @patriotwoman19: https://t.co/CUZMhWqOGY</t>
  </si>
  <si>
    <t>RT @ThomasMarich: https://t.co/FTA6IRkggU</t>
  </si>
  <si>
    <t>RT @robwalker1966: @Greggorj @BlueSea1964 @RepMaxineWaters https://t.co/vyv3T7E4Me</t>
  </si>
  <si>
    <t>RT @GrizzleMeister: This A$SHAT may look 👀 absolutely stupid, but don’t allow his disguise to fool you. The deep state Dummy is pulling the…</t>
  </si>
  <si>
    <t>"NEW FBI TEXTS/BOMBSHELLS"/OBAMA/CLINTON/ESPIONAGE https://t.co/vC5AcRoh6J via @YouTube</t>
  </si>
  <si>
    <t>Twin Falcons Have Landed/Blogtalk Show Tonite/6:pm Central https://t.co/W4u3pJ3VmM via @YouTube</t>
  </si>
  <si>
    <t>RT @Thomas1774Paine: BREAKING****- FBI NIGHTMARE: Nevada Judge Orders Las Vegas Police to Release All Body Cam Footage from Mandalay Bay Ma…</t>
  </si>
  <si>
    <t>RT @realDonaldTrump: In the “old days,” when good news was reported, the Stock Market would go up. Today, when good news is reported, the S…</t>
  </si>
  <si>
    <t>RT @codeofvets: Do the democrats hate the President more than they love our country -Sarah SandersIs the budget fiscally responsibl… https:…</t>
  </si>
  <si>
    <t>RT @SteveMotley: How much Truth Can You Handle? https://t.co/4VhEj7btoq https://t.co/BEpgySivNB</t>
  </si>
  <si>
    <t>RT @SusanStormXO: @truckinwithnorm Exactly—
I HEAR YOU 
“SWEET BAD A$$ TRUCKER FRIEND”
I listen to you &amp;amp; the truth from others . 
It’s sa…</t>
  </si>
  <si>
    <t>RT @DetonicsMKV: @truckinwithnorm https://t.co/dMhnY4ine2</t>
  </si>
  <si>
    <t>Listen to this #Marine #Patriot @truckinwithnorm He speaks The Truth! #SemperFi https://t.co/fR0UVAlmlx</t>
  </si>
  <si>
    <t>RT @The_Trump_Train: Yesterday, liberals cheered on an expected stock market correction because they hate President Trump. Today, when the…</t>
  </si>
  <si>
    <t>RT @RealMattCouch: https://t.co/ItSv5Kkbid</t>
  </si>
  <si>
    <t>RT @Don_Vito_08: @dbongino @RepAdamSchiff #FullOfShiff is a disgrace to all Americans!
#DrainTheDeepState https://t.co/XEG43qaIET</t>
  </si>
  <si>
    <t>RT @brutalistPress: Her mouth is a shithole https://t.co/MjaSz8prPb https://t.co/M01kx4zWIf</t>
  </si>
  <si>
    <t>Retired Marine - BREAKING! More Memos Equals More Bad News For Globalist... https://t.co/EqFIqU8yBb via @YouTube</t>
  </si>
  <si>
    <t>RT @marklevinshow: Obama had to know a whole lot  ... https://t.co/bSivB15fxO</t>
  </si>
  <si>
    <t>RT @DallasIrey: #Trumpville
@wolfeatworld 
@vjoycejkl 
@ericharding 
@AZroadunner 
@RyanGraham10 
@julieaallen1958 
@Les51997795
@SteveC346…</t>
  </si>
  <si>
    <t>RT @Aggr3gateDemand: 4) Meanwhile, Kim Jong Un has stopped threatening nuclear war, and he's now pushing the idea of Korean unification. He…</t>
  </si>
  <si>
    <t>Our #POTUS is a Rock Star! #MAGA https://t.co/Fmq7BKEfMW</t>
  </si>
  <si>
    <t>#MAGA https://t.co/DsEqYOrEzv</t>
  </si>
  <si>
    <t>RT @1GigiSims: Is .@RepAdamSchiff a propagandist for Putin?    https://t.co/w71gFYHkL5</t>
  </si>
  <si>
    <t>How much Truth Can You Handle? https://t.co/4VhEj7btoq https://t.co/BEpgySivNB</t>
  </si>
  <si>
    <t>RT @Megan4MAGA: When did supposedly kkk supporters date black women for a few years? 🤔Her name is Kara young they dated back in the 90s htt…</t>
  </si>
  <si>
    <t>BREAKING/Grassley/Graham Memo Released/UnRedacted https://t.co/GD4tPb3sfQ via @YouTube</t>
  </si>
  <si>
    <t>BREAKING/Grassley/Graham Memo Released/UnRedacted https://t.co/GD4tPb3sfQ #RedPillRadioLive #MotleyCrew #BPEarthWatch #MAGA</t>
  </si>
  <si>
    <t>RT @pinkk9lover: "FISA CONTROVERSY" what the #Democrats didn't want any of us to know! #DrainTheDeepState #LockThemAllUp ##TuesdayThoughts…</t>
  </si>
  <si>
    <t>RT @JannaWilkinso69: 👊YO ! Listen up👂
I'm making a RUN down to K Mart to PICK up a TRUCKLOAD of "MANTIES" for a BUNCH of FAIL-MALE, SOY BO…</t>
  </si>
  <si>
    <t>RT @MTKHorses: Such a “Great Caricature” of Our President’s @realDonaldTrump #SOTU 🇺🇸 https://t.co/h8B07j4bqf</t>
  </si>
  <si>
    <t>RT @poconomtn: If you think your vote doesn’t matter
Just remember 
We were up against a corrupt FBI
The Clinton Cartel
Deep State
And God…</t>
  </si>
  <si>
    <t>RT @GartrellLinda: VIDEO: Tucker Carlson Destroys #ShiftySchiff With "Stunning News": "The leaders of the witch hunt are witches" 
What abo…</t>
  </si>
  <si>
    <t>RT @realDonaldTrump: HAPPY BIRTHDAY to our 40th President of the United States of America, Ronald Reagan! https://t.co/JtEglBhm4c</t>
  </si>
  <si>
    <t>RT @G1rly_Tattoo3d: .@AntonioSabatoJr  has my 
#Vote, to make a change for my #CA26 district 🙌🏻
🇺🇸Let's continue #Winning &amp;amp; elect Antonio…</t>
  </si>
  <si>
    <t>RT @polishprincessh: I support President Donald Trump.
I'm not a racist.
I'm not a bot.
I'm not brainwashed.
I'm not part of a cult.
I hate…</t>
  </si>
  <si>
    <t>RT @realDonaldTrump: Congratulations @ElonMusk and @SpaceX on the successful #FalconHeavy launch. This achievement, along with @NASA’s comm…</t>
  </si>
  <si>
    <t>Twitter Friends, My name is @SteveMotley from Boise, Idaho I'm a 22 year retired #Marine &amp;amp; #Patriot I've been on #TrumpTrain since Day 1. I need several hundred more Followers to reach 40K! Can I ask my Fellow #Deplorables to give a #Marine a hand? Thank You #Patriots! #SemperFi https://t.co/M5l45lSdrn</t>
  </si>
  <si>
    <t>Mueller is indeed a Traitor for both his 9-11 and Uranium One crimes, but he may have worked out some sort of plea bargain to work for #POTUS in an undercover Sting Operation! Time will tell..... https://t.co/ktFyPimuUM</t>
  </si>
  <si>
    <t>RT @JrcheneyJohn: Adam Schiff did Not Want the Republicans #Memo to be Released👉Said it would be a GRAVE threat to national security 
👉Lil…</t>
  </si>
  <si>
    <t>RT @CraigRSawyer: We all know. So where are the public hangings for high treason against We The People⁉️🇺🇸🇺🇸🇺🇸🇺🇸 https://t.co/wY3FqHSz0z</t>
  </si>
  <si>
    <t>RT @drawandstrike: Right after the release of the #FisaAbuseMemo, we learn the FBI......
KNEW ALL ALONG CARTER PAGE WAS NOT ANY KIND OF FO…</t>
  </si>
  <si>
    <t>RT @NevadaJack2: Nunes doubles down under fire: There's a 'clear link' to Russia, but not with Trump https://t.co/gGvLEtEYdB</t>
  </si>
  <si>
    <t>RT @dbongino: I’m not sure what’s worse, that the FBI didn’t mention that the Hillary campaign paid for the information being used in an af…</t>
  </si>
  <si>
    <t>RT @drawandstrike: OH.
HOLY
CRAP
The plot thickens....
The FBI took a key witness who helped them take down a Russian spy...and turned…</t>
  </si>
  <si>
    <t>RT @iowa_trump: President Trump, “if Congress won't approve legislation to end immigration loopholes that allow MS-13 members to stay in US…</t>
  </si>
  <si>
    <t>RT @dbongino: So, let me get this straight, Hillary’s campaign used a foreign spy, in contact with Russian sources, to gather information u…</t>
  </si>
  <si>
    <t>RT @GET4208: @NancyPelosi @SenSchumer 🤔🤔 Will you two idiots be going to his funeral &amp;amp; explaining why another illegal has been allowed to k…</t>
  </si>
  <si>
    <t>RT @ChrisMo37540912: The finalist of the #Trump #BorderWall construction Co. Says they believe they will make history and can do the job fo…</t>
  </si>
  <si>
    <t>RT @Tombx7M: FISA Controversy
#wakeupAmerica #tcot #ccot #MAGA
#TuesdayThoughts #FoxAndFriends #morningjoe https://t.co/FyL9vbkvOm</t>
  </si>
  <si>
    <t>RT @Tombx7M: FBI Didn't Lie
They colluded
#wakeupAmerica #tcot #ccot #MAGA
#FoxAndFriends #MorningJoe #TuesdayThoughts https://t.co/mjCJFQq…</t>
  </si>
  <si>
    <t>RT @Tombx7M: FISA Controversy
The FBI didn’t lie, but some wanted to take down President Trump
#wakeupAmerica #MAGA #tcot #ccot 
#FoxAndFri…</t>
  </si>
  <si>
    <t>RT @RealJamesWoods: Victor Davis Hanson is arguably our greatest living political and cultural essayist. His words ring out like a firing s…</t>
  </si>
  <si>
    <t>RT @brandongroeny: Let me make this absolutely crystal clear. President Trump is NOT over exaggerating when he called Democrats anti Americ…</t>
  </si>
  <si>
    <t>RT @MemeWarNoDeals: New Q Drops 2/5!🇺🇸😎
#FlyRothsFly
The Rothschild's sell off Black Forest estate after Q puts them on blast, What crimes…</t>
  </si>
  <si>
    <t>RT @DailyMail: Hundreds line the streets to pay tribute to sheriff's deputy after he was shot dead on 11th anniversary of joining the force…</t>
  </si>
  <si>
    <t>RT @FoxNews: Deputy killed, officers wounded in Colorado Springs shooting https://t.co/3GdM83y8yZ https://t.co/5LJQAGo6LY</t>
  </si>
  <si>
    <t>RT @politiciandirec: White House says Trump’s legal team supports a second special counsel to probe FBI, DOJ https://t.co/4FwtCXbrw6 https:…</t>
  </si>
  <si>
    <t>RT @1GigiSims: Mark Levin on FISA Controversy: #Obama Likely Knew @HillaryClinton Paid for a Warrant' #FISAabuse #Communist  #AdamSchiff #D…</t>
  </si>
  <si>
    <t>RT @NinaMorton: ‼️BOOM‼️ A mess for DOJ &amp;amp; FISA Court as info on Bruce Ohr’s wife, Nellie’s, opposition research on @POTUS was concealed fro…</t>
  </si>
  <si>
    <t>RT @sokeijarhead: Donald Trump surges in polls boosting Republicans' mid-term hopes https://t.co/vg96skw2qJ</t>
  </si>
  <si>
    <t>RT @CoachMMacDonald: How To Use Video Marketing To Build Your Home Business https://t.co/3kBTN5GsfB #networkmarketing #homebiz #videomarket…</t>
  </si>
  <si>
    <t>RT @BackThePolice: Our hearts go out to the family and friends of Deputy Micah Flick who was shot and killed in the line of duty. He is sur…</t>
  </si>
  <si>
    <t>RT @drawandstrike: All through September 2016, thru December of 2017 when that NYT's article appeared, Page told the same story: "I was set…</t>
  </si>
  <si>
    <t>RT @cjsienna55: @gal_deplorable Treason is the only crime specifically defined in the Constitution. According to Article III, Section 3, a…</t>
  </si>
  <si>
    <t>RT @JoeFreedomLove: Devin Nunes claims Hillary's campaign colluded with Russia
https://t.co/mzlt04CqX4 via @MailOnline</t>
  </si>
  <si>
    <t>RT @Fuctupmind: Live shot of #Philadelphia https://t.co/ahDFwi5lM2</t>
  </si>
  <si>
    <t>RT @EllenHanon: @marklevinshow Not many really realize just how close we came to having a dictator in Obama. He wasn't successful in disarm…</t>
  </si>
  <si>
    <t>RT @CharlieDaniels: You might guess that this has been a while ago. https://t.co/dEMwdKXuhO</t>
  </si>
  <si>
    <t>RT @drawandstrike: Carter Page's reward for helping the FBI bust a Russian spy ring was to have the FBI surreptitiously turn on him &amp;amp; brand…</t>
  </si>
  <si>
    <t>RT @EjHirschberger: Well, Well, Well, Look Who Adam Schiff Has “Family Ties” To https://t.co/IRm66u9cMa #MAGA #TrumpTrain by #mgrcharliecash</t>
  </si>
  <si>
    <t>RT @newtgingrich: Adam Schiff is desperately trying to cover up an indefensible situation. The information we're learning should be startli…</t>
  </si>
  <si>
    <t>RT @HowieRosenberg: You have to be bad before you can be good at anything!  Videos, Emails, etc. Check out my blog post. - https://t.co/blD…</t>
  </si>
  <si>
    <t>RT @MAGARoseTaylor: There is no evidence to date to support any collusion with Russia and the Trump Campaign, there is however evidence to…</t>
  </si>
  <si>
    <t>RT @FoxNews: TUNE IN: Carter Page joins “The @IngrahamAngle” to discuss the Nunes memo TONIGHT at 10p ET on Fox News Channel. https://t.co/…</t>
  </si>
  <si>
    <t>RT @blaubok: Clinton's took $200,000 worth of furniture, rugs &amp;amp; China from the White House.
Some items were not returned.... https://t.co/a…</t>
  </si>
  <si>
    <t>RT @DearWanderlust: If you ever traveled to #japan, you must pass by #fuji #mountain. #TravelTuesday #explore https://t.co/QtMGN0C7qz</t>
  </si>
  <si>
    <t>RT @TomFitton: .@JudicialWatch federal lawsuit uncovers yet another Russia Dossier -- this one created by the Obama/Kerry State Department…</t>
  </si>
  <si>
    <t>RT @FoxNews: Major Pentagon agency failed to account for more than $800 million https://t.co/WNDq1iQ6sO</t>
  </si>
  <si>
    <t>RT @realDonaldTrump: Any deal on DACA that does not include STRONG border security and the desperately needed WALL is a total waste of time…</t>
  </si>
  <si>
    <t>RT @President1Trump: BREAKING: @StateDept  under @JohnKerry gathered and sent its own dossier with classified information on Russia to a de…</t>
  </si>
  <si>
    <t>RT @RubyRockstar333: YUGE Congratulations to
RTB for Connecting with 3️⃣0️⃣,0️⃣0️⃣0️⃣ Followers! If you Support POTUS &amp;amp; Love to Laugh, be s…</t>
  </si>
  <si>
    <t>RT @seanandfrank: NFL Colts Linebacker Allegedly Killed by Twice-Deported Illegal Alien Drunk Driver https://t.co/LGSWLAgz9Z</t>
  </si>
  <si>
    <t>RT @bfraser747: 🚨🚨 FOLLOW ALERT
Please follow my very dear friend Sinar’s new account @Tabasc0NGinger. Sinar is a hard working and dedicat…</t>
  </si>
  <si>
    <t>RT @NIVIsa4031: The faces who have shredded the Constitution of the USA; thought they took an oath to uphold it Deep State Corruption Expos…</t>
  </si>
  <si>
    <t>RT @politiciandirec: Trump calls Democrats ‘treasonous’ for chilly State of the Union reception https://t.co/GW58zYt1WK https://t.co/rdlYng…</t>
  </si>
  <si>
    <t>RT @MAGAinSoCal: Republicans voted UNANIMOUSLY to release the DEMOCRAT Memo.
Guess how many Democrats voted to release the Republican Memo…</t>
  </si>
  <si>
    <t>RT @jerome_corsi: @Comey YOUR TWEET JUST NOW https://t.co/SuLFVM76MJ suggests you may want to CONSULT YOUR ATTORNEY (or your psychiatrist)…</t>
  </si>
  <si>
    <t>RT @2018MAGAMidTrmT: https://t.co/QldwglwN6w As the"Q-ANON posts"are posted each day online the YouTube channel"Lionel Nation"who is a form…</t>
  </si>
  <si>
    <t>RT @jerome_corsi: Anexciting week in DC #GreatAwakening If @AdamSchiffCA gets DEM MEMO released by House Intel Comm, we will push to get un…</t>
  </si>
  <si>
    <t>RT @jerome_corsi: Sens. Graham &amp;amp; Grassley letter calls for CRIMINAL investigation of Christopher Steele: https://t.co/oZAbzVXRbt alleges CL…</t>
  </si>
  <si>
    <t>RT @jerome_corsi: Haiti: Americans Improperly Took Children https://t.co/DdEnNAhHNw IMPORTANT - Hillary &amp;amp; Bill Clinton implicated in CHILD…</t>
  </si>
  <si>
    <t>RT @jerome_corsi: Assange Pulls Rug From Under Comey, Exposes Ex-FBI Dir.’s Schizophrenia https://t.co/XsH6PrufJg @Comey best advised to co…</t>
  </si>
  <si>
    <t>RT @jerome_corsi: NEW Hillary Email Reveals She KNEW All Her Info Was on Her Private Server https://t.co/BuwuVykI8k reopen CRIMINAL INVESTI…</t>
  </si>
  <si>
    <t>RT @jerome_corsi: Trump Attorneys Approve Second Special Counsel To Probe FBI and DOJ  https://t.co/ge3V2wfKBx Announced on Air Force 1 tod…</t>
  </si>
  <si>
    <t>RT @FoxNews: .@RepAdamSchiff: "As more and more individuals have either been indicted or plead guilty in connection with this investigation…</t>
  </si>
  <si>
    <t>RT @RedPillRe: The FBI didn’t lie, but I can’t say the same about Comey, McCabe, Hillary,  Susan Rice, Lynch, McCain, and other swamp rats.…</t>
  </si>
  <si>
    <t>RT @NIVIsa4031: .@IngrahamAngle: @DevinNunes' work to ensure the integrity of both the Clinton &amp;amp; the Mueller investigations should be welco…</t>
  </si>
  <si>
    <t>This POS needs to be Locked up immediately! https://t.co/WlxGRsv0ny</t>
  </si>
  <si>
    <t>RT @SharylAttkisson: Many pundits and reporters are missing the point through their lack of info. It doesn't matter "what part" of the doss…</t>
  </si>
  <si>
    <t>RT @FoxNews: Nunes sets sights on State Department next, says FISA memo only 'phase one' - via @brookefoxnews 
https://t.co/37gtABClkb</t>
  </si>
  <si>
    <t>RT @redhead4645: Tonite on Hannity, Devin  Nunes said whatever the left is accusing the Republicans of doing they are actually doing it the…</t>
  </si>
  <si>
    <t>RT @politiciandirec: Trump blasts FBI and Justice department bosses in a showdown over the Republican memo https://t.co/zzxh2dPELk https://…</t>
  </si>
  <si>
    <t>RT @oldhippiebroad: How can Hillary Clinton pay the Russians for a dossier &amp;amp; she didn’t commit collusion? President Trump didn’t hire peopl…</t>
  </si>
  <si>
    <t>RT @Thomas1774Paine: ICYMI - After an Entire Season of Protests, the NFL’s Super Bowl Ratings Are In https://t.co/RFZDd2jbdK</t>
  </si>
  <si>
    <t>RT @FoxNews: .@GovMikeHuckabee: "[It] makes Americans furious when they hear about sanctuary cities and sanctuary states. We'd like for our…</t>
  </si>
  <si>
    <t>RT @TheLastRefuge2: In March 2016 Carter Page Was an FBI Employee - In October 2016 FBI Told FISA Court He's a Spy... https://t.co/ay141hjl…</t>
  </si>
  <si>
    <t>RT @PinkBelgium: 🚨 Sooner Or Later @HillaryClinton You'll Be Prosecuted And Indicted Of All The Crimes You Committed. Your Place Is In A Ja…</t>
  </si>
  <si>
    <t>RT @210GOPTEJANA: Deputy killed, 4 others wounded in Colorado Springs https://t.co/k0Ch6wShgY via @KDVR</t>
  </si>
  <si>
    <t>RT @mitchellvii: At this point, Trump is the Eagles and the Democrats are the Browns.
Just sayin'... https://t.co/jrM00t4R2E</t>
  </si>
  <si>
    <t>RT @seanhannity: Steele compiled another unseen dossier https://t.co/ghPjb8nCVV</t>
  </si>
  <si>
    <t>Add me @SteveMotley I'm a #Patriot https://t.co/Y4OthqLqAV</t>
  </si>
  <si>
    <t>RT @AFunnyValentine: Trump slams 'Little' Adam Schiff as 'one of the biggest liars and leakers' in Washington https://t.co/kuEBvpquaq #FoxN…</t>
  </si>
  <si>
    <t>RT @JackPosobiec: Why did all the Democrats say the Nunes memo should not come out because of classified information, but have no problem r…</t>
  </si>
  <si>
    <t>Very well said Louie! Brovo! #MAGA https://t.co/niL2VLf10m</t>
  </si>
  <si>
    <t>RT @phil4gop: @SierraWhiskee @realDonaldTrump @Hoosiers1986 @KatTheHammer1 @NIVIsa4031 @inittowinit007 @Chicago1Ray @GrizzleMeister @DonnaW…</t>
  </si>
  <si>
    <t>RT @kwilli1046: Devin #Nunez - The #FISA Warrant Would Not Have Been Received Without the #Dossier. The FISA Court Was Not Told That the Do…</t>
  </si>
  <si>
    <t>RT @LauraWi32702281: Indeed...
Check for devices from the DOJ, FBI, Upchuck Schumer, and the entire Democratic representative government in…</t>
  </si>
  <si>
    <t>RT @Harry_Kary: BREAKING: @FoxNews @seanhannity  reported Rob Rosenstein threatened the House Intel Committee GOP members with getting a wa…</t>
  </si>
  <si>
    <t>RT @SavannahBelle01: So, Carter Page (with all his Kremlin contacts) wasn't a threat in 2013 under Obama? He only became a "Russian spy" on…</t>
  </si>
  <si>
    <t>RT @FoxNews: Jonathan Turley on GOP FISA memo: "When you say that there's a national security risk about a document being released, and it…</t>
  </si>
  <si>
    <t>RT @StandingDarrell: 🇺🇸 Most Important Federal Judge You Don’t Know🇺🇸
Judge James E. Boasberg is refusing to let Americans see former FBI…</t>
  </si>
  <si>
    <t>RT @SteveScalise: American workers have received over $3 BILLION in bonuses so far from over 300 companies thanks to the Tax Cuts and Jobs…</t>
  </si>
  <si>
    <t>RT @BigLeague2020: #MAGAnomics
🇺🇸Wages soar at the fastest rate 2.9%.
🇺🇸The largest increase since 2009.
🇺🇸January Jobs Report 200K 
🇺🇸…</t>
  </si>
  <si>
    <t>RT @TruthFeedNews: BREAKING: White House Takes Steps to Squash FBI &amp;amp; DOJ Corruption https://t.co/cvKhZyMdNQ #MAGA #TrumpTrain</t>
  </si>
  <si>
    <t>@stevemotley = #Patriot https://t.co/4VhEj6TRZQ https://t.co/agXnAztrNP</t>
  </si>
  <si>
    <t>RT @pinkk9lover: It was American Collusion that interfered with the election, but we still won! Not tired of #Winning yet! #Democrats are t…</t>
  </si>
  <si>
    <t>RT @realDonaldTrump: Thanks to the historic TAX CUTS that I signed into law, your paychecks are going way UP, your taxes are going way DOWN…</t>
  </si>
  <si>
    <t>RT @GrantJKidney: Was today’s Dow Jones collapse payback for Trump having released the Nunes memo?
There are very powerful forces in contr…</t>
  </si>
  <si>
    <t>RT @AMike4761: Clintons Have Been Using The FBI Against Their Enemies For Years. In 1993 FBI confidential files on Bush and Reagan appointe…</t>
  </si>
  <si>
    <t>RT @RodStryker: Globalist DEMS &amp;amp; RINO's have gotten richer &amp;amp; more powerful, while doing nothing for the American people. Trump came around…</t>
  </si>
  <si>
    <t>Please add me to your #Patriot list! https://t.co/4VhEj6TRZQ https://t.co/CSeMMKYN9s</t>
  </si>
  <si>
    <t>Add me...I'm a fully vetted #Patriot Check out my YouTube channel https://t.co/c4kVqKXInz https://t.co/YUtV9XuZWM</t>
  </si>
  <si>
    <t>@stevemotley https://t.co/XxT5RIG3Yh</t>
  </si>
  <si>
    <t>RT @JannaWilkinso69: 😂😜😂😜😂 Silly DIAPER wearing SNOWFLAKES !! 😂😜😂😜😂
❤️🇺🇸❤️🇺🇸❤️🇺🇸 https://t.co/ShKaL0XgeE</t>
  </si>
  <si>
    <t>RT @Sarah__Reynolds: WATCH: Nunes Goes on National TV, Dares Comey to Appear Before Congress Again https://t.co/psjSh8nDXg YES, throw down…</t>
  </si>
  <si>
    <t>RT @Michell75799153: How much do you want to bet MSM covers every word of the Dems memo and takes it as gospel?  Nunes and his group are go…</t>
  </si>
  <si>
    <t>RT @RedWaveRising: AWESOME! 
#WeStandWithFlynn
#FlynnIsAPatriot
#DropAllChargesAgainstFlynn
@GenFlynn
ROGER STONE: Gen. Michael Flynn to F…</t>
  </si>
  <si>
    <t>RT @RRRDontTreadOn: Beautiful! 
The Philadelphia Eagles: A Band of Bible-Believing Brothers Whose Faith is Inspiring Millions
Leading the s…</t>
  </si>
  <si>
    <t>This guy is a total POS who should NEVER be elected to public office again! https://t.co/FUsmyIYJry</t>
  </si>
  <si>
    <t>RT @vannsmole: Super Bowl Ratings Plummet to 8-Year Low.
Enjoy what you created #Goodell .@NFL
It will go down as the lowest-rated #Super…</t>
  </si>
  <si>
    <t>RT @GartrellLinda: The #DeepState monsters are taking the bait.
They're exposing themselves with every word &amp;amp; deed.
EVERY department of gov…</t>
  </si>
  <si>
    <t>RT @polishprincessh: He is a real POS. Is Kaepernick not smart enough to pick an issue that can actually make a difference? What a disgrace…</t>
  </si>
  <si>
    <t>RT @covfefeartist: Tipping The Scales Of Justice‼️⚖️⚖️⚖️⚖️⚖️⚖️⚖️
Not only did the memo lay bare a systemic pattern of abuse within the FBI…</t>
  </si>
  <si>
    <t>@stevemotley https://t.co/SxU81FeX3G</t>
  </si>
  <si>
    <t>RT @TT45Pac: Pentagon agency can't account for $800 million in spending: Report https://t.co/7ULeTkz6jh  https://t.co/MClmPPZ3ZU</t>
  </si>
  <si>
    <t>RT @JohnMcGeever70: All Aboard ! Follow these great patriots. 
@PhilMcCrackin44 
@jimlibertarian 
@President1Trump 
@SharonLesley11 
@John1…</t>
  </si>
  <si>
    <t>RT @JulianAssange: James Comey, master of logic: FISA memo is nothing -- and also the destroyer of worlds. https://t.co/RIqTGpUwk2</t>
  </si>
  <si>
    <t>RT @kwilli1046: Attention All #Trump Supporters - Many Patriots Are Being Shadow
Banned Again! Shadow Banning Limits Free Speech by Restric…</t>
  </si>
  <si>
    <t>https://t.co/rZg9usIOwg</t>
  </si>
  <si>
    <t>Philly is after all a Democratic Controlled Sanctuary City! Are you really surprised by their actions! #MAGA https://t.co/MULdivjTbW</t>
  </si>
  <si>
    <t>Don't know about QAnon? Go here to see all Q Posts! https://t.co/7fgnN0NXkR https://t.co/ASuUSZSDNS</t>
  </si>
  <si>
    <t>RT @PokinTheGrizzly: STONE: “Lawyers for General Mike Flynn will shortly file a motion to dismiss all the charges filed against him, based…</t>
  </si>
  <si>
    <t>RT @PatrioticCindy: Michael Goodwin: FBI memo proves the ‘deep state’ is real – and the press is part of it via the @FoxNews App https://t.…</t>
  </si>
  <si>
    <t>Just STFU you IDIOT #WeThePeople don't want to hear anything you've got to say! #MAGA https://t.co/t7ue2P5Opn</t>
  </si>
  <si>
    <t>RT @StephenMilIer: A 'bully' is someone who violates my rights and then demands my respect. 
Cc @FBI</t>
  </si>
  <si>
    <t>RT @PrisonPlanet: Over 2 hours since Trump called him out and Little Adam Schiff still hasn't responded.</t>
  </si>
  <si>
    <t>RT @realDonaldTrump: Little Adam Schiff, who is desperate to run for higher office, is one of the biggest liars and leakers in Washington,…</t>
  </si>
  <si>
    <t>RT @jerome_corsi: NO MORE BUSHES. NO MORE CLINTONS. NO MORE OBAMAS #GreatAwakening Sovereign = 'WE THE PEOPLE" #QAnon #qanon4chan Return to…</t>
  </si>
  <si>
    <t>RT @realDonaldTrump: The Democrats are pushing for Universal HealthCare while thousands of people are marching in the UK because their U sy…</t>
  </si>
  <si>
    <t>RT @ScottPresler: Why did Little Adam Schiff fight so hard against releasing a memo, which details government corruption?
#MondayMotivation</t>
  </si>
  <si>
    <t>RT @realDonaldTrump: Representative Devin Nunes, a man of tremendous courage and grit, may someday be recognized as a Great American Hero f…</t>
  </si>
  <si>
    <t>RT @rp4america1st: Regardless of who wins the #SuperBowl @POTUS is my choice for #MVP 
#Schiff 
#SchiffForBrains 
#SuperBowlSunday 
#Super…</t>
  </si>
  <si>
    <t>RT @PhilMcCrackin44: @GenFlynn is an American hero 🇺🇸🇺🇸🇺🇸🇺🇸🇺🇸🇺🇸🇺🇸🇺🇸🇺🇸🇺🇸🇺🇸
#ISupportGeneralFlynn 
#PardonFlynnNow 
#PardonFlynnNow 
#Pardo…</t>
  </si>
  <si>
    <t>RT @TruthMaga: 💥👍💥👍💥👍💥👍💥
   💥This man Right here 💥
                       👇👇👇
              ❤️@POTUS❤️
  💪Leader 👉❤️🇺🇸 &amp;amp;Patriots
    ✊I wil…</t>
  </si>
  <si>
    <t>RT @jeepsuzih2: ARIZONA 😨
TRULY APOLOGIZES
FOR JOHN McCAIN &amp;amp; JEFF FLAKE ...LOVE THIS 💖 https://t.co/zfOkcipcIo</t>
  </si>
  <si>
    <t>RT @Tombx7M: Summary of the memo
#wakeupAmerica #tcot #ccot #MAGA 
#FoxAndFriends #YoMemoJokes #MorningJoe 
#MondayMotivation https://t.co/…</t>
  </si>
  <si>
    <t>RT @geneO2017: #MondayMotivation https://t.co/27QOP3koI2</t>
  </si>
  <si>
    <t>RT @MikeTokes: Without the fraudelent Steele Dossier which was paid for by the DNC, we would not of had the surveiling of Trump &amp;amp; ultimatel…</t>
  </si>
  <si>
    <t>RT @Tombx7M: Serious abuse of power
#wakeupAmerica #tcot #ccot #MAGA 
#FoxAndFriends #YoMemoJokes #MorningJoe 
#MondayMotivation https://t.…</t>
  </si>
  <si>
    <t>RT @itsnaturefact: Chiangmai Lantern Festival, Thailand https://t.co/mO3sG79NEa</t>
  </si>
  <si>
    <t>RT @_Makada_: Loser Jay-Z supports Che Guevara, a communist murderer who hates black people. https://t.co/PSAOiEnCWu</t>
  </si>
  <si>
    <t>RT @JulianAssange: Council on Foreign Relations links to major media holdings
Full graphic here: https://t.co/lyMPz4ME2Z https://t.co/mmTN…</t>
  </si>
  <si>
    <t>RT @justingshelton: @karencinderella @_pcantagonista @WalshFreedom  https://t.co/XmeJ0fgrKM</t>
  </si>
  <si>
    <t>RT @princenieuwsnl: I thought it was a tastefully done tribute. #Prince #Superbowl #HalftimeShow https://t.co/7rr32gOFGS</t>
  </si>
  <si>
    <t>RT @MeilinTompkins: This is the best! #SuperBowl https://t.co/peMWfBUFbl</t>
  </si>
  <si>
    <t>Wow! I've got to read his book! #MAGA https://t.co/FUZdgH0Mir</t>
  </si>
  <si>
    <t>RT @NewsPuppet: #MAGA #FollowTheWhiteRabbit  #QAnon #UnsealTheDeals   #GreatAwakening  #ReleaseTheMemo #FisaMemo   #SOTU #SOTU2018 #FullofS…</t>
  </si>
  <si>
    <t>RT @DonnaWR8: @inittowinit007 @realDonaldTrump @POTUS @NIVIsa4031 @RNRKentucky @Trump45Michael @MEL2AUSA @PamB60 @gr8tjude @kwilli1046 @ImJ…</t>
  </si>
  <si>
    <t>RT @jerome_corsi: Lionel Interviews Dr. Jerome Corsi on the Significance and Criticality of #QAnon January 2018: https://t.co/8xdVkkAkhU vi…</t>
  </si>
  <si>
    <t>RT @heartdaughter: "The Memo Reveals the Coup"
#YoMemoJokes #SaturdayMorning #MemoDay #QAnon #MAGA  #TrumpTrain #FollowTheWhiteRabbit #nwo…</t>
  </si>
  <si>
    <t>RT @RealAlexJones: #QAnon suggested false flag event following memo release - https://t.co/idSKnTRWgr #SuperBowlSunday</t>
  </si>
  <si>
    <t>RT @dekdarion: The MSM is too dumb to realize the implications of this. #QAnon https://t.co/f6ca6I8TQX</t>
  </si>
  <si>
    <t>RT @jerome_corsi: OBAMA went from Soros-funded SAUL-ALINSKY community organizer Communist/Socialist FRANK MARSHALL DAVIS - "MESSIAH" to tod…</t>
  </si>
  <si>
    <t>RT @ItsAngryBob: The #memo is one of many—there are more memos coming out.
Backed up by hundreds of hours of testimony, millions of pages o…</t>
  </si>
  <si>
    <t>Uma Thurman ends silence on Weinstein with disturbing claims https://t.co/v4YpCTx4YO</t>
  </si>
  <si>
    <t>RT @RealLPoslaiko: Maybe she out walking in the woods again, OR trying to slip out of the country unnoticed! https://t.co/bu0wtTYOJg</t>
  </si>
  <si>
    <t>RT @RNRKentucky: .@LouDobbs: Former DC District Attorney IG's Report 'Devastating' Shows #McCabe Changed FBI Agents Reports
"McCabe made F…</t>
  </si>
  <si>
    <t>Well Philly is a Democratic Controlled Sanctuary City after all.  #MAGA https://t.co/la8WZl3NGC</t>
  </si>
  <si>
    <t>RT @JrcheneyJohn: 😂Looks like the Joke Is On Jimmy and his liberal friends 
Jimmy Kimmel Thinks Conservatives Are To Dumb To Be Talk Show…</t>
  </si>
  <si>
    <t>RT @PinkBelgium: Oh Yessssss! We Can't Wait For The Details! Great Job @SaraCarterDC 👏👏 #ObamaGate #StateDepartment #NunesMemo #MAGA - Sara…</t>
  </si>
  <si>
    <t>RT @TheLucyHarper: https://t.co/CtSQw8VgkC https://t.co/GtkcGwv2QS</t>
  </si>
  <si>
    <t>I have 887 new followers from USA, India, Canada, and more last week. See https://t.co/Z5SFmgjj3M https://t.co/3RVE38StLe</t>
  </si>
  <si>
    <t>YouTube announces plan to combat propaganda https://t.co/aYhUxx0evu</t>
  </si>
  <si>
    <t>Oklahoma considers chemical castration for sex offenders https://t.co/RAhFM8RcJs via @YahooNews</t>
  </si>
  <si>
    <t>Katy Von Treskow, left, traveling with her 5-year-old daughter, Madeline, uses a check-in kiosk at Los Angeles International Airport. A study found the surfaces of such kiosks are high in bacteria. https://t.co/AzKHOEx9TA</t>
  </si>
  <si>
    <t>Patriots vs. Everybody: A look at why New England is the most-hated team https://t.co/VwpCVC4T1Z</t>
  </si>
  <si>
    <t>How Much Truth Can You Handle? You'll Find lots of it here!
https://t.co/4VhEj6TRZQ https://t.co/Js7RqEuj67</t>
  </si>
  <si>
    <t>#WeThePeople Love and Support Our #POTUS and #QAnon https://t.co/eG70VZyeog</t>
  </si>
  <si>
    <t>#MAGA https://t.co/ry4sDQml6p</t>
  </si>
  <si>
    <t>RT @USA_AllenK: .
Hi @jeffsessions,
Since the dawn of post #MemoDay, can't wait to see someone walking in jail with handcuffs soon. Are we…</t>
  </si>
  <si>
    <t>5% Off All Motley Crew &amp;amp; Red Pill Radio Live Shirts &amp;amp; Mugs until midnight tonight 4 Feb 2018! Motley Crew Monkey Shirt https://t.co/laorbNe4mA #MAGA #MotleyCrew #QAnon</t>
  </si>
  <si>
    <t>RT @dawg_lb: @POTUS 
"Listen, listen listen, learn to/from POTUS45"!
On "Cavuto Live," Ben Stein responded to the release of the FISA memo.…</t>
  </si>
  <si>
    <t>Phil Mudd you're an Un-American Ex CIA POS and #WeThePeople know your game plan! You mess with our #POTUS and we'll take matters into our own hands! You can take that to the bank! #MAGA #DrainTheSwamp https://t.co/c6wIx5pz9j</t>
  </si>
  <si>
    <t>Just STFU Dumbass! #WeThePeople don't want to hear anything you have to say! You are insignificant!  #MAGA #AmericaFirst https://t.co/Q1F3kiiUEb</t>
  </si>
  <si>
    <t>RT @Billright50: Donald Trump is not a racist and never was!
#PuppyBowlXIV #kittenbowl #AMJoy #Amtrak #SuperBowlSunday #RosaParks #Eagles…</t>
  </si>
  <si>
    <t>RT @covfefeartist: #StandForTheFlag
🇺🇸🇺🇸🇺🇸🇺🇸🇺🇸🇺🇸🇺🇸🇺🇸🇺🇸🇺🇸
#BoycottSuperbowl2018 https://t.co/rwHTz4L26p</t>
  </si>
  <si>
    <t>RT @DiamondandSilk: If the conversation that George Papadopoulos had in July 2016 was the reasoning for starting the "Russia Investigation,…</t>
  </si>
  <si>
    <t>I Love Q Shirts! 5% Off through midnight 4 Feb 2018 Use Code: MAGA at check out! https://t.co/c0CXgGU8Bq</t>
  </si>
  <si>
    <t>RT @RedWaveRising: #SundayMorning 
#SundayThoughts 
We will NOT be watching, how about you my friends? Hang tough 
#BoycottSuperBowl2018 h…</t>
  </si>
  <si>
    <t>RT @StephenMilIer: I was unable to find the constitutional amendment where the founding fathers obligated us to have trust in the FBI... I…</t>
  </si>
  <si>
    <t>RT @MrVeritas: @realDonaldTrump The time for stupid "investigations" is OVER. The facts are irrefutable. Now is the time for ARRESTS, TRIAL…</t>
  </si>
  <si>
    <t>RT @GOPPollAnalyst: @realDonaldTrump 2016 Obama: I guarantee there is no political influence in any investigation conducted by the Justice…</t>
  </si>
  <si>
    <t>RT @realDonaldTrump: “You had Hillary Clinton and the Democratic Party try to hide the fact that they gave money to GPS Fusion to create a…</t>
  </si>
  <si>
    <t>RT @GartrellLinda: Former Judge Explains Why Comey is in VERY BIG TROUBLE
He signed off on the FISA application, without informing the cour…</t>
  </si>
  <si>
    <t>RT @JewhadiTM: It was Hillary Clinton Who Birthed The Russian Conspiracy Theory https://t.co/u0pHWJkufS https://t.co/OrGYmlzvLG</t>
  </si>
  <si>
    <t>RT @LANURSE1: @realDonaldTrump My paycheck was $370 bigger this week!
Your hard work paid off for me!
#MAGA https://t.co/dIPHy4uDOY</t>
  </si>
  <si>
    <t>RT @JannaWilkinso69: ❤️🇺🇸RETWEET IF YOU PLEDGE ALLEGIANCE TO THE FLAG🇺🇸❤️
"I Pledge Allegiance to the Flag of the United States of America…</t>
  </si>
  <si>
    <t>RT @JohnFromCranber: And Trying To Oust a Sitting President by Framing Him For ‘Russian Collusion’ - or Even More Bizarre, For ‘Obstructing…</t>
  </si>
  <si>
    <t>RT @RealAlexJones: The left has gone full supervillain, pledging to stop Trump no matter what - https://t.co/VljMTS6rEb</t>
  </si>
  <si>
    <t>RT @kachninja: Former FBI Supervisory Special agent James Wedick says #McCabe @Comey @SallyQYates are guilty of:
•False declarations 
•Obst…</t>
  </si>
  <si>
    <t>RT @RedNationRising: There is Good &amp;amp; Evil, Yin &amp;amp; Yang, and Evil is doing it's best to win. There's no compromise with Evil, only eradicatio…</t>
  </si>
  <si>
    <t>RT @sxdoc: Hannity: FISA MEMO Just Tip of the Iceberg; Comey in legal jeopardy as are McCabe, Yates, Rosenstein and Others; 90% MORE TO COM…</t>
  </si>
  <si>
    <t>RT @Thomas1774Paine: More memos? Devin Nunes says House Intelligence is in ‘phase two’ of investigation (VIDEO) https://t.co/hgg6DvzpYp</t>
  </si>
  <si>
    <t>RT @USAloveGOD: 2 Dead, 70 Hurt as #Amtrak carrying 150 from #NewYork Derails in #SouthCarolina ~ #Miami bound
This is the 2nd deadly inci…</t>
  </si>
  <si>
    <t>RT @JudicialWatch: Judicial Watch wants to know whether Special Counsel #Mueller, former FBI Director #Comey, &amp;amp; the DOJ coordinated prior t…</t>
  </si>
  <si>
    <t>RT @jojoh888: Hey .@NFL don't you ever forget, America will always exist without you.
#America 🇺🇸🇺🇸🇺🇸🇺🇸🇺🇸🇺🇸🇺🇸🇺🇸🇺🇸🇺🇸
#NFLBoycott
#BoycottSu…</t>
  </si>
  <si>
    <t>RT @Thomas1774Paine: Trump: Nunes memo ‘totally vindicates’ me https://t.co/EoJqI1X57N</t>
  </si>
  <si>
    <t>RT @jerome_corsi: DEMS in TOTAL PANIC, FEAR spinning like mad NOW CLAIMING TRUMP WAR ON LAW ENFORCEMENT lol - DEMs don't get it - this has…</t>
  </si>
  <si>
    <t>RT @prayingmedic: More memos? 
Devin Nunes says House Intelligence is in 'phase two' of its investigation https://t.co/CHzsDmSw4E https://t…</t>
  </si>
  <si>
    <t>RT @DiamondandSilk: This is what happens when you disrespect your core audience and base.  Take notes FB Mark Zuckerberg &amp;amp; YouTube! 
https…</t>
  </si>
  <si>
    <t>RT @1776Stonewall: Some people defend Jeff Sessions, others want him out. So let's do a poll. Do you want Sessions replaced as Attorney Gen…</t>
  </si>
  <si>
    <t>RT @mike_Zollo: No, I’m not watching the Super Bowl. I won’t give a dime or a second of my time to anti American punks who kneel for our an…</t>
  </si>
  <si>
    <t>RT @DTrumpPoll: What do you think of the #NunesMemo?
@realDonaldTrump #MAGA #TheResistance #TrumpTrain #Resist #Trump 
Please vote &amp;amp; RT 😊</t>
  </si>
  <si>
    <t>RT @BraveConWarrior: More Memos to Come… https://t.co/Mzl5V90nUR https://t.co/2IiIvZGEcr</t>
  </si>
  <si>
    <t>RT @GR8AmericaAgain: Passengers on the #TrumpTrain want to thank you .@realDonaldTrump for having the huevos to expose the MSM for the frau…</t>
  </si>
  <si>
    <t>RT @RedWaveRising: #SaturdayEvening
#MAGA
#POTUSWasRight
#WInning
#FISAMemo https://t.co/TMxvOOVQmM</t>
  </si>
  <si>
    <t>For my friends out there who understand things that most don't! Enjoy! https://t.co/ooweiiirNF</t>
  </si>
  <si>
    <t>Study guide https://t.co/KrZ2RSiCFH via @wordpressdotcom</t>
  </si>
  <si>
    <t>A left-wing bureaucrat attacked a Christian school for teaching the Bible. Now the school is fighting back in court! https://t.co/uiGChVHmxi</t>
  </si>
  <si>
    <t>RT @JohnTDolan: Enough Said!!! https://t.co/JdLdbrtENf</t>
  </si>
  <si>
    <t>RT @RedWaveRising: Hey Peeps.PLEASE DO NOT forget what TOMORROW IS...
Another glorious day to get outside &amp;amp; ENJOY yourselves! 
#BoycottSu…</t>
  </si>
  <si>
    <t>RT @Thomas1774Paine: ICYMI + FISA MEMO LEAK: McCabe Admits FBI Used Bogus Steele Dossier Paid For By Hillary to Obtain FISA Warrant to Spy…</t>
  </si>
  <si>
    <t>RT @NFL: 👏👏👏
@JJWatt is the 2017 Walter Payton NFL Man of the Year, presented by @nationwide! #WPMOY #NFLHonors https://t.co/3JDb8QAcGY</t>
  </si>
  <si>
    <t>RT @peaceandjoy101: .. #NFLHonors anti-America. 
NFL has no problem disrespecting our military men and women. Our veterans, who all gave s…</t>
  </si>
  <si>
    <t>RT @Golfinggary5221: TRULY #Memo WAS JUST THE #TipOfTheIceberg!
More will be revealed!
Dominoes Falling!
Just getting started!
More memos!…</t>
  </si>
  <si>
    <t>RT @WarriorofGod97: 🎈New Software Will Prevent F-35 Pilots from Flying into the Ground🎈
🇺🇸☞️Well that's good☜️🇺🇸
#GodBlessAmerica #militar…</t>
  </si>
  <si>
    <t>RT @SteveMotley: 5% Off All Motley Crew/Red Pill Radio Live Shirts,  Hoodies, and Mugs! Use Code: MAGA at check out!  Sale ends... https://…</t>
  </si>
  <si>
    <t>RT @StacyLStiles: President @realDonaldTrump — A Man Of The People, By The People, For The People. 
#MAGA 🇺🇸 #AmericaFirst 🇺🇸 #BuildTheWal…</t>
  </si>
  <si>
    <t>RT @Hoosiers1986: Virtually IGNORING the markets as they reached record high after high, the Liberal #FakeNews Media LOVE reporting that th…</t>
  </si>
  <si>
    <t>RT @Thomas1774Paine: Fitton: FISA Memo Is ‘Devastating Blow’ to Mueller’s Russia Investigation (VIDEO) https://t.co/BxiAfBLsST</t>
  </si>
  <si>
    <t>RT @Maggieb1B: PRAYER WARRIORS!!!! I know we are ALL #BoycottSuperBowl tomorrow, I think it’s VITAL that we pray🙏🏻for the safety and securi…</t>
  </si>
  <si>
    <t>RT @SteveMotley: https://t.co/7fgnN0NXkR  #QAnon #Q #MAGA #AmericaFirst https://t.co/RPeCDQK43p</t>
  </si>
  <si>
    <t>RT @andersonDrLJA: LOL - We Taught #BernieSanders a Lesson in #SOCIALISM; We Took Votes He'd Earned and Gave them to #CrookedHillary! https…</t>
  </si>
  <si>
    <t>RT @RealRusty1776: @Seaphre You mean like these two anti Americans who swore they'd leave The Country if #Trump won? My van wasn't big enou…</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</si>
</sst>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33"/>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HYPERLINK("http://www.twitter.com/NathanBLawrence/status/1001828297422991360", "1001828297422991360")</f>
        <v/>
      </c>
      <c r="B2" s="2" t="n">
        <v>43250.5908912037</v>
      </c>
      <c r="C2" t="n">
        <v>0</v>
      </c>
      <c r="D2" t="n">
        <v>276</v>
      </c>
      <c r="E2" t="s">
        <v>13</v>
      </c>
      <c r="F2" t="s"/>
      <c r="G2" t="s"/>
      <c r="H2" t="s"/>
      <c r="I2" t="s"/>
      <c r="J2" t="n">
        <v>-0.6037</v>
      </c>
      <c r="K2" t="n">
        <v>0.171</v>
      </c>
      <c r="L2" t="n">
        <v>0.829</v>
      </c>
      <c r="M2" t="n">
        <v>0</v>
      </c>
    </row>
    <row r="3" spans="1:13">
      <c r="A3" s="1">
        <f>HYPERLINK("http://www.twitter.com/NathanBLawrence/status/1001828156494397442", "1001828156494397442")</f>
        <v/>
      </c>
      <c r="B3" s="2" t="n">
        <v>43250.59050925926</v>
      </c>
      <c r="C3" t="n">
        <v>0</v>
      </c>
      <c r="D3" t="n">
        <v>187</v>
      </c>
      <c r="E3" t="s">
        <v>14</v>
      </c>
      <c r="F3">
        <f>HYPERLINK("https://video.twimg.com/amplify_video/1001796787697483776/vid/1280x720/VkOfK2XywPBHImdq.mp4?tag=2", "https://video.twimg.com/amplify_video/1001796787697483776/vid/1280x720/VkOfK2XywPBHImdq.mp4?tag=2")</f>
        <v/>
      </c>
      <c r="G3" t="s"/>
      <c r="H3" t="s"/>
      <c r="I3" t="s"/>
      <c r="J3" t="n">
        <v>0.7269</v>
      </c>
      <c r="K3" t="n">
        <v>0</v>
      </c>
      <c r="L3" t="n">
        <v>0.697</v>
      </c>
      <c r="M3" t="n">
        <v>0.303</v>
      </c>
    </row>
    <row r="4" spans="1:13">
      <c r="A4" s="1">
        <f>HYPERLINK("http://www.twitter.com/NathanBLawrence/status/1001828094632640512", "1001828094632640512")</f>
        <v/>
      </c>
      <c r="B4" s="2" t="n">
        <v>43250.59033564815</v>
      </c>
      <c r="C4" t="n">
        <v>0</v>
      </c>
      <c r="D4" t="n">
        <v>250</v>
      </c>
      <c r="E4" t="s">
        <v>15</v>
      </c>
      <c r="F4" t="s"/>
      <c r="G4" t="s"/>
      <c r="H4" t="s"/>
      <c r="I4" t="s"/>
      <c r="J4" t="n">
        <v>0</v>
      </c>
      <c r="K4" t="n">
        <v>0.121</v>
      </c>
      <c r="L4" t="n">
        <v>0.759</v>
      </c>
      <c r="M4" t="n">
        <v>0.121</v>
      </c>
    </row>
    <row r="5" spans="1:13">
      <c r="A5" s="1">
        <f>HYPERLINK("http://www.twitter.com/NathanBLawrence/status/1001827731661668352", "1001827731661668352")</f>
        <v/>
      </c>
      <c r="B5" s="2" t="n">
        <v>43250.5893287037</v>
      </c>
      <c r="C5" t="n">
        <v>0</v>
      </c>
      <c r="D5" t="n">
        <v>345</v>
      </c>
      <c r="E5" t="s">
        <v>16</v>
      </c>
      <c r="F5">
        <f>HYPERLINK("https://video.twimg.com/ext_tw_video/1001803390362488832/pu/vid/1280x720/OuA4TCLgwxzwJm-N.mp4?tag=3", "https://video.twimg.com/ext_tw_video/1001803390362488832/pu/vid/1280x720/OuA4TCLgwxzwJm-N.mp4?tag=3")</f>
        <v/>
      </c>
      <c r="G5" t="s"/>
      <c r="H5" t="s"/>
      <c r="I5" t="s"/>
      <c r="J5" t="n">
        <v>-0.8442</v>
      </c>
      <c r="K5" t="n">
        <v>0.378</v>
      </c>
      <c r="L5" t="n">
        <v>0.622</v>
      </c>
      <c r="M5" t="n">
        <v>0</v>
      </c>
    </row>
    <row r="6" spans="1:13">
      <c r="A6" s="1">
        <f>HYPERLINK("http://www.twitter.com/NathanBLawrence/status/1001826782528524288", "1001826782528524288")</f>
        <v/>
      </c>
      <c r="B6" s="2" t="n">
        <v>43250.58671296296</v>
      </c>
      <c r="C6" t="n">
        <v>0</v>
      </c>
      <c r="D6" t="n">
        <v>4960</v>
      </c>
      <c r="E6" t="s">
        <v>17</v>
      </c>
      <c r="F6" t="s"/>
      <c r="G6" t="s"/>
      <c r="H6" t="s"/>
      <c r="I6" t="s"/>
      <c r="J6" t="n">
        <v>-0.4404</v>
      </c>
      <c r="K6" t="n">
        <v>0.163</v>
      </c>
      <c r="L6" t="n">
        <v>0.837</v>
      </c>
      <c r="M6" t="n">
        <v>0</v>
      </c>
    </row>
    <row r="7" spans="1:13">
      <c r="A7" s="1">
        <f>HYPERLINK("http://www.twitter.com/NathanBLawrence/status/1001826718250713088", "1001826718250713088")</f>
        <v/>
      </c>
      <c r="B7" s="2" t="n">
        <v>43250.58653935185</v>
      </c>
      <c r="C7" t="n">
        <v>0</v>
      </c>
      <c r="D7" t="n">
        <v>780</v>
      </c>
      <c r="E7" t="s">
        <v>18</v>
      </c>
      <c r="F7" t="s"/>
      <c r="G7" t="s"/>
      <c r="H7" t="s"/>
      <c r="I7" t="s"/>
      <c r="J7" t="n">
        <v>-0.9022</v>
      </c>
      <c r="K7" t="n">
        <v>0.357</v>
      </c>
      <c r="L7" t="n">
        <v>0.643</v>
      </c>
      <c r="M7" t="n">
        <v>0</v>
      </c>
    </row>
    <row r="8" spans="1:13">
      <c r="A8" s="1">
        <f>HYPERLINK("http://www.twitter.com/NathanBLawrence/status/1001826596544655360", "1001826596544655360")</f>
        <v/>
      </c>
      <c r="B8" s="2" t="n">
        <v>43250.5862037037</v>
      </c>
      <c r="C8" t="n">
        <v>0</v>
      </c>
      <c r="D8" t="n">
        <v>212</v>
      </c>
      <c r="E8" t="s">
        <v>19</v>
      </c>
      <c r="F8" t="s"/>
      <c r="G8" t="s"/>
      <c r="H8" t="s"/>
      <c r="I8" t="s"/>
      <c r="J8" t="n">
        <v>0</v>
      </c>
      <c r="K8" t="n">
        <v>0</v>
      </c>
      <c r="L8" t="n">
        <v>1</v>
      </c>
      <c r="M8" t="n">
        <v>0</v>
      </c>
    </row>
    <row r="9" spans="1:13">
      <c r="A9" s="1">
        <f>HYPERLINK("http://www.twitter.com/NathanBLawrence/status/1001826427740733441", "1001826427740733441")</f>
        <v/>
      </c>
      <c r="B9" s="2" t="n">
        <v>43250.58574074074</v>
      </c>
      <c r="C9" t="n">
        <v>0</v>
      </c>
      <c r="D9" t="n">
        <v>7172</v>
      </c>
      <c r="E9" t="s">
        <v>20</v>
      </c>
      <c r="F9" t="s"/>
      <c r="G9" t="s"/>
      <c r="H9" t="s"/>
      <c r="I9" t="s"/>
      <c r="J9" t="n">
        <v>0</v>
      </c>
      <c r="K9" t="n">
        <v>0</v>
      </c>
      <c r="L9" t="n">
        <v>1</v>
      </c>
      <c r="M9" t="n">
        <v>0</v>
      </c>
    </row>
    <row r="10" spans="1:13">
      <c r="A10" s="1">
        <f>HYPERLINK("http://www.twitter.com/NathanBLawrence/status/1001826268235509760", "1001826268235509760")</f>
        <v/>
      </c>
      <c r="B10" s="2" t="n">
        <v>43250.58530092592</v>
      </c>
      <c r="C10" t="n">
        <v>0</v>
      </c>
      <c r="D10" t="n">
        <v>747</v>
      </c>
      <c r="E10" t="s">
        <v>21</v>
      </c>
      <c r="F10" t="s"/>
      <c r="G10" t="s"/>
      <c r="H10" t="s"/>
      <c r="I10" t="s"/>
      <c r="J10" t="n">
        <v>-0.2263</v>
      </c>
      <c r="K10" t="n">
        <v>0.202</v>
      </c>
      <c r="L10" t="n">
        <v>0.711</v>
      </c>
      <c r="M10" t="n">
        <v>0.08699999999999999</v>
      </c>
    </row>
    <row r="11" spans="1:13">
      <c r="A11" s="1">
        <f>HYPERLINK("http://www.twitter.com/NathanBLawrence/status/1001826124991578112", "1001826124991578112")</f>
        <v/>
      </c>
      <c r="B11" s="2" t="n">
        <v>43250.58489583333</v>
      </c>
      <c r="C11" t="n">
        <v>0</v>
      </c>
      <c r="D11" t="n">
        <v>940</v>
      </c>
      <c r="E11" t="s">
        <v>22</v>
      </c>
      <c r="F11" t="s"/>
      <c r="G11" t="s"/>
      <c r="H11" t="s"/>
      <c r="I11" t="s"/>
      <c r="J11" t="n">
        <v>-0.1027</v>
      </c>
      <c r="K11" t="n">
        <v>0.165</v>
      </c>
      <c r="L11" t="n">
        <v>0.6850000000000001</v>
      </c>
      <c r="M11" t="n">
        <v>0.149</v>
      </c>
    </row>
    <row r="12" spans="1:13">
      <c r="A12" s="1">
        <f>HYPERLINK("http://www.twitter.com/NathanBLawrence/status/1001826062446223360", "1001826062446223360")</f>
        <v/>
      </c>
      <c r="B12" s="2" t="n">
        <v>43250.58472222222</v>
      </c>
      <c r="C12" t="n">
        <v>0</v>
      </c>
      <c r="D12" t="n">
        <v>6705</v>
      </c>
      <c r="E12" t="s">
        <v>23</v>
      </c>
      <c r="F12" t="s"/>
      <c r="G12" t="s"/>
      <c r="H12" t="s"/>
      <c r="I12" t="s"/>
      <c r="J12" t="n">
        <v>0.7563</v>
      </c>
      <c r="K12" t="n">
        <v>0</v>
      </c>
      <c r="L12" t="n">
        <v>0.746</v>
      </c>
      <c r="M12" t="n">
        <v>0.254</v>
      </c>
    </row>
    <row r="13" spans="1:13">
      <c r="A13" s="1">
        <f>HYPERLINK("http://www.twitter.com/NathanBLawrence/status/1001825985120034816", "1001825985120034816")</f>
        <v/>
      </c>
      <c r="B13" s="2" t="n">
        <v>43250.58451388889</v>
      </c>
      <c r="C13" t="n">
        <v>0</v>
      </c>
      <c r="D13" t="n">
        <v>6442</v>
      </c>
      <c r="E13" t="s">
        <v>24</v>
      </c>
      <c r="F13" t="s"/>
      <c r="G13" t="s"/>
      <c r="H13" t="s"/>
      <c r="I13" t="s"/>
      <c r="J13" t="n">
        <v>-0.4767</v>
      </c>
      <c r="K13" t="n">
        <v>0.14</v>
      </c>
      <c r="L13" t="n">
        <v>0.86</v>
      </c>
      <c r="M13" t="n">
        <v>0</v>
      </c>
    </row>
    <row r="14" spans="1:13">
      <c r="A14" s="1">
        <f>HYPERLINK("http://www.twitter.com/NathanBLawrence/status/1001825843612561408", "1001825843612561408")</f>
        <v/>
      </c>
      <c r="B14" s="2" t="n">
        <v>43250.58412037037</v>
      </c>
      <c r="C14" t="n">
        <v>0</v>
      </c>
      <c r="D14" t="n">
        <v>1292</v>
      </c>
      <c r="E14" t="s">
        <v>25</v>
      </c>
      <c r="F14" t="s"/>
      <c r="G14" t="s"/>
      <c r="H14" t="s"/>
      <c r="I14" t="s"/>
      <c r="J14" t="n">
        <v>0.6856</v>
      </c>
      <c r="K14" t="n">
        <v>0.142</v>
      </c>
      <c r="L14" t="n">
        <v>0.446</v>
      </c>
      <c r="M14" t="n">
        <v>0.412</v>
      </c>
    </row>
    <row r="15" spans="1:13">
      <c r="A15" s="1">
        <f>HYPERLINK("http://www.twitter.com/NathanBLawrence/status/1001755932865392640", "1001755932865392640")</f>
        <v/>
      </c>
      <c r="B15" s="2" t="n">
        <v>43250.3912037037</v>
      </c>
      <c r="C15" t="n">
        <v>0</v>
      </c>
      <c r="D15" t="n">
        <v>60</v>
      </c>
      <c r="E15" t="s">
        <v>26</v>
      </c>
      <c r="F15">
        <f>HYPERLINK("https://video.twimg.com/amplify_video/1001753782148059136/vid/1280x720/nE_LKMqx_akc0fQ5.mp4?tag=2", "https://video.twimg.com/amplify_video/1001753782148059136/vid/1280x720/nE_LKMqx_akc0fQ5.mp4?tag=2")</f>
        <v/>
      </c>
      <c r="G15" t="s"/>
      <c r="H15" t="s"/>
      <c r="I15" t="s"/>
      <c r="J15" t="n">
        <v>0</v>
      </c>
      <c r="K15" t="n">
        <v>0</v>
      </c>
      <c r="L15" t="n">
        <v>1</v>
      </c>
      <c r="M15" t="n">
        <v>0</v>
      </c>
    </row>
    <row r="16" spans="1:13">
      <c r="A16" s="1">
        <f>HYPERLINK("http://www.twitter.com/NathanBLawrence/status/1001755807355097088", "1001755807355097088")</f>
        <v/>
      </c>
      <c r="B16" s="2" t="n">
        <v>43250.39085648148</v>
      </c>
      <c r="C16" t="n">
        <v>0</v>
      </c>
      <c r="D16" t="n">
        <v>43</v>
      </c>
      <c r="E16" t="s">
        <v>27</v>
      </c>
      <c r="F16">
        <f>HYPERLINK("http://pbs.twimg.com/media/Dds_rX-VQAUa4Ce.jpg", "http://pbs.twimg.com/media/Dds_rX-VQAUa4Ce.jpg")</f>
        <v/>
      </c>
      <c r="G16" t="s"/>
      <c r="H16" t="s"/>
      <c r="I16" t="s"/>
      <c r="J16" t="n">
        <v>0</v>
      </c>
      <c r="K16" t="n">
        <v>0</v>
      </c>
      <c r="L16" t="n">
        <v>1</v>
      </c>
      <c r="M16" t="n">
        <v>0</v>
      </c>
    </row>
    <row r="17" spans="1:13">
      <c r="A17" s="1">
        <f>HYPERLINK("http://www.twitter.com/NathanBLawrence/status/1001755706930876416", "1001755706930876416")</f>
        <v/>
      </c>
      <c r="B17" s="2" t="n">
        <v>43250.3905787037</v>
      </c>
      <c r="C17" t="n">
        <v>0</v>
      </c>
      <c r="D17" t="n">
        <v>53</v>
      </c>
      <c r="E17" t="s">
        <v>28</v>
      </c>
      <c r="F17" t="s"/>
      <c r="G17" t="s"/>
      <c r="H17" t="s"/>
      <c r="I17" t="s"/>
      <c r="J17" t="n">
        <v>-0.0516</v>
      </c>
      <c r="K17" t="n">
        <v>0.127</v>
      </c>
      <c r="L17" t="n">
        <v>0.754</v>
      </c>
      <c r="M17" t="n">
        <v>0.119</v>
      </c>
    </row>
    <row r="18" spans="1:13">
      <c r="A18" s="1">
        <f>HYPERLINK("http://www.twitter.com/NathanBLawrence/status/1001754305760657413", "1001754305760657413")</f>
        <v/>
      </c>
      <c r="B18" s="2" t="n">
        <v>43250.38671296297</v>
      </c>
      <c r="C18" t="n">
        <v>0</v>
      </c>
      <c r="D18" t="n">
        <v>26538</v>
      </c>
      <c r="E18" t="s">
        <v>29</v>
      </c>
      <c r="F18" t="s"/>
      <c r="G18" t="s"/>
      <c r="H18" t="s"/>
      <c r="I18" t="s"/>
      <c r="J18" t="n">
        <v>-0.4019</v>
      </c>
      <c r="K18" t="n">
        <v>0.185</v>
      </c>
      <c r="L18" t="n">
        <v>0.734</v>
      </c>
      <c r="M18" t="n">
        <v>0.081</v>
      </c>
    </row>
    <row r="19" spans="1:13">
      <c r="A19" s="1">
        <f>HYPERLINK("http://www.twitter.com/NathanBLawrence/status/1001754231919923200", "1001754231919923200")</f>
        <v/>
      </c>
      <c r="B19" s="2" t="n">
        <v>43250.3865162037</v>
      </c>
      <c r="C19" t="n">
        <v>0</v>
      </c>
      <c r="D19" t="n">
        <v>16003</v>
      </c>
      <c r="E19" t="s">
        <v>30</v>
      </c>
      <c r="F19" t="s"/>
      <c r="G19" t="s"/>
      <c r="H19" t="s"/>
      <c r="I19" t="s"/>
      <c r="J19" t="n">
        <v>0.6249</v>
      </c>
      <c r="K19" t="n">
        <v>0</v>
      </c>
      <c r="L19" t="n">
        <v>0.83</v>
      </c>
      <c r="M19" t="n">
        <v>0.17</v>
      </c>
    </row>
    <row r="20" spans="1:13">
      <c r="A20" s="1">
        <f>HYPERLINK("http://www.twitter.com/NathanBLawrence/status/1001754165259878400", "1001754165259878400")</f>
        <v/>
      </c>
      <c r="B20" s="2" t="n">
        <v>43250.38633101852</v>
      </c>
      <c r="C20" t="n">
        <v>0</v>
      </c>
      <c r="D20" t="n">
        <v>2334</v>
      </c>
      <c r="E20" t="s">
        <v>31</v>
      </c>
      <c r="F20">
        <f>HYPERLINK("https://video.twimg.com/ext_tw_video/1001157208292421632/pu/vid/318x180/1KoGYaffppG-Q5tT.mp4?tag=3", "https://video.twimg.com/ext_tw_video/1001157208292421632/pu/vid/318x180/1KoGYaffppG-Q5tT.mp4?tag=3")</f>
        <v/>
      </c>
      <c r="G20" t="s"/>
      <c r="H20" t="s"/>
      <c r="I20" t="s"/>
      <c r="J20" t="n">
        <v>-0.7184</v>
      </c>
      <c r="K20" t="n">
        <v>0.259</v>
      </c>
      <c r="L20" t="n">
        <v>0.741</v>
      </c>
      <c r="M20" t="n">
        <v>0</v>
      </c>
    </row>
    <row r="21" spans="1:13">
      <c r="A21" s="1">
        <f>HYPERLINK("http://www.twitter.com/NathanBLawrence/status/1001754030245228545", "1001754030245228545")</f>
        <v/>
      </c>
      <c r="B21" s="2" t="n">
        <v>43250.38596064815</v>
      </c>
      <c r="C21" t="n">
        <v>4</v>
      </c>
      <c r="D21" t="n">
        <v>0</v>
      </c>
      <c r="E21" t="s">
        <v>32</v>
      </c>
      <c r="F21" t="s"/>
      <c r="G21" t="s"/>
      <c r="H21" t="s"/>
      <c r="I21" t="s"/>
      <c r="J21" t="n">
        <v>-0.8118</v>
      </c>
      <c r="K21" t="n">
        <v>0.711</v>
      </c>
      <c r="L21" t="n">
        <v>0.289</v>
      </c>
      <c r="M21" t="n">
        <v>0</v>
      </c>
    </row>
    <row r="22" spans="1:13">
      <c r="A22" s="1">
        <f>HYPERLINK("http://www.twitter.com/NathanBLawrence/status/1001753770160603136", "1001753770160603136")</f>
        <v/>
      </c>
      <c r="B22" s="2" t="n">
        <v>43250.38524305556</v>
      </c>
      <c r="C22" t="n">
        <v>0</v>
      </c>
      <c r="D22" t="n">
        <v>32118</v>
      </c>
      <c r="E22" t="s">
        <v>33</v>
      </c>
      <c r="F22" t="s"/>
      <c r="G22" t="s"/>
      <c r="H22" t="s"/>
      <c r="I22" t="s"/>
      <c r="J22" t="n">
        <v>-0.4767</v>
      </c>
      <c r="K22" t="n">
        <v>0.14</v>
      </c>
      <c r="L22" t="n">
        <v>0.86</v>
      </c>
      <c r="M22" t="n">
        <v>0</v>
      </c>
    </row>
    <row r="23" spans="1:13">
      <c r="A23" s="1">
        <f>HYPERLINK("http://www.twitter.com/NathanBLawrence/status/1001753451498373120", "1001753451498373120")</f>
        <v/>
      </c>
      <c r="B23" s="2" t="n">
        <v>43250.38436342592</v>
      </c>
      <c r="C23" t="n">
        <v>0</v>
      </c>
      <c r="D23" t="n">
        <v>1722</v>
      </c>
      <c r="E23" t="s">
        <v>34</v>
      </c>
      <c r="F23" t="s"/>
      <c r="G23" t="s"/>
      <c r="H23" t="s"/>
      <c r="I23" t="s"/>
      <c r="J23" t="n">
        <v>0</v>
      </c>
      <c r="K23" t="n">
        <v>0</v>
      </c>
      <c r="L23" t="n">
        <v>1</v>
      </c>
      <c r="M23" t="n">
        <v>0</v>
      </c>
    </row>
    <row r="24" spans="1:13">
      <c r="A24" s="1">
        <f>HYPERLINK("http://www.twitter.com/NathanBLawrence/status/1001753326805921792", "1001753326805921792")</f>
        <v/>
      </c>
      <c r="B24" s="2" t="n">
        <v>43250.3840162037</v>
      </c>
      <c r="C24" t="n">
        <v>0</v>
      </c>
      <c r="D24" t="n">
        <v>258</v>
      </c>
      <c r="E24" t="s">
        <v>35</v>
      </c>
      <c r="F24">
        <f>HYPERLINK("https://video.twimg.com/amplify_video/1001622871276433414/vid/1280x720/19Dt6ued2kfA1APM.mp4?tag=2", "https://video.twimg.com/amplify_video/1001622871276433414/vid/1280x720/19Dt6ued2kfA1APM.mp4?tag=2")</f>
        <v/>
      </c>
      <c r="G24" t="s"/>
      <c r="H24" t="s"/>
      <c r="I24" t="s"/>
      <c r="J24" t="n">
        <v>0.5423</v>
      </c>
      <c r="K24" t="n">
        <v>0</v>
      </c>
      <c r="L24" t="n">
        <v>0.788</v>
      </c>
      <c r="M24" t="n">
        <v>0.212</v>
      </c>
    </row>
    <row r="25" spans="1:13">
      <c r="A25" s="1">
        <f>HYPERLINK("http://www.twitter.com/NathanBLawrence/status/1001751281294163968", "1001751281294163968")</f>
        <v/>
      </c>
      <c r="B25" s="2" t="n">
        <v>43250.37836805556</v>
      </c>
      <c r="C25" t="n">
        <v>0</v>
      </c>
      <c r="D25" t="n">
        <v>525</v>
      </c>
      <c r="E25" t="s">
        <v>36</v>
      </c>
      <c r="F25">
        <f>HYPERLINK("http://pbs.twimg.com/media/DeaaAPWXUAEBk_X.jpg", "http://pbs.twimg.com/media/DeaaAPWXUAEBk_X.jpg")</f>
        <v/>
      </c>
      <c r="G25" t="s"/>
      <c r="H25" t="s"/>
      <c r="I25" t="s"/>
      <c r="J25" t="n">
        <v>0.6028</v>
      </c>
      <c r="K25" t="n">
        <v>0.08500000000000001</v>
      </c>
      <c r="L25" t="n">
        <v>0.699</v>
      </c>
      <c r="M25" t="n">
        <v>0.216</v>
      </c>
    </row>
    <row r="26" spans="1:13">
      <c r="A26" s="1">
        <f>HYPERLINK("http://www.twitter.com/NathanBLawrence/status/1001749574371831808", "1001749574371831808")</f>
        <v/>
      </c>
      <c r="B26" s="2" t="n">
        <v>43250.37365740741</v>
      </c>
      <c r="C26" t="n">
        <v>0</v>
      </c>
      <c r="D26" t="n">
        <v>421</v>
      </c>
      <c r="E26" t="s">
        <v>37</v>
      </c>
      <c r="F26">
        <f>HYPERLINK("http://pbs.twimg.com/media/Deay0FuWAAA-9rp.jpg", "http://pbs.twimg.com/media/Deay0FuWAAA-9rp.jpg")</f>
        <v/>
      </c>
      <c r="G26" t="s"/>
      <c r="H26" t="s"/>
      <c r="I26" t="s"/>
      <c r="J26" t="n">
        <v>-0.34</v>
      </c>
      <c r="K26" t="n">
        <v>0.107</v>
      </c>
      <c r="L26" t="n">
        <v>0.893</v>
      </c>
      <c r="M26" t="n">
        <v>0</v>
      </c>
    </row>
    <row r="27" spans="1:13">
      <c r="A27" s="1">
        <f>HYPERLINK("http://www.twitter.com/NathanBLawrence/status/1001749523700400128", "1001749523700400128")</f>
        <v/>
      </c>
      <c r="B27" s="2" t="n">
        <v>43250.37351851852</v>
      </c>
      <c r="C27" t="n">
        <v>0</v>
      </c>
      <c r="D27" t="n">
        <v>96</v>
      </c>
      <c r="E27" t="s">
        <v>38</v>
      </c>
      <c r="F27" t="s"/>
      <c r="G27" t="s"/>
      <c r="H27" t="s"/>
      <c r="I27" t="s"/>
      <c r="J27" t="n">
        <v>-0.4939</v>
      </c>
      <c r="K27" t="n">
        <v>0.151</v>
      </c>
      <c r="L27" t="n">
        <v>0.849</v>
      </c>
      <c r="M27" t="n">
        <v>0</v>
      </c>
    </row>
    <row r="28" spans="1:13">
      <c r="A28" s="1">
        <f>HYPERLINK("http://www.twitter.com/NathanBLawrence/status/1001749373095526400", "1001749373095526400")</f>
        <v/>
      </c>
      <c r="B28" s="2" t="n">
        <v>43250.37310185185</v>
      </c>
      <c r="C28" t="n">
        <v>0</v>
      </c>
      <c r="D28" t="n">
        <v>1213</v>
      </c>
      <c r="E28" t="s">
        <v>39</v>
      </c>
      <c r="F28" t="s"/>
      <c r="G28" t="s"/>
      <c r="H28" t="s"/>
      <c r="I28" t="s"/>
      <c r="J28" t="n">
        <v>-0.0516</v>
      </c>
      <c r="K28" t="n">
        <v>0.08400000000000001</v>
      </c>
      <c r="L28" t="n">
        <v>0.84</v>
      </c>
      <c r="M28" t="n">
        <v>0.076</v>
      </c>
    </row>
    <row r="29" spans="1:13">
      <c r="A29" s="1">
        <f>HYPERLINK("http://www.twitter.com/NathanBLawrence/status/1001749237871210496", "1001749237871210496")</f>
        <v/>
      </c>
      <c r="B29" s="2" t="n">
        <v>43250.37273148148</v>
      </c>
      <c r="C29" t="n">
        <v>0</v>
      </c>
      <c r="D29" t="n">
        <v>195</v>
      </c>
      <c r="E29" t="s">
        <v>40</v>
      </c>
      <c r="F29" t="s"/>
      <c r="G29" t="s"/>
      <c r="H29" t="s"/>
      <c r="I29" t="s"/>
      <c r="J29" t="n">
        <v>-0.5106000000000001</v>
      </c>
      <c r="K29" t="n">
        <v>0.136</v>
      </c>
      <c r="L29" t="n">
        <v>0.864</v>
      </c>
      <c r="M29" t="n">
        <v>0</v>
      </c>
    </row>
    <row r="30" spans="1:13">
      <c r="A30" s="1">
        <f>HYPERLINK("http://www.twitter.com/NathanBLawrence/status/1001745189755498496", "1001745189755498496")</f>
        <v/>
      </c>
      <c r="B30" s="2" t="n">
        <v>43250.3615625</v>
      </c>
      <c r="C30" t="n">
        <v>0</v>
      </c>
      <c r="D30" t="n">
        <v>135</v>
      </c>
      <c r="E30" t="s">
        <v>41</v>
      </c>
      <c r="F30" t="s"/>
      <c r="G30" t="s"/>
      <c r="H30" t="s"/>
      <c r="I30" t="s"/>
      <c r="J30" t="n">
        <v>0.9042</v>
      </c>
      <c r="K30" t="n">
        <v>0</v>
      </c>
      <c r="L30" t="n">
        <v>0.629</v>
      </c>
      <c r="M30" t="n">
        <v>0.371</v>
      </c>
    </row>
    <row r="31" spans="1:13">
      <c r="A31" s="1">
        <f>HYPERLINK("http://www.twitter.com/NathanBLawrence/status/1001744882803752960", "1001744882803752960")</f>
        <v/>
      </c>
      <c r="B31" s="2" t="n">
        <v>43250.36071759259</v>
      </c>
      <c r="C31" t="n">
        <v>0</v>
      </c>
      <c r="D31" t="n">
        <v>11216</v>
      </c>
      <c r="E31" t="s">
        <v>42</v>
      </c>
      <c r="F31" t="s"/>
      <c r="G31" t="s"/>
      <c r="H31" t="s"/>
      <c r="I31" t="s"/>
      <c r="J31" t="n">
        <v>0.6565</v>
      </c>
      <c r="K31" t="n">
        <v>0.136</v>
      </c>
      <c r="L31" t="n">
        <v>0.5679999999999999</v>
      </c>
      <c r="M31" t="n">
        <v>0.296</v>
      </c>
    </row>
    <row r="32" spans="1:13">
      <c r="A32" s="1">
        <f>HYPERLINK("http://www.twitter.com/NathanBLawrence/status/1001744809785081856", "1001744809785081856")</f>
        <v/>
      </c>
      <c r="B32" s="2" t="n">
        <v>43250.36050925926</v>
      </c>
      <c r="C32" t="n">
        <v>0</v>
      </c>
      <c r="D32" t="n">
        <v>1054</v>
      </c>
      <c r="E32" t="s">
        <v>43</v>
      </c>
      <c r="F32" t="s"/>
      <c r="G32" t="s"/>
      <c r="H32" t="s"/>
      <c r="I32" t="s"/>
      <c r="J32" t="n">
        <v>0.4404</v>
      </c>
      <c r="K32" t="n">
        <v>0</v>
      </c>
      <c r="L32" t="n">
        <v>0.828</v>
      </c>
      <c r="M32" t="n">
        <v>0.172</v>
      </c>
    </row>
    <row r="33" spans="1:13">
      <c r="A33" s="1">
        <f>HYPERLINK("http://www.twitter.com/NathanBLawrence/status/1001670204160491520", "1001670204160491520")</f>
        <v/>
      </c>
      <c r="B33" s="2" t="n">
        <v>43250.15464120371</v>
      </c>
      <c r="C33" t="n">
        <v>0</v>
      </c>
      <c r="D33" t="n">
        <v>301</v>
      </c>
      <c r="E33" t="s">
        <v>44</v>
      </c>
      <c r="F33">
        <f>HYPERLINK("http://pbs.twimg.com/media/DeagTUvVQAAe02i.png", "http://pbs.twimg.com/media/DeagTUvVQAAe02i.png")</f>
        <v/>
      </c>
      <c r="G33" t="s"/>
      <c r="H33" t="s"/>
      <c r="I33" t="s"/>
      <c r="J33" t="n">
        <v>0</v>
      </c>
      <c r="K33" t="n">
        <v>0</v>
      </c>
      <c r="L33" t="n">
        <v>1</v>
      </c>
      <c r="M33" t="n">
        <v>0</v>
      </c>
    </row>
    <row r="34" spans="1:13">
      <c r="A34" s="1">
        <f>HYPERLINK("http://www.twitter.com/NathanBLawrence/status/1001665058508718081", "1001665058508718081")</f>
        <v/>
      </c>
      <c r="B34" s="2" t="n">
        <v>43250.14043981482</v>
      </c>
      <c r="C34" t="n">
        <v>0</v>
      </c>
      <c r="D34" t="n">
        <v>203</v>
      </c>
      <c r="E34" t="s">
        <v>45</v>
      </c>
      <c r="F34">
        <f>HYPERLINK("http://pbs.twimg.com/media/DeZgw_rUwAAz9lG.jpg", "http://pbs.twimg.com/media/DeZgw_rUwAAz9lG.jpg")</f>
        <v/>
      </c>
      <c r="G34" t="s"/>
      <c r="H34" t="s"/>
      <c r="I34" t="s"/>
      <c r="J34" t="n">
        <v>0</v>
      </c>
      <c r="K34" t="n">
        <v>0</v>
      </c>
      <c r="L34" t="n">
        <v>1</v>
      </c>
      <c r="M34" t="n">
        <v>0</v>
      </c>
    </row>
    <row r="35" spans="1:13">
      <c r="A35" s="1">
        <f>HYPERLINK("http://www.twitter.com/NathanBLawrence/status/1001664505162563584", "1001664505162563584")</f>
        <v/>
      </c>
      <c r="B35" s="2" t="n">
        <v>43250.13891203704</v>
      </c>
      <c r="C35" t="n">
        <v>0</v>
      </c>
      <c r="D35" t="n">
        <v>18</v>
      </c>
      <c r="E35" t="s">
        <v>46</v>
      </c>
      <c r="F35" t="s"/>
      <c r="G35" t="s"/>
      <c r="H35" t="s"/>
      <c r="I35" t="s"/>
      <c r="J35" t="n">
        <v>-0.1027</v>
      </c>
      <c r="K35" t="n">
        <v>0.116</v>
      </c>
      <c r="L35" t="n">
        <v>0.784</v>
      </c>
      <c r="M35" t="n">
        <v>0.101</v>
      </c>
    </row>
    <row r="36" spans="1:13">
      <c r="A36" s="1">
        <f>HYPERLINK("http://www.twitter.com/NathanBLawrence/status/1001664127511683073", "1001664127511683073")</f>
        <v/>
      </c>
      <c r="B36" s="2" t="n">
        <v>43250.13787037037</v>
      </c>
      <c r="C36" t="n">
        <v>0</v>
      </c>
      <c r="D36" t="n">
        <v>1057</v>
      </c>
      <c r="E36" t="s">
        <v>47</v>
      </c>
      <c r="F36" t="s"/>
      <c r="G36" t="s"/>
      <c r="H36" t="s"/>
      <c r="I36" t="s"/>
      <c r="J36" t="n">
        <v>0.5574</v>
      </c>
      <c r="K36" t="n">
        <v>0</v>
      </c>
      <c r="L36" t="n">
        <v>0.833</v>
      </c>
      <c r="M36" t="n">
        <v>0.167</v>
      </c>
    </row>
    <row r="37" spans="1:13">
      <c r="A37" s="1">
        <f>HYPERLINK("http://www.twitter.com/NathanBLawrence/status/1001643242461347840", "1001643242461347840")</f>
        <v/>
      </c>
      <c r="B37" s="2" t="n">
        <v>43250.08024305556</v>
      </c>
      <c r="C37" t="n">
        <v>0</v>
      </c>
      <c r="D37" t="n">
        <v>717</v>
      </c>
      <c r="E37" t="s">
        <v>48</v>
      </c>
      <c r="F37">
        <f>HYPERLINK("http://pbs.twimg.com/media/DeZ878jV0AAnkeG.jpg", "http://pbs.twimg.com/media/DeZ878jV0AAnkeG.jpg")</f>
        <v/>
      </c>
      <c r="G37" t="s"/>
      <c r="H37" t="s"/>
      <c r="I37" t="s"/>
      <c r="J37" t="n">
        <v>0</v>
      </c>
      <c r="K37" t="n">
        <v>0</v>
      </c>
      <c r="L37" t="n">
        <v>1</v>
      </c>
      <c r="M37" t="n">
        <v>0</v>
      </c>
    </row>
    <row r="38" spans="1:13">
      <c r="A38" s="1">
        <f>HYPERLINK("http://www.twitter.com/NathanBLawrence/status/1001643183825039360", "1001643183825039360")</f>
        <v/>
      </c>
      <c r="B38" s="2" t="n">
        <v>43250.08008101852</v>
      </c>
      <c r="C38" t="n">
        <v>0</v>
      </c>
      <c r="D38" t="n">
        <v>2031</v>
      </c>
      <c r="E38" t="s">
        <v>49</v>
      </c>
      <c r="F38">
        <f>HYPERLINK("http://pbs.twimg.com/media/DeZxs9wW0AA5RYG.jpg", "http://pbs.twimg.com/media/DeZxs9wW0AA5RYG.jpg")</f>
        <v/>
      </c>
      <c r="G38" t="s"/>
      <c r="H38" t="s"/>
      <c r="I38" t="s"/>
      <c r="J38" t="n">
        <v>0.2924</v>
      </c>
      <c r="K38" t="n">
        <v>0</v>
      </c>
      <c r="L38" t="n">
        <v>0.846</v>
      </c>
      <c r="M38" t="n">
        <v>0.154</v>
      </c>
    </row>
    <row r="39" spans="1:13">
      <c r="A39" s="1">
        <f>HYPERLINK("http://www.twitter.com/NathanBLawrence/status/1001602441744343041", "1001602441744343041")</f>
        <v/>
      </c>
      <c r="B39" s="2" t="n">
        <v>43249.96765046296</v>
      </c>
      <c r="C39" t="n">
        <v>0</v>
      </c>
      <c r="D39" t="n">
        <v>4175</v>
      </c>
      <c r="E39" t="s">
        <v>50</v>
      </c>
      <c r="F39">
        <f>HYPERLINK("http://pbs.twimg.com/media/DeYqYQgUQAAPhnM.jpg", "http://pbs.twimg.com/media/DeYqYQgUQAAPhnM.jpg")</f>
        <v/>
      </c>
      <c r="G39" t="s"/>
      <c r="H39" t="s"/>
      <c r="I39" t="s"/>
      <c r="J39" t="n">
        <v>0.6731</v>
      </c>
      <c r="K39" t="n">
        <v>0</v>
      </c>
      <c r="L39" t="n">
        <v>0.765</v>
      </c>
      <c r="M39" t="n">
        <v>0.235</v>
      </c>
    </row>
    <row r="40" spans="1:13">
      <c r="A40" s="1">
        <f>HYPERLINK("http://www.twitter.com/NathanBLawrence/status/1001598193400872961", "1001598193400872961")</f>
        <v/>
      </c>
      <c r="B40" s="2" t="n">
        <v>43249.95592592593</v>
      </c>
      <c r="C40" t="n">
        <v>0</v>
      </c>
      <c r="D40" t="n">
        <v>871</v>
      </c>
      <c r="E40" t="s">
        <v>51</v>
      </c>
      <c r="F40">
        <f>HYPERLINK("http://pbs.twimg.com/media/DeZCq9qV4AA0C8S.jpg", "http://pbs.twimg.com/media/DeZCq9qV4AA0C8S.jpg")</f>
        <v/>
      </c>
      <c r="G40" t="s"/>
      <c r="H40" t="s"/>
      <c r="I40" t="s"/>
      <c r="J40" t="n">
        <v>-0.0258</v>
      </c>
      <c r="K40" t="n">
        <v>0.111</v>
      </c>
      <c r="L40" t="n">
        <v>0.782</v>
      </c>
      <c r="M40" t="n">
        <v>0.107</v>
      </c>
    </row>
    <row r="41" spans="1:13">
      <c r="A41" s="1">
        <f>HYPERLINK("http://www.twitter.com/NathanBLawrence/status/1001598156319088640", "1001598156319088640")</f>
        <v/>
      </c>
      <c r="B41" s="2" t="n">
        <v>43249.95582175926</v>
      </c>
      <c r="C41" t="n">
        <v>0</v>
      </c>
      <c r="D41" t="n">
        <v>7542</v>
      </c>
      <c r="E41" t="s">
        <v>52</v>
      </c>
      <c r="F41" t="s"/>
      <c r="G41" t="s"/>
      <c r="H41" t="s"/>
      <c r="I41" t="s"/>
      <c r="J41" t="n">
        <v>-0.1027</v>
      </c>
      <c r="K41" t="n">
        <v>0.057</v>
      </c>
      <c r="L41" t="n">
        <v>0.9429999999999999</v>
      </c>
      <c r="M41" t="n">
        <v>0</v>
      </c>
    </row>
    <row r="42" spans="1:13">
      <c r="A42" s="1">
        <f>HYPERLINK("http://www.twitter.com/NathanBLawrence/status/1001596541344272384", "1001596541344272384")</f>
        <v/>
      </c>
      <c r="B42" s="2" t="n">
        <v>43249.95136574074</v>
      </c>
      <c r="C42" t="n">
        <v>0</v>
      </c>
      <c r="D42" t="n">
        <v>6319</v>
      </c>
      <c r="E42" t="s">
        <v>53</v>
      </c>
      <c r="F42" t="s"/>
      <c r="G42" t="s"/>
      <c r="H42" t="s"/>
      <c r="I42" t="s"/>
      <c r="J42" t="n">
        <v>-0.34</v>
      </c>
      <c r="K42" t="n">
        <v>0.124</v>
      </c>
      <c r="L42" t="n">
        <v>0.876</v>
      </c>
      <c r="M42" t="n">
        <v>0</v>
      </c>
    </row>
    <row r="43" spans="1:13">
      <c r="A43" s="1">
        <f>HYPERLINK("http://www.twitter.com/NathanBLawrence/status/1001594344791465984", "1001594344791465984")</f>
        <v/>
      </c>
      <c r="B43" s="2" t="n">
        <v>43249.9453125</v>
      </c>
      <c r="C43" t="n">
        <v>0</v>
      </c>
      <c r="D43" t="n">
        <v>2186</v>
      </c>
      <c r="E43" t="s">
        <v>54</v>
      </c>
      <c r="F43">
        <f>HYPERLINK("http://pbs.twimg.com/media/DeZe5sKXUAA8Dgx.jpg", "http://pbs.twimg.com/media/DeZe5sKXUAA8Dgx.jpg")</f>
        <v/>
      </c>
      <c r="G43" t="s"/>
      <c r="H43" t="s"/>
      <c r="I43" t="s"/>
      <c r="J43" t="n">
        <v>0.4019</v>
      </c>
      <c r="K43" t="n">
        <v>0.075</v>
      </c>
      <c r="L43" t="n">
        <v>0.749</v>
      </c>
      <c r="M43" t="n">
        <v>0.176</v>
      </c>
    </row>
    <row r="44" spans="1:13">
      <c r="A44" s="1">
        <f>HYPERLINK("http://www.twitter.com/NathanBLawrence/status/1001594230077181952", "1001594230077181952")</f>
        <v/>
      </c>
      <c r="B44" s="2" t="n">
        <v>43249.94498842592</v>
      </c>
      <c r="C44" t="n">
        <v>0</v>
      </c>
      <c r="D44" t="n">
        <v>374</v>
      </c>
      <c r="E44" t="s">
        <v>55</v>
      </c>
      <c r="F44" t="s"/>
      <c r="G44" t="s"/>
      <c r="H44" t="s"/>
      <c r="I44" t="s"/>
      <c r="J44" t="n">
        <v>0.3818</v>
      </c>
      <c r="K44" t="n">
        <v>0.06900000000000001</v>
      </c>
      <c r="L44" t="n">
        <v>0.763</v>
      </c>
      <c r="M44" t="n">
        <v>0.168</v>
      </c>
    </row>
    <row r="45" spans="1:13">
      <c r="A45" s="1">
        <f>HYPERLINK("http://www.twitter.com/NathanBLawrence/status/1001594143636795392", "1001594143636795392")</f>
        <v/>
      </c>
      <c r="B45" s="2" t="n">
        <v>43249.94475694445</v>
      </c>
      <c r="C45" t="n">
        <v>3</v>
      </c>
      <c r="D45" t="n">
        <v>0</v>
      </c>
      <c r="E45" t="s">
        <v>56</v>
      </c>
      <c r="F45" t="s"/>
      <c r="G45" t="s"/>
      <c r="H45" t="s"/>
      <c r="I45" t="s"/>
      <c r="J45" t="n">
        <v>0.88</v>
      </c>
      <c r="K45" t="n">
        <v>0</v>
      </c>
      <c r="L45" t="n">
        <v>0.5669999999999999</v>
      </c>
      <c r="M45" t="n">
        <v>0.433</v>
      </c>
    </row>
    <row r="46" spans="1:13">
      <c r="A46" s="1">
        <f>HYPERLINK("http://www.twitter.com/NathanBLawrence/status/1001593515816534016", "1001593515816534016")</f>
        <v/>
      </c>
      <c r="B46" s="2" t="n">
        <v>43249.94302083334</v>
      </c>
      <c r="C46" t="n">
        <v>0</v>
      </c>
      <c r="D46" t="n">
        <v>5</v>
      </c>
      <c r="E46" t="s">
        <v>57</v>
      </c>
      <c r="F46" t="s"/>
      <c r="G46" t="s"/>
      <c r="H46" t="s"/>
      <c r="I46" t="s"/>
      <c r="J46" t="n">
        <v>0.7003</v>
      </c>
      <c r="K46" t="n">
        <v>0</v>
      </c>
      <c r="L46" t="n">
        <v>0.766</v>
      </c>
      <c r="M46" t="n">
        <v>0.234</v>
      </c>
    </row>
    <row r="47" spans="1:13">
      <c r="A47" s="1">
        <f>HYPERLINK("http://www.twitter.com/NathanBLawrence/status/1001591359692668928", "1001591359692668928")</f>
        <v/>
      </c>
      <c r="B47" s="2" t="n">
        <v>43249.93707175926</v>
      </c>
      <c r="C47" t="n">
        <v>0</v>
      </c>
      <c r="D47" t="n">
        <v>200</v>
      </c>
      <c r="E47" t="s">
        <v>58</v>
      </c>
      <c r="F47" t="s"/>
      <c r="G47" t="s"/>
      <c r="H47" t="s"/>
      <c r="I47" t="s"/>
      <c r="J47" t="n">
        <v>0</v>
      </c>
      <c r="K47" t="n">
        <v>0</v>
      </c>
      <c r="L47" t="n">
        <v>1</v>
      </c>
      <c r="M47" t="n">
        <v>0</v>
      </c>
    </row>
    <row r="48" spans="1:13">
      <c r="A48" s="1">
        <f>HYPERLINK("http://www.twitter.com/NathanBLawrence/status/1001591214678802432", "1001591214678802432")</f>
        <v/>
      </c>
      <c r="B48" s="2" t="n">
        <v>43249.93666666667</v>
      </c>
      <c r="C48" t="n">
        <v>0</v>
      </c>
      <c r="D48" t="n">
        <v>2344</v>
      </c>
      <c r="E48" t="s">
        <v>59</v>
      </c>
      <c r="F48" t="s"/>
      <c r="G48" t="s"/>
      <c r="H48" t="s"/>
      <c r="I48" t="s"/>
      <c r="J48" t="n">
        <v>0.1027</v>
      </c>
      <c r="K48" t="n">
        <v>0</v>
      </c>
      <c r="L48" t="n">
        <v>0.9429999999999999</v>
      </c>
      <c r="M48" t="n">
        <v>0.057</v>
      </c>
    </row>
    <row r="49" spans="1:13">
      <c r="A49" s="1">
        <f>HYPERLINK("http://www.twitter.com/NathanBLawrence/status/1001591077533446144", "1001591077533446144")</f>
        <v/>
      </c>
      <c r="B49" s="2" t="n">
        <v>43249.9362962963</v>
      </c>
      <c r="C49" t="n">
        <v>16</v>
      </c>
      <c r="D49" t="n">
        <v>11</v>
      </c>
      <c r="E49" t="s">
        <v>60</v>
      </c>
      <c r="F49" t="s"/>
      <c r="G49" t="s"/>
      <c r="H49" t="s"/>
      <c r="I49" t="s"/>
      <c r="J49" t="n">
        <v>0</v>
      </c>
      <c r="K49" t="n">
        <v>0</v>
      </c>
      <c r="L49" t="n">
        <v>1</v>
      </c>
      <c r="M49" t="n">
        <v>0</v>
      </c>
    </row>
    <row r="50" spans="1:13">
      <c r="A50" s="1">
        <f>HYPERLINK("http://www.twitter.com/NathanBLawrence/status/1001590717385355264", "1001590717385355264")</f>
        <v/>
      </c>
      <c r="B50" s="2" t="n">
        <v>43249.93530092593</v>
      </c>
      <c r="C50" t="n">
        <v>0</v>
      </c>
      <c r="D50" t="n">
        <v>431</v>
      </c>
      <c r="E50" t="s">
        <v>61</v>
      </c>
      <c r="F50" t="s"/>
      <c r="G50" t="s"/>
      <c r="H50" t="s"/>
      <c r="I50" t="s"/>
      <c r="J50" t="n">
        <v>0</v>
      </c>
      <c r="K50" t="n">
        <v>0</v>
      </c>
      <c r="L50" t="n">
        <v>1</v>
      </c>
      <c r="M50" t="n">
        <v>0</v>
      </c>
    </row>
    <row r="51" spans="1:13">
      <c r="A51" s="1">
        <f>HYPERLINK("http://www.twitter.com/NathanBLawrence/status/1001590041758461952", "1001590041758461952")</f>
        <v/>
      </c>
      <c r="B51" s="2" t="n">
        <v>43249.9334375</v>
      </c>
      <c r="C51" t="n">
        <v>0</v>
      </c>
      <c r="D51" t="n">
        <v>421</v>
      </c>
      <c r="E51" t="s">
        <v>62</v>
      </c>
      <c r="F51">
        <f>HYPERLINK("https://video.twimg.com/ext_tw_video/1001586498322477056/pu/vid/720x720/6OnfqOXbJg7WhcUl.mp4?tag=3", "https://video.twimg.com/ext_tw_video/1001586498322477056/pu/vid/720x720/6OnfqOXbJg7WhcUl.mp4?tag=3")</f>
        <v/>
      </c>
      <c r="G51" t="s"/>
      <c r="H51" t="s"/>
      <c r="I51" t="s"/>
      <c r="J51" t="n">
        <v>0.4199</v>
      </c>
      <c r="K51" t="n">
        <v>0</v>
      </c>
      <c r="L51" t="n">
        <v>0.851</v>
      </c>
      <c r="M51" t="n">
        <v>0.149</v>
      </c>
    </row>
    <row r="52" spans="1:13">
      <c r="A52" s="1">
        <f>HYPERLINK("http://www.twitter.com/NathanBLawrence/status/1001589999366623232", "1001589999366623232")</f>
        <v/>
      </c>
      <c r="B52" s="2" t="n">
        <v>43249.93332175926</v>
      </c>
      <c r="C52" t="n">
        <v>0</v>
      </c>
      <c r="D52" t="n">
        <v>1941</v>
      </c>
      <c r="E52" t="s">
        <v>63</v>
      </c>
      <c r="F52" t="s"/>
      <c r="G52" t="s"/>
      <c r="H52" t="s"/>
      <c r="I52" t="s"/>
      <c r="J52" t="n">
        <v>0</v>
      </c>
      <c r="K52" t="n">
        <v>0</v>
      </c>
      <c r="L52" t="n">
        <v>1</v>
      </c>
      <c r="M52" t="n">
        <v>0</v>
      </c>
    </row>
    <row r="53" spans="1:13">
      <c r="A53" s="1">
        <f>HYPERLINK("http://www.twitter.com/NathanBLawrence/status/1001589466870398977", "1001589466870398977")</f>
        <v/>
      </c>
      <c r="B53" s="2" t="n">
        <v>43249.93185185185</v>
      </c>
      <c r="C53" t="n">
        <v>0</v>
      </c>
      <c r="D53" t="n">
        <v>121</v>
      </c>
      <c r="E53" t="s">
        <v>64</v>
      </c>
      <c r="F53">
        <f>HYPERLINK("http://pbs.twimg.com/media/DeNj-3CVwAIRN--.jpg", "http://pbs.twimg.com/media/DeNj-3CVwAIRN--.jpg")</f>
        <v/>
      </c>
      <c r="G53" t="s"/>
      <c r="H53" t="s"/>
      <c r="I53" t="s"/>
      <c r="J53" t="n">
        <v>0</v>
      </c>
      <c r="K53" t="n">
        <v>0</v>
      </c>
      <c r="L53" t="n">
        <v>1</v>
      </c>
      <c r="M53" t="n">
        <v>0</v>
      </c>
    </row>
    <row r="54" spans="1:13">
      <c r="A54" s="1">
        <f>HYPERLINK("http://www.twitter.com/NathanBLawrence/status/1001589373878517760", "1001589373878517760")</f>
        <v/>
      </c>
      <c r="B54" s="2" t="n">
        <v>43249.93159722222</v>
      </c>
      <c r="C54" t="n">
        <v>0</v>
      </c>
      <c r="D54" t="n">
        <v>321</v>
      </c>
      <c r="E54" t="s">
        <v>65</v>
      </c>
      <c r="F54" t="s"/>
      <c r="G54" t="s"/>
      <c r="H54" t="s"/>
      <c r="I54" t="s"/>
      <c r="J54" t="n">
        <v>-0.2732</v>
      </c>
      <c r="K54" t="n">
        <v>0.116</v>
      </c>
      <c r="L54" t="n">
        <v>0.884</v>
      </c>
      <c r="M54" t="n">
        <v>0</v>
      </c>
    </row>
    <row r="55" spans="1:13">
      <c r="A55" s="1">
        <f>HYPERLINK("http://www.twitter.com/NathanBLawrence/status/1001589209759563776", "1001589209759563776")</f>
        <v/>
      </c>
      <c r="B55" s="2" t="n">
        <v>43249.93113425926</v>
      </c>
      <c r="C55" t="n">
        <v>0</v>
      </c>
      <c r="D55" t="n">
        <v>123</v>
      </c>
      <c r="E55" t="s">
        <v>66</v>
      </c>
      <c r="F55" t="s"/>
      <c r="G55" t="s"/>
      <c r="H55" t="s"/>
      <c r="I55" t="s"/>
      <c r="J55" t="n">
        <v>-0.25</v>
      </c>
      <c r="K55" t="n">
        <v>0.182</v>
      </c>
      <c r="L55" t="n">
        <v>0.8179999999999999</v>
      </c>
      <c r="M55" t="n">
        <v>0</v>
      </c>
    </row>
    <row r="56" spans="1:13">
      <c r="A56" s="1">
        <f>HYPERLINK("http://www.twitter.com/NathanBLawrence/status/1001589122346106880", "1001589122346106880")</f>
        <v/>
      </c>
      <c r="B56" s="2" t="n">
        <v>43249.93090277778</v>
      </c>
      <c r="C56" t="n">
        <v>0</v>
      </c>
      <c r="D56" t="n">
        <v>240</v>
      </c>
      <c r="E56" t="s">
        <v>67</v>
      </c>
      <c r="F56" t="s"/>
      <c r="G56" t="s"/>
      <c r="H56" t="s"/>
      <c r="I56" t="s"/>
      <c r="J56" t="n">
        <v>-0.5859</v>
      </c>
      <c r="K56" t="n">
        <v>0.22</v>
      </c>
      <c r="L56" t="n">
        <v>0.709</v>
      </c>
      <c r="M56" t="n">
        <v>0.07099999999999999</v>
      </c>
    </row>
    <row r="57" spans="1:13">
      <c r="A57" s="1">
        <f>HYPERLINK("http://www.twitter.com/NathanBLawrence/status/1001588930670510080", "1001588930670510080")</f>
        <v/>
      </c>
      <c r="B57" s="2" t="n">
        <v>43249.93037037037</v>
      </c>
      <c r="C57" t="n">
        <v>0</v>
      </c>
      <c r="D57" t="n">
        <v>1581</v>
      </c>
      <c r="E57" t="s">
        <v>68</v>
      </c>
      <c r="F57">
        <f>HYPERLINK("http://pbs.twimg.com/media/DeZIImOVQAAgMur.jpg", "http://pbs.twimg.com/media/DeZIImOVQAAgMur.jpg")</f>
        <v/>
      </c>
      <c r="G57" t="s"/>
      <c r="H57" t="s"/>
      <c r="I57" t="s"/>
      <c r="J57" t="n">
        <v>-0.7724</v>
      </c>
      <c r="K57" t="n">
        <v>0.222</v>
      </c>
      <c r="L57" t="n">
        <v>0.778</v>
      </c>
      <c r="M57" t="n">
        <v>0</v>
      </c>
    </row>
    <row r="58" spans="1:13">
      <c r="A58" s="1">
        <f>HYPERLINK("http://www.twitter.com/NathanBLawrence/status/1001588791306530822", "1001588791306530822")</f>
        <v/>
      </c>
      <c r="B58" s="2" t="n">
        <v>43249.92998842592</v>
      </c>
      <c r="C58" t="n">
        <v>7</v>
      </c>
      <c r="D58" t="n">
        <v>3</v>
      </c>
      <c r="E58" t="s">
        <v>69</v>
      </c>
      <c r="F58" t="s"/>
      <c r="G58" t="s"/>
      <c r="H58" t="s"/>
      <c r="I58" t="s"/>
      <c r="J58" t="n">
        <v>0</v>
      </c>
      <c r="K58" t="n">
        <v>0</v>
      </c>
      <c r="L58" t="n">
        <v>1</v>
      </c>
      <c r="M58" t="n">
        <v>0</v>
      </c>
    </row>
    <row r="59" spans="1:13">
      <c r="A59" s="1">
        <f>HYPERLINK("http://www.twitter.com/NathanBLawrence/status/1001588493661880320", "1001588493661880320")</f>
        <v/>
      </c>
      <c r="B59" s="2" t="n">
        <v>43249.92916666667</v>
      </c>
      <c r="C59" t="n">
        <v>0</v>
      </c>
      <c r="D59" t="n">
        <v>938</v>
      </c>
      <c r="E59" t="s">
        <v>70</v>
      </c>
      <c r="F59">
        <f>HYPERLINK("http://pbs.twimg.com/media/DeZWxICU0AAelbn.jpg", "http://pbs.twimg.com/media/DeZWxICU0AAelbn.jpg")</f>
        <v/>
      </c>
      <c r="G59" t="s"/>
      <c r="H59" t="s"/>
      <c r="I59" t="s"/>
      <c r="J59" t="n">
        <v>-0.2411</v>
      </c>
      <c r="K59" t="n">
        <v>0.08500000000000001</v>
      </c>
      <c r="L59" t="n">
        <v>0.915</v>
      </c>
      <c r="M59" t="n">
        <v>0</v>
      </c>
    </row>
    <row r="60" spans="1:13">
      <c r="A60" s="1">
        <f>HYPERLINK("http://www.twitter.com/NathanBLawrence/status/1001588377601302528", "1001588377601302528")</f>
        <v/>
      </c>
      <c r="B60" s="2" t="n">
        <v>43249.92884259259</v>
      </c>
      <c r="C60" t="n">
        <v>0</v>
      </c>
      <c r="D60" t="n">
        <v>1017</v>
      </c>
      <c r="E60" t="s">
        <v>71</v>
      </c>
      <c r="F60">
        <f>HYPERLINK("http://pbs.twimg.com/media/DeZTPY4VAAAMEwP.jpg", "http://pbs.twimg.com/media/DeZTPY4VAAAMEwP.jpg")</f>
        <v/>
      </c>
      <c r="G60" t="s"/>
      <c r="H60" t="s"/>
      <c r="I60" t="s"/>
      <c r="J60" t="n">
        <v>0.3818</v>
      </c>
      <c r="K60" t="n">
        <v>0</v>
      </c>
      <c r="L60" t="n">
        <v>0.729</v>
      </c>
      <c r="M60" t="n">
        <v>0.271</v>
      </c>
    </row>
    <row r="61" spans="1:13">
      <c r="A61" s="1">
        <f>HYPERLINK("http://www.twitter.com/NathanBLawrence/status/1001565835029237761", "1001565835029237761")</f>
        <v/>
      </c>
      <c r="B61" s="2" t="n">
        <v>43249.86663194445</v>
      </c>
      <c r="C61" t="n">
        <v>0</v>
      </c>
      <c r="D61" t="n">
        <v>1827</v>
      </c>
      <c r="E61" t="s">
        <v>72</v>
      </c>
      <c r="F61" t="s"/>
      <c r="G61" t="s"/>
      <c r="H61" t="s"/>
      <c r="I61" t="s"/>
      <c r="J61" t="n">
        <v>0</v>
      </c>
      <c r="K61" t="n">
        <v>0</v>
      </c>
      <c r="L61" t="n">
        <v>1</v>
      </c>
      <c r="M61" t="n">
        <v>0</v>
      </c>
    </row>
    <row r="62" spans="1:13">
      <c r="A62" s="1">
        <f>HYPERLINK("http://www.twitter.com/NathanBLawrence/status/1001565774941573120", "1001565774941573120")</f>
        <v/>
      </c>
      <c r="B62" s="2" t="n">
        <v>43249.86646990741</v>
      </c>
      <c r="C62" t="n">
        <v>0</v>
      </c>
      <c r="D62" t="n">
        <v>450</v>
      </c>
      <c r="E62" t="s">
        <v>73</v>
      </c>
      <c r="F62" t="s"/>
      <c r="G62" t="s"/>
      <c r="H62" t="s"/>
      <c r="I62" t="s"/>
      <c r="J62" t="n">
        <v>0.8519</v>
      </c>
      <c r="K62" t="n">
        <v>0.06900000000000001</v>
      </c>
      <c r="L62" t="n">
        <v>0.5679999999999999</v>
      </c>
      <c r="M62" t="n">
        <v>0.363</v>
      </c>
    </row>
    <row r="63" spans="1:13">
      <c r="A63" s="1">
        <f>HYPERLINK("http://www.twitter.com/NathanBLawrence/status/1001565669790441474", "1001565669790441474")</f>
        <v/>
      </c>
      <c r="B63" s="2" t="n">
        <v>43249.86618055555</v>
      </c>
      <c r="C63" t="n">
        <v>0</v>
      </c>
      <c r="D63" t="n">
        <v>4585</v>
      </c>
      <c r="E63" t="s">
        <v>74</v>
      </c>
      <c r="F63" t="s"/>
      <c r="G63" t="s"/>
      <c r="H63" t="s"/>
      <c r="I63" t="s"/>
      <c r="J63" t="n">
        <v>-0.1759</v>
      </c>
      <c r="K63" t="n">
        <v>0.133</v>
      </c>
      <c r="L63" t="n">
        <v>0.867</v>
      </c>
      <c r="M63" t="n">
        <v>0</v>
      </c>
    </row>
    <row r="64" spans="1:13">
      <c r="A64" s="1">
        <f>HYPERLINK("http://www.twitter.com/NathanBLawrence/status/1001539476919734273", "1001539476919734273")</f>
        <v/>
      </c>
      <c r="B64" s="2" t="n">
        <v>43249.79390046297</v>
      </c>
      <c r="C64" t="n">
        <v>0</v>
      </c>
      <c r="D64" t="n">
        <v>10</v>
      </c>
      <c r="E64" t="s">
        <v>75</v>
      </c>
      <c r="F64" t="s"/>
      <c r="G64" t="s"/>
      <c r="H64" t="s"/>
      <c r="I64" t="s"/>
      <c r="J64" t="n">
        <v>0.8114</v>
      </c>
      <c r="K64" t="n">
        <v>0.146</v>
      </c>
      <c r="L64" t="n">
        <v>0.497</v>
      </c>
      <c r="M64" t="n">
        <v>0.357</v>
      </c>
    </row>
    <row r="65" spans="1:13">
      <c r="A65" s="1">
        <f>HYPERLINK("http://www.twitter.com/NathanBLawrence/status/1001527520339017728", "1001527520339017728")</f>
        <v/>
      </c>
      <c r="B65" s="2" t="n">
        <v>43249.76090277778</v>
      </c>
      <c r="C65" t="n">
        <v>0</v>
      </c>
      <c r="D65" t="n">
        <v>318</v>
      </c>
      <c r="E65" t="s">
        <v>76</v>
      </c>
      <c r="F65" t="s"/>
      <c r="G65" t="s"/>
      <c r="H65" t="s"/>
      <c r="I65" t="s"/>
      <c r="J65" t="n">
        <v>0</v>
      </c>
      <c r="K65" t="n">
        <v>0</v>
      </c>
      <c r="L65" t="n">
        <v>1</v>
      </c>
      <c r="M65" t="n">
        <v>0</v>
      </c>
    </row>
    <row r="66" spans="1:13">
      <c r="A66" s="1">
        <f>HYPERLINK("http://www.twitter.com/NathanBLawrence/status/1001527216658829313", "1001527216658829313")</f>
        <v/>
      </c>
      <c r="B66" s="2" t="n">
        <v>43249.76006944444</v>
      </c>
      <c r="C66" t="n">
        <v>0</v>
      </c>
      <c r="D66" t="n">
        <v>75</v>
      </c>
      <c r="E66" t="s">
        <v>77</v>
      </c>
      <c r="F66" t="s"/>
      <c r="G66" t="s"/>
      <c r="H66" t="s"/>
      <c r="I66" t="s"/>
      <c r="J66" t="n">
        <v>-0.2263</v>
      </c>
      <c r="K66" t="n">
        <v>0.137</v>
      </c>
      <c r="L66" t="n">
        <v>0.863</v>
      </c>
      <c r="M66" t="n">
        <v>0</v>
      </c>
    </row>
    <row r="67" spans="1:13">
      <c r="A67" s="1">
        <f>HYPERLINK("http://www.twitter.com/NathanBLawrence/status/1001526632362921985", "1001526632362921985")</f>
        <v/>
      </c>
      <c r="B67" s="2" t="n">
        <v>43249.75846064815</v>
      </c>
      <c r="C67" t="n">
        <v>0</v>
      </c>
      <c r="D67" t="n">
        <v>22</v>
      </c>
      <c r="E67" t="s">
        <v>78</v>
      </c>
      <c r="F67" t="s"/>
      <c r="G67" t="s"/>
      <c r="H67" t="s"/>
      <c r="I67" t="s"/>
      <c r="J67" t="n">
        <v>-0.5266999999999999</v>
      </c>
      <c r="K67" t="n">
        <v>0.175</v>
      </c>
      <c r="L67" t="n">
        <v>0.825</v>
      </c>
      <c r="M67" t="n">
        <v>0</v>
      </c>
    </row>
    <row r="68" spans="1:13">
      <c r="A68" s="1">
        <f>HYPERLINK("http://www.twitter.com/NathanBLawrence/status/1001526522014920704", "1001526522014920704")</f>
        <v/>
      </c>
      <c r="B68" s="2" t="n">
        <v>43249.75814814815</v>
      </c>
      <c r="C68" t="n">
        <v>0</v>
      </c>
      <c r="D68" t="n">
        <v>4283</v>
      </c>
      <c r="E68" t="s">
        <v>79</v>
      </c>
      <c r="F68" t="s"/>
      <c r="G68" t="s"/>
      <c r="H68" t="s"/>
      <c r="I68" t="s"/>
      <c r="J68" t="n">
        <v>-0.2023</v>
      </c>
      <c r="K68" t="n">
        <v>0.122</v>
      </c>
      <c r="L68" t="n">
        <v>0.878</v>
      </c>
      <c r="M68" t="n">
        <v>0</v>
      </c>
    </row>
    <row r="69" spans="1:13">
      <c r="A69" s="1">
        <f>HYPERLINK("http://www.twitter.com/NathanBLawrence/status/1001525643304058880", "1001525643304058880")</f>
        <v/>
      </c>
      <c r="B69" s="2" t="n">
        <v>43249.75572916667</v>
      </c>
      <c r="C69" t="n">
        <v>0</v>
      </c>
      <c r="D69" t="n">
        <v>6010</v>
      </c>
      <c r="E69" t="s">
        <v>80</v>
      </c>
      <c r="F69" t="s"/>
      <c r="G69" t="s"/>
      <c r="H69" t="s"/>
      <c r="I69" t="s"/>
      <c r="J69" t="n">
        <v>0.1779</v>
      </c>
      <c r="K69" t="n">
        <v>0.17</v>
      </c>
      <c r="L69" t="n">
        <v>0.601</v>
      </c>
      <c r="M69" t="n">
        <v>0.23</v>
      </c>
    </row>
    <row r="70" spans="1:13">
      <c r="A70" s="1">
        <f>HYPERLINK("http://www.twitter.com/NathanBLawrence/status/1001525625146957825", "1001525625146957825")</f>
        <v/>
      </c>
      <c r="B70" s="2" t="n">
        <v>43249.75568287037</v>
      </c>
      <c r="C70" t="n">
        <v>0</v>
      </c>
      <c r="D70" t="n">
        <v>3818</v>
      </c>
      <c r="E70" t="s">
        <v>81</v>
      </c>
      <c r="F70" t="s"/>
      <c r="G70" t="s"/>
      <c r="H70" t="s"/>
      <c r="I70" t="s"/>
      <c r="J70" t="n">
        <v>0.1027</v>
      </c>
      <c r="K70" t="n">
        <v>0</v>
      </c>
      <c r="L70" t="n">
        <v>0.8110000000000001</v>
      </c>
      <c r="M70" t="n">
        <v>0.189</v>
      </c>
    </row>
    <row r="71" spans="1:13">
      <c r="A71" s="1">
        <f>HYPERLINK("http://www.twitter.com/NathanBLawrence/status/1001525339540017157", "1001525339540017157")</f>
        <v/>
      </c>
      <c r="B71" s="2" t="n">
        <v>43249.75489583334</v>
      </c>
      <c r="C71" t="n">
        <v>0</v>
      </c>
      <c r="D71" t="n">
        <v>25</v>
      </c>
      <c r="E71" t="s">
        <v>82</v>
      </c>
      <c r="F71" t="s"/>
      <c r="G71" t="s"/>
      <c r="H71" t="s"/>
      <c r="I71" t="s"/>
      <c r="J71" t="n">
        <v>0.4404</v>
      </c>
      <c r="K71" t="n">
        <v>0</v>
      </c>
      <c r="L71" t="n">
        <v>0.868</v>
      </c>
      <c r="M71" t="n">
        <v>0.132</v>
      </c>
    </row>
    <row r="72" spans="1:13">
      <c r="A72" s="1">
        <f>HYPERLINK("http://www.twitter.com/NathanBLawrence/status/1001525239556145153", "1001525239556145153")</f>
        <v/>
      </c>
      <c r="B72" s="2" t="n">
        <v>43249.75461805556</v>
      </c>
      <c r="C72" t="n">
        <v>0</v>
      </c>
      <c r="D72" t="n">
        <v>126</v>
      </c>
      <c r="E72" t="s">
        <v>83</v>
      </c>
      <c r="F72">
        <f>HYPERLINK("http://pbs.twimg.com/media/DeYe26gUQAAA-Pz.jpg", "http://pbs.twimg.com/media/DeYe26gUQAAA-Pz.jpg")</f>
        <v/>
      </c>
      <c r="G72">
        <f>HYPERLINK("http://pbs.twimg.com/media/DeYe26eU8AAovA3.jpg", "http://pbs.twimg.com/media/DeYe26eU8AAovA3.jpg")</f>
        <v/>
      </c>
      <c r="H72" t="s"/>
      <c r="I72" t="s"/>
      <c r="J72" t="n">
        <v>0</v>
      </c>
      <c r="K72" t="n">
        <v>0</v>
      </c>
      <c r="L72" t="n">
        <v>1</v>
      </c>
      <c r="M72" t="n">
        <v>0</v>
      </c>
    </row>
    <row r="73" spans="1:13">
      <c r="A73" s="1">
        <f>HYPERLINK("http://www.twitter.com/NathanBLawrence/status/1001524856851058688", "1001524856851058688")</f>
        <v/>
      </c>
      <c r="B73" s="2" t="n">
        <v>43249.75355324074</v>
      </c>
      <c r="C73" t="n">
        <v>0</v>
      </c>
      <c r="D73" t="n">
        <v>362</v>
      </c>
      <c r="E73" t="s">
        <v>84</v>
      </c>
      <c r="F73">
        <f>HYPERLINK("http://pbs.twimg.com/media/DeYcYgHU0AAfTzN.jpg", "http://pbs.twimg.com/media/DeYcYgHU0AAfTzN.jpg")</f>
        <v/>
      </c>
      <c r="G73" t="s"/>
      <c r="H73" t="s"/>
      <c r="I73" t="s"/>
      <c r="J73" t="n">
        <v>-0.1531</v>
      </c>
      <c r="K73" t="n">
        <v>0.07099999999999999</v>
      </c>
      <c r="L73" t="n">
        <v>0.929</v>
      </c>
      <c r="M73" t="n">
        <v>0</v>
      </c>
    </row>
    <row r="74" spans="1:13">
      <c r="A74" s="1">
        <f>HYPERLINK("http://www.twitter.com/NathanBLawrence/status/1001524707500244993", "1001524707500244993")</f>
        <v/>
      </c>
      <c r="B74" s="2" t="n">
        <v>43249.75314814815</v>
      </c>
      <c r="C74" t="n">
        <v>0</v>
      </c>
      <c r="D74" t="n">
        <v>1038</v>
      </c>
      <c r="E74" t="s">
        <v>85</v>
      </c>
      <c r="F74" t="s"/>
      <c r="G74" t="s"/>
      <c r="H74" t="s"/>
      <c r="I74" t="s"/>
      <c r="J74" t="n">
        <v>-0.3016</v>
      </c>
      <c r="K74" t="n">
        <v>0.257</v>
      </c>
      <c r="L74" t="n">
        <v>0.5620000000000001</v>
      </c>
      <c r="M74" t="n">
        <v>0.181</v>
      </c>
    </row>
    <row r="75" spans="1:13">
      <c r="A75" s="1">
        <f>HYPERLINK("http://www.twitter.com/NathanBLawrence/status/1001524651325976576", "1001524651325976576")</f>
        <v/>
      </c>
      <c r="B75" s="2" t="n">
        <v>43249.75298611111</v>
      </c>
      <c r="C75" t="n">
        <v>0</v>
      </c>
      <c r="D75" t="n">
        <v>10</v>
      </c>
      <c r="E75" t="s">
        <v>86</v>
      </c>
      <c r="F75" t="s"/>
      <c r="G75" t="s"/>
      <c r="H75" t="s"/>
      <c r="I75" t="s"/>
      <c r="J75" t="n">
        <v>0.4767</v>
      </c>
      <c r="K75" t="n">
        <v>0</v>
      </c>
      <c r="L75" t="n">
        <v>0.881</v>
      </c>
      <c r="M75" t="n">
        <v>0.119</v>
      </c>
    </row>
    <row r="76" spans="1:13">
      <c r="A76" s="1">
        <f>HYPERLINK("http://www.twitter.com/NathanBLawrence/status/1001524584334606336", "1001524584334606336")</f>
        <v/>
      </c>
      <c r="B76" s="2" t="n">
        <v>43249.75280092593</v>
      </c>
      <c r="C76" t="n">
        <v>0</v>
      </c>
      <c r="D76" t="n">
        <v>949</v>
      </c>
      <c r="E76" t="s">
        <v>87</v>
      </c>
      <c r="F76" t="s"/>
      <c r="G76" t="s"/>
      <c r="H76" t="s"/>
      <c r="I76" t="s"/>
      <c r="J76" t="n">
        <v>0.6249</v>
      </c>
      <c r="K76" t="n">
        <v>0</v>
      </c>
      <c r="L76" t="n">
        <v>0.849</v>
      </c>
      <c r="M76" t="n">
        <v>0.151</v>
      </c>
    </row>
    <row r="77" spans="1:13">
      <c r="A77" s="1">
        <f>HYPERLINK("http://www.twitter.com/NathanBLawrence/status/1001524410962984961", "1001524410962984961")</f>
        <v/>
      </c>
      <c r="B77" s="2" t="n">
        <v>43249.75232638889</v>
      </c>
      <c r="C77" t="n">
        <v>0</v>
      </c>
      <c r="D77" t="n">
        <v>475</v>
      </c>
      <c r="E77" t="s">
        <v>88</v>
      </c>
      <c r="F77">
        <f>HYPERLINK("http://pbs.twimg.com/media/DeYawFkWkAEloTK.jpg", "http://pbs.twimg.com/media/DeYawFkWkAEloTK.jpg")</f>
        <v/>
      </c>
      <c r="G77">
        <f>HYPERLINK("http://pbs.twimg.com/media/DeYawI8WAAEkXHy.jpg", "http://pbs.twimg.com/media/DeYawI8WAAEkXHy.jpg")</f>
        <v/>
      </c>
      <c r="H77" t="s"/>
      <c r="I77" t="s"/>
      <c r="J77" t="n">
        <v>0</v>
      </c>
      <c r="K77" t="n">
        <v>0</v>
      </c>
      <c r="L77" t="n">
        <v>1</v>
      </c>
      <c r="M77" t="n">
        <v>0</v>
      </c>
    </row>
    <row r="78" spans="1:13">
      <c r="A78" s="1">
        <f>HYPERLINK("http://www.twitter.com/NathanBLawrence/status/1001524339160723463", "1001524339160723463")</f>
        <v/>
      </c>
      <c r="B78" s="2" t="n">
        <v>43249.75212962963</v>
      </c>
      <c r="C78" t="n">
        <v>0</v>
      </c>
      <c r="D78" t="n">
        <v>946</v>
      </c>
      <c r="E78" t="s">
        <v>89</v>
      </c>
      <c r="F78" t="s"/>
      <c r="G78" t="s"/>
      <c r="H78" t="s"/>
      <c r="I78" t="s"/>
      <c r="J78" t="n">
        <v>0.2567</v>
      </c>
      <c r="K78" t="n">
        <v>0.125</v>
      </c>
      <c r="L78" t="n">
        <v>0.681</v>
      </c>
      <c r="M78" t="n">
        <v>0.194</v>
      </c>
    </row>
    <row r="79" spans="1:13">
      <c r="A79" s="1">
        <f>HYPERLINK("http://www.twitter.com/NathanBLawrence/status/1001524119437918208", "1001524119437918208")</f>
        <v/>
      </c>
      <c r="B79" s="2" t="n">
        <v>43249.75152777778</v>
      </c>
      <c r="C79" t="n">
        <v>0</v>
      </c>
      <c r="D79" t="n">
        <v>642</v>
      </c>
      <c r="E79" t="s">
        <v>90</v>
      </c>
      <c r="F79">
        <f>HYPERLINK("http://pbs.twimg.com/media/DeYJBrzUwAAo0fM.jpg", "http://pbs.twimg.com/media/DeYJBrzUwAAo0fM.jpg")</f>
        <v/>
      </c>
      <c r="G79" t="s"/>
      <c r="H79" t="s"/>
      <c r="I79" t="s"/>
      <c r="J79" t="n">
        <v>0</v>
      </c>
      <c r="K79" t="n">
        <v>0</v>
      </c>
      <c r="L79" t="n">
        <v>1</v>
      </c>
      <c r="M79" t="n">
        <v>0</v>
      </c>
    </row>
    <row r="80" spans="1:13">
      <c r="A80" s="1">
        <f>HYPERLINK("http://www.twitter.com/NathanBLawrence/status/1001523882002599936", "1001523882002599936")</f>
        <v/>
      </c>
      <c r="B80" s="2" t="n">
        <v>43249.75086805555</v>
      </c>
      <c r="C80" t="n">
        <v>0</v>
      </c>
      <c r="D80" t="n">
        <v>374</v>
      </c>
      <c r="E80" t="s">
        <v>91</v>
      </c>
      <c r="F80" t="s"/>
      <c r="G80" t="s"/>
      <c r="H80" t="s"/>
      <c r="I80" t="s"/>
      <c r="J80" t="n">
        <v>0.3612</v>
      </c>
      <c r="K80" t="n">
        <v>0</v>
      </c>
      <c r="L80" t="n">
        <v>0.828</v>
      </c>
      <c r="M80" t="n">
        <v>0.172</v>
      </c>
    </row>
    <row r="81" spans="1:13">
      <c r="A81" s="1">
        <f>HYPERLINK("http://www.twitter.com/NathanBLawrence/status/1001523812100292608", "1001523812100292608")</f>
        <v/>
      </c>
      <c r="B81" s="2" t="n">
        <v>43249.75067129629</v>
      </c>
      <c r="C81" t="n">
        <v>0</v>
      </c>
      <c r="D81" t="n">
        <v>879</v>
      </c>
      <c r="E81" t="s">
        <v>92</v>
      </c>
      <c r="F81" t="s"/>
      <c r="G81" t="s"/>
      <c r="H81" t="s"/>
      <c r="I81" t="s"/>
      <c r="J81" t="n">
        <v>-0.4717</v>
      </c>
      <c r="K81" t="n">
        <v>0.118</v>
      </c>
      <c r="L81" t="n">
        <v>0.882</v>
      </c>
      <c r="M81" t="n">
        <v>0</v>
      </c>
    </row>
    <row r="82" spans="1:13">
      <c r="A82" s="1">
        <f>HYPERLINK("http://www.twitter.com/NathanBLawrence/status/1001499292966703105", "1001499292966703105")</f>
        <v/>
      </c>
      <c r="B82" s="2" t="n">
        <v>43249.68302083333</v>
      </c>
      <c r="C82" t="n">
        <v>0</v>
      </c>
      <c r="D82" t="n">
        <v>1561</v>
      </c>
      <c r="E82" t="s">
        <v>93</v>
      </c>
      <c r="F82">
        <f>HYPERLINK("http://pbs.twimg.com/media/DeXTRluWkAAPraj.jpg", "http://pbs.twimg.com/media/DeXTRluWkAAPraj.jpg")</f>
        <v/>
      </c>
      <c r="G82" t="s"/>
      <c r="H82" t="s"/>
      <c r="I82" t="s"/>
      <c r="J82" t="n">
        <v>0.4404</v>
      </c>
      <c r="K82" t="n">
        <v>0</v>
      </c>
      <c r="L82" t="n">
        <v>0.868</v>
      </c>
      <c r="M82" t="n">
        <v>0.132</v>
      </c>
    </row>
    <row r="83" spans="1:13">
      <c r="A83" s="1">
        <f>HYPERLINK("http://www.twitter.com/NathanBLawrence/status/1001484659744632832", "1001484659744632832")</f>
        <v/>
      </c>
      <c r="B83" s="2" t="n">
        <v>43249.64263888889</v>
      </c>
      <c r="C83" t="n">
        <v>0</v>
      </c>
      <c r="D83" t="n">
        <v>262</v>
      </c>
      <c r="E83" t="s">
        <v>94</v>
      </c>
      <c r="F83">
        <f>HYPERLINK("https://video.twimg.com/ext_tw_video/1001454673205833728/pu/vid/1280x720/F1qzPcJwF1p1tILU.mp4?tag=3", "https://video.twimg.com/ext_tw_video/1001454673205833728/pu/vid/1280x720/F1qzPcJwF1p1tILU.mp4?tag=3")</f>
        <v/>
      </c>
      <c r="G83" t="s"/>
      <c r="H83" t="s"/>
      <c r="I83" t="s"/>
      <c r="J83" t="n">
        <v>0.4019</v>
      </c>
      <c r="K83" t="n">
        <v>0</v>
      </c>
      <c r="L83" t="n">
        <v>0.899</v>
      </c>
      <c r="M83" t="n">
        <v>0.101</v>
      </c>
    </row>
    <row r="84" spans="1:13">
      <c r="A84" s="1">
        <f>HYPERLINK("http://www.twitter.com/NathanBLawrence/status/1001484140619812864", "1001484140619812864")</f>
        <v/>
      </c>
      <c r="B84" s="2" t="n">
        <v>43249.6412037037</v>
      </c>
      <c r="C84" t="n">
        <v>0</v>
      </c>
      <c r="D84" t="n">
        <v>82</v>
      </c>
      <c r="E84" t="s">
        <v>95</v>
      </c>
      <c r="F84" t="s"/>
      <c r="G84" t="s"/>
      <c r="H84" t="s"/>
      <c r="I84" t="s"/>
      <c r="J84" t="n">
        <v>0.7519</v>
      </c>
      <c r="K84" t="n">
        <v>0</v>
      </c>
      <c r="L84" t="n">
        <v>0.747</v>
      </c>
      <c r="M84" t="n">
        <v>0.253</v>
      </c>
    </row>
    <row r="85" spans="1:13">
      <c r="A85" s="1">
        <f>HYPERLINK("http://www.twitter.com/NathanBLawrence/status/1001484021111504896", "1001484021111504896")</f>
        <v/>
      </c>
      <c r="B85" s="2" t="n">
        <v>43249.64086805555</v>
      </c>
      <c r="C85" t="n">
        <v>0</v>
      </c>
      <c r="D85" t="n">
        <v>1017</v>
      </c>
      <c r="E85" t="s">
        <v>96</v>
      </c>
      <c r="F85" t="s"/>
      <c r="G85" t="s"/>
      <c r="H85" t="s"/>
      <c r="I85" t="s"/>
      <c r="J85" t="n">
        <v>-0.8126</v>
      </c>
      <c r="K85" t="n">
        <v>0.363</v>
      </c>
      <c r="L85" t="n">
        <v>0.637</v>
      </c>
      <c r="M85" t="n">
        <v>0</v>
      </c>
    </row>
    <row r="86" spans="1:13">
      <c r="A86" s="1">
        <f>HYPERLINK("http://www.twitter.com/NathanBLawrence/status/1001483947555995648", "1001483947555995648")</f>
        <v/>
      </c>
      <c r="B86" s="2" t="n">
        <v>43249.6406712963</v>
      </c>
      <c r="C86" t="n">
        <v>0</v>
      </c>
      <c r="D86" t="n">
        <v>719</v>
      </c>
      <c r="E86" t="s">
        <v>97</v>
      </c>
      <c r="F86">
        <f>HYPERLINK("https://video.twimg.com/ext_tw_video/1001304750510391298/pu/vid/720x720/5qZdxFxtuh8AXUh3.mp4?tag=3", "https://video.twimg.com/ext_tw_video/1001304750510391298/pu/vid/720x720/5qZdxFxtuh8AXUh3.mp4?tag=3")</f>
        <v/>
      </c>
      <c r="G86" t="s"/>
      <c r="H86" t="s"/>
      <c r="I86" t="s"/>
      <c r="J86" t="n">
        <v>-0.6124000000000001</v>
      </c>
      <c r="K86" t="n">
        <v>0.227</v>
      </c>
      <c r="L86" t="n">
        <v>0.773</v>
      </c>
      <c r="M86" t="n">
        <v>0</v>
      </c>
    </row>
    <row r="87" spans="1:13">
      <c r="A87" s="1">
        <f>HYPERLINK("http://www.twitter.com/NathanBLawrence/status/1001483810947530752", "1001483810947530752")</f>
        <v/>
      </c>
      <c r="B87" s="2" t="n">
        <v>43249.64028935185</v>
      </c>
      <c r="C87" t="n">
        <v>0</v>
      </c>
      <c r="D87" t="n">
        <v>1024</v>
      </c>
      <c r="E87" t="s">
        <v>98</v>
      </c>
      <c r="F87" t="s"/>
      <c r="G87" t="s"/>
      <c r="H87" t="s"/>
      <c r="I87" t="s"/>
      <c r="J87" t="n">
        <v>0</v>
      </c>
      <c r="K87" t="n">
        <v>0</v>
      </c>
      <c r="L87" t="n">
        <v>1</v>
      </c>
      <c r="M87" t="n">
        <v>0</v>
      </c>
    </row>
    <row r="88" spans="1:13">
      <c r="A88" s="1">
        <f>HYPERLINK("http://www.twitter.com/NathanBLawrence/status/1001483361238499328", "1001483361238499328")</f>
        <v/>
      </c>
      <c r="B88" s="2" t="n">
        <v>43249.63905092593</v>
      </c>
      <c r="C88" t="n">
        <v>0</v>
      </c>
      <c r="D88" t="n">
        <v>2380</v>
      </c>
      <c r="E88" t="s">
        <v>99</v>
      </c>
      <c r="F88">
        <f>HYPERLINK("http://pbs.twimg.com/media/DeOE2qNUQAA78pR.jpg", "http://pbs.twimg.com/media/DeOE2qNUQAA78pR.jpg")</f>
        <v/>
      </c>
      <c r="G88" t="s"/>
      <c r="H88" t="s"/>
      <c r="I88" t="s"/>
      <c r="J88" t="n">
        <v>-0.128</v>
      </c>
      <c r="K88" t="n">
        <v>0.122</v>
      </c>
      <c r="L88" t="n">
        <v>0.878</v>
      </c>
      <c r="M88" t="n">
        <v>0</v>
      </c>
    </row>
    <row r="89" spans="1:13">
      <c r="A89" s="1">
        <f>HYPERLINK("http://www.twitter.com/NathanBLawrence/status/1001413858114682880", "1001413858114682880")</f>
        <v/>
      </c>
      <c r="B89" s="2" t="n">
        <v>43249.44725694445</v>
      </c>
      <c r="C89" t="n">
        <v>0</v>
      </c>
      <c r="D89" t="n">
        <v>27234</v>
      </c>
      <c r="E89" t="s">
        <v>100</v>
      </c>
      <c r="F89" t="s"/>
      <c r="G89" t="s"/>
      <c r="H89" t="s"/>
      <c r="I89" t="s"/>
      <c r="J89" t="n">
        <v>-0.296</v>
      </c>
      <c r="K89" t="n">
        <v>0.104</v>
      </c>
      <c r="L89" t="n">
        <v>0.896</v>
      </c>
      <c r="M89" t="n">
        <v>0</v>
      </c>
    </row>
    <row r="90" spans="1:13">
      <c r="A90" s="1">
        <f>HYPERLINK("http://www.twitter.com/NathanBLawrence/status/1001413676623060992", "1001413676623060992")</f>
        <v/>
      </c>
      <c r="B90" s="2" t="n">
        <v>43249.44675925926</v>
      </c>
      <c r="C90" t="n">
        <v>0</v>
      </c>
      <c r="D90" t="n">
        <v>160</v>
      </c>
      <c r="E90" t="s">
        <v>101</v>
      </c>
      <c r="F90" t="s"/>
      <c r="G90" t="s"/>
      <c r="H90" t="s"/>
      <c r="I90" t="s"/>
      <c r="J90" t="n">
        <v>0</v>
      </c>
      <c r="K90" t="n">
        <v>0</v>
      </c>
      <c r="L90" t="n">
        <v>1</v>
      </c>
      <c r="M90" t="n">
        <v>0</v>
      </c>
    </row>
    <row r="91" spans="1:13">
      <c r="A91" s="1">
        <f>HYPERLINK("http://www.twitter.com/NathanBLawrence/status/1001413589628997634", "1001413589628997634")</f>
        <v/>
      </c>
      <c r="B91" s="2" t="n">
        <v>43249.4465162037</v>
      </c>
      <c r="C91" t="n">
        <v>0</v>
      </c>
      <c r="D91" t="n">
        <v>403</v>
      </c>
      <c r="E91" t="s">
        <v>102</v>
      </c>
      <c r="F91">
        <f>HYPERLINK("https://video.twimg.com/ext_tw_video/1001097894399758336/pu/vid/240x240/cbTh16tOT9vryXM9.mp4?tag=3", "https://video.twimg.com/ext_tw_video/1001097894399758336/pu/vid/240x240/cbTh16tOT9vryXM9.mp4?tag=3")</f>
        <v/>
      </c>
      <c r="G91" t="s"/>
      <c r="H91" t="s"/>
      <c r="I91" t="s"/>
      <c r="J91" t="n">
        <v>-0.3818</v>
      </c>
      <c r="K91" t="n">
        <v>0.143</v>
      </c>
      <c r="L91" t="n">
        <v>0.769</v>
      </c>
      <c r="M91" t="n">
        <v>0.08699999999999999</v>
      </c>
    </row>
    <row r="92" spans="1:13">
      <c r="A92" s="1">
        <f>HYPERLINK("http://www.twitter.com/NathanBLawrence/status/1001413078062284801", "1001413078062284801")</f>
        <v/>
      </c>
      <c r="B92" s="2" t="n">
        <v>43249.44510416667</v>
      </c>
      <c r="C92" t="n">
        <v>0</v>
      </c>
      <c r="D92" t="n">
        <v>873</v>
      </c>
      <c r="E92" t="s">
        <v>103</v>
      </c>
      <c r="F92" t="s"/>
      <c r="G92" t="s"/>
      <c r="H92" t="s"/>
      <c r="I92" t="s"/>
      <c r="J92" t="n">
        <v>0.4019</v>
      </c>
      <c r="K92" t="n">
        <v>0</v>
      </c>
      <c r="L92" t="n">
        <v>0.891</v>
      </c>
      <c r="M92" t="n">
        <v>0.109</v>
      </c>
    </row>
    <row r="93" spans="1:13">
      <c r="A93" s="1">
        <f>HYPERLINK("http://www.twitter.com/NathanBLawrence/status/1001412911238021120", "1001412911238021120")</f>
        <v/>
      </c>
      <c r="B93" s="2" t="n">
        <v>43249.44465277778</v>
      </c>
      <c r="C93" t="n">
        <v>0</v>
      </c>
      <c r="D93" t="n">
        <v>2444</v>
      </c>
      <c r="E93" t="s">
        <v>104</v>
      </c>
      <c r="F93">
        <f>HYPERLINK("https://video.twimg.com/ext_tw_video/1000581688836132864/pu/vid/1280x720/hDdQUDobN7KmvuSa.mp4?tag=3", "https://video.twimg.com/ext_tw_video/1000581688836132864/pu/vid/1280x720/hDdQUDobN7KmvuSa.mp4?tag=3")</f>
        <v/>
      </c>
      <c r="G93" t="s"/>
      <c r="H93" t="s"/>
      <c r="I93" t="s"/>
      <c r="J93" t="n">
        <v>0.6792</v>
      </c>
      <c r="K93" t="n">
        <v>0.073</v>
      </c>
      <c r="L93" t="n">
        <v>0.695</v>
      </c>
      <c r="M93" t="n">
        <v>0.232</v>
      </c>
    </row>
    <row r="94" spans="1:13">
      <c r="A94" s="1">
        <f>HYPERLINK("http://www.twitter.com/NathanBLawrence/status/1001412855424466944", "1001412855424466944")</f>
        <v/>
      </c>
      <c r="B94" s="2" t="n">
        <v>43249.44449074074</v>
      </c>
      <c r="C94" t="n">
        <v>0</v>
      </c>
      <c r="D94" t="n">
        <v>123</v>
      </c>
      <c r="E94" t="s">
        <v>105</v>
      </c>
      <c r="F94">
        <f>HYPERLINK("https://video.twimg.com/ext_tw_video/1001405471411003392/pu/vid/1280x720/LIpXJRN1dTWSwBST.mp4?tag=3", "https://video.twimg.com/ext_tw_video/1001405471411003392/pu/vid/1280x720/LIpXJRN1dTWSwBST.mp4?tag=3")</f>
        <v/>
      </c>
      <c r="G94" t="s"/>
      <c r="H94" t="s"/>
      <c r="I94" t="s"/>
      <c r="J94" t="n">
        <v>0</v>
      </c>
      <c r="K94" t="n">
        <v>0</v>
      </c>
      <c r="L94" t="n">
        <v>1</v>
      </c>
      <c r="M94" t="n">
        <v>0</v>
      </c>
    </row>
    <row r="95" spans="1:13">
      <c r="A95" s="1">
        <f>HYPERLINK("http://www.twitter.com/NathanBLawrence/status/1001412820263616512", "1001412820263616512")</f>
        <v/>
      </c>
      <c r="B95" s="2" t="n">
        <v>43249.44439814815</v>
      </c>
      <c r="C95" t="n">
        <v>6</v>
      </c>
      <c r="D95" t="n">
        <v>3</v>
      </c>
      <c r="E95" t="s">
        <v>106</v>
      </c>
      <c r="F95" t="s"/>
      <c r="G95" t="s"/>
      <c r="H95" t="s"/>
      <c r="I95" t="s"/>
      <c r="J95" t="n">
        <v>-0.7959000000000001</v>
      </c>
      <c r="K95" t="n">
        <v>0.78</v>
      </c>
      <c r="L95" t="n">
        <v>0.22</v>
      </c>
      <c r="M95" t="n">
        <v>0</v>
      </c>
    </row>
    <row r="96" spans="1:13">
      <c r="A96" s="1">
        <f>HYPERLINK("http://www.twitter.com/NathanBLawrence/status/1001412668769452032", "1001412668769452032")</f>
        <v/>
      </c>
      <c r="B96" s="2" t="n">
        <v>43249.44398148148</v>
      </c>
      <c r="C96" t="n">
        <v>46</v>
      </c>
      <c r="D96" t="n">
        <v>27</v>
      </c>
      <c r="E96" t="s">
        <v>107</v>
      </c>
      <c r="F96" t="s"/>
      <c r="G96" t="s"/>
      <c r="H96" t="s"/>
      <c r="I96" t="s"/>
      <c r="J96" t="n">
        <v>-0.3843</v>
      </c>
      <c r="K96" t="n">
        <v>0.136</v>
      </c>
      <c r="L96" t="n">
        <v>0.778</v>
      </c>
      <c r="M96" t="n">
        <v>0.08599999999999999</v>
      </c>
    </row>
    <row r="97" spans="1:13">
      <c r="A97" s="1">
        <f>HYPERLINK("http://www.twitter.com/NathanBLawrence/status/1001411475263569920", "1001411475263569920")</f>
        <v/>
      </c>
      <c r="B97" s="2" t="n">
        <v>43249.44068287037</v>
      </c>
      <c r="C97" t="n">
        <v>0</v>
      </c>
      <c r="D97" t="n">
        <v>84</v>
      </c>
      <c r="E97" t="s">
        <v>108</v>
      </c>
      <c r="F97">
        <f>HYPERLINK("https://video.twimg.com/amplify_video/1001408058361294848/vid/1280x720/wbcHVAcaJ6ZDPl4r.mp4?tag=2", "https://video.twimg.com/amplify_video/1001408058361294848/vid/1280x720/wbcHVAcaJ6ZDPl4r.mp4?tag=2")</f>
        <v/>
      </c>
      <c r="G97" t="s"/>
      <c r="H97" t="s"/>
      <c r="I97" t="s"/>
      <c r="J97" t="n">
        <v>0.3612</v>
      </c>
      <c r="K97" t="n">
        <v>0</v>
      </c>
      <c r="L97" t="n">
        <v>0.872</v>
      </c>
      <c r="M97" t="n">
        <v>0.128</v>
      </c>
    </row>
    <row r="98" spans="1:13">
      <c r="A98" s="1">
        <f>HYPERLINK("http://www.twitter.com/NathanBLawrence/status/1001411403956215808", "1001411403956215808")</f>
        <v/>
      </c>
      <c r="B98" s="2" t="n">
        <v>43249.44048611111</v>
      </c>
      <c r="C98" t="n">
        <v>0</v>
      </c>
      <c r="D98" t="n">
        <v>21677</v>
      </c>
      <c r="E98" t="s">
        <v>109</v>
      </c>
      <c r="F98" t="s"/>
      <c r="G98" t="s"/>
      <c r="H98" t="s"/>
      <c r="I98" t="s"/>
      <c r="J98" t="n">
        <v>0</v>
      </c>
      <c r="K98" t="n">
        <v>0</v>
      </c>
      <c r="L98" t="n">
        <v>1</v>
      </c>
      <c r="M98" t="n">
        <v>0</v>
      </c>
    </row>
    <row r="99" spans="1:13">
      <c r="A99" s="1">
        <f>HYPERLINK("http://www.twitter.com/NathanBLawrence/status/1001411363833495552", "1001411363833495552")</f>
        <v/>
      </c>
      <c r="B99" s="2" t="n">
        <v>43249.44038194444</v>
      </c>
      <c r="C99" t="n">
        <v>0</v>
      </c>
      <c r="D99" t="n">
        <v>46</v>
      </c>
      <c r="E99" t="s">
        <v>110</v>
      </c>
      <c r="F99" t="s"/>
      <c r="G99" t="s"/>
      <c r="H99" t="s"/>
      <c r="I99" t="s"/>
      <c r="J99" t="n">
        <v>0.7178</v>
      </c>
      <c r="K99" t="n">
        <v>0</v>
      </c>
      <c r="L99" t="n">
        <v>0.759</v>
      </c>
      <c r="M99" t="n">
        <v>0.241</v>
      </c>
    </row>
    <row r="100" spans="1:13">
      <c r="A100" s="1">
        <f>HYPERLINK("http://www.twitter.com/NathanBLawrence/status/1001411280433954822", "1001411280433954822")</f>
        <v/>
      </c>
      <c r="B100" s="2" t="n">
        <v>43249.44015046296</v>
      </c>
      <c r="C100" t="n">
        <v>0</v>
      </c>
      <c r="D100" t="n">
        <v>120</v>
      </c>
      <c r="E100" t="s">
        <v>111</v>
      </c>
      <c r="F100">
        <f>HYPERLINK("https://video.twimg.com/ext_tw_video/1001214154001313792/pu/vid/720x720/ZXTLhG1cYE2Ijj-i.mp4?tag=3", "https://video.twimg.com/ext_tw_video/1001214154001313792/pu/vid/720x720/ZXTLhG1cYE2Ijj-i.mp4?tag=3")</f>
        <v/>
      </c>
      <c r="G100" t="s"/>
      <c r="H100" t="s"/>
      <c r="I100" t="s"/>
      <c r="J100" t="n">
        <v>0.1984</v>
      </c>
      <c r="K100" t="n">
        <v>0.148</v>
      </c>
      <c r="L100" t="n">
        <v>0.664</v>
      </c>
      <c r="M100" t="n">
        <v>0.188</v>
      </c>
    </row>
    <row r="101" spans="1:13">
      <c r="A101" s="1">
        <f>HYPERLINK("http://www.twitter.com/NathanBLawrence/status/1001411247248621568", "1001411247248621568")</f>
        <v/>
      </c>
      <c r="B101" s="2" t="n">
        <v>43249.44005787037</v>
      </c>
      <c r="C101" t="n">
        <v>0</v>
      </c>
      <c r="D101" t="n">
        <v>459</v>
      </c>
      <c r="E101" t="s">
        <v>112</v>
      </c>
      <c r="F101">
        <f>HYPERLINK("http://pbs.twimg.com/media/DeUbplGV0AEL5mC.jpg", "http://pbs.twimg.com/media/DeUbplGV0AEL5mC.jpg")</f>
        <v/>
      </c>
      <c r="G101" t="s"/>
      <c r="H101" t="s"/>
      <c r="I101" t="s"/>
      <c r="J101" t="n">
        <v>0.6124000000000001</v>
      </c>
      <c r="K101" t="n">
        <v>0.096</v>
      </c>
      <c r="L101" t="n">
        <v>0.654</v>
      </c>
      <c r="M101" t="n">
        <v>0.25</v>
      </c>
    </row>
    <row r="102" spans="1:13">
      <c r="A102" s="1">
        <f>HYPERLINK("http://www.twitter.com/NathanBLawrence/status/1001411165392519168", "1001411165392519168")</f>
        <v/>
      </c>
      <c r="B102" s="2" t="n">
        <v>43249.43982638889</v>
      </c>
      <c r="C102" t="n">
        <v>0</v>
      </c>
      <c r="D102" t="n">
        <v>951</v>
      </c>
      <c r="E102" t="s">
        <v>113</v>
      </c>
      <c r="F102">
        <f>HYPERLINK("https://video.twimg.com/ext_tw_video/1001142048789942272/pu/vid/640x360/X4mxpCDWybw0epK3.mp4?tag=3", "https://video.twimg.com/ext_tw_video/1001142048789942272/pu/vid/640x360/X4mxpCDWybw0epK3.mp4?tag=3")</f>
        <v/>
      </c>
      <c r="G102" t="s"/>
      <c r="H102" t="s"/>
      <c r="I102" t="s"/>
      <c r="J102" t="n">
        <v>0.6696</v>
      </c>
      <c r="K102" t="n">
        <v>0</v>
      </c>
      <c r="L102" t="n">
        <v>0.824</v>
      </c>
      <c r="M102" t="n">
        <v>0.176</v>
      </c>
    </row>
    <row r="103" spans="1:13">
      <c r="A103" s="1">
        <f>HYPERLINK("http://www.twitter.com/NathanBLawrence/status/1001411064255270914", "1001411064255270914")</f>
        <v/>
      </c>
      <c r="B103" s="2" t="n">
        <v>43249.43954861111</v>
      </c>
      <c r="C103" t="n">
        <v>0</v>
      </c>
      <c r="D103" t="n">
        <v>46</v>
      </c>
      <c r="E103" t="s">
        <v>114</v>
      </c>
      <c r="F103">
        <f>HYPERLINK("https://video.twimg.com/ext_tw_video/999726794033987585/pu/vid/1280x720/DR4MfU3BmDwAl__X.mp4?tag=3", "https://video.twimg.com/ext_tw_video/999726794033987585/pu/vid/1280x720/DR4MfU3BmDwAl__X.mp4?tag=3")</f>
        <v/>
      </c>
      <c r="G103" t="s"/>
      <c r="H103" t="s"/>
      <c r="I103" t="s"/>
      <c r="J103" t="n">
        <v>-0.4976</v>
      </c>
      <c r="K103" t="n">
        <v>0.182</v>
      </c>
      <c r="L103" t="n">
        <v>0.8179999999999999</v>
      </c>
      <c r="M103" t="n">
        <v>0</v>
      </c>
    </row>
    <row r="104" spans="1:13">
      <c r="A104" s="1">
        <f>HYPERLINK("http://www.twitter.com/NathanBLawrence/status/1001410966578388992", "1001410966578388992")</f>
        <v/>
      </c>
      <c r="B104" s="2" t="n">
        <v>43249.43928240741</v>
      </c>
      <c r="C104" t="n">
        <v>0</v>
      </c>
      <c r="D104" t="n">
        <v>160</v>
      </c>
      <c r="E104" t="s">
        <v>115</v>
      </c>
      <c r="F104" t="s"/>
      <c r="G104" t="s"/>
      <c r="H104" t="s"/>
      <c r="I104" t="s"/>
      <c r="J104" t="n">
        <v>0.4995</v>
      </c>
      <c r="K104" t="n">
        <v>0.07000000000000001</v>
      </c>
      <c r="L104" t="n">
        <v>0.74</v>
      </c>
      <c r="M104" t="n">
        <v>0.19</v>
      </c>
    </row>
    <row r="105" spans="1:13">
      <c r="A105" s="1">
        <f>HYPERLINK("http://www.twitter.com/NathanBLawrence/status/1001410913860141056", "1001410913860141056")</f>
        <v/>
      </c>
      <c r="B105" s="2" t="n">
        <v>43249.43913194445</v>
      </c>
      <c r="C105" t="n">
        <v>0</v>
      </c>
      <c r="D105" t="n">
        <v>57</v>
      </c>
      <c r="E105" t="s">
        <v>116</v>
      </c>
      <c r="F105" t="s"/>
      <c r="G105" t="s"/>
      <c r="H105" t="s"/>
      <c r="I105" t="s"/>
      <c r="J105" t="n">
        <v>0.1695</v>
      </c>
      <c r="K105" t="n">
        <v>0</v>
      </c>
      <c r="L105" t="n">
        <v>0.868</v>
      </c>
      <c r="M105" t="n">
        <v>0.132</v>
      </c>
    </row>
    <row r="106" spans="1:13">
      <c r="A106" s="1">
        <f>HYPERLINK("http://www.twitter.com/NathanBLawrence/status/1001410845656559616", "1001410845656559616")</f>
        <v/>
      </c>
      <c r="B106" s="2" t="n">
        <v>43249.43894675926</v>
      </c>
      <c r="C106" t="n">
        <v>0</v>
      </c>
      <c r="D106" t="n">
        <v>88</v>
      </c>
      <c r="E106" t="s">
        <v>117</v>
      </c>
      <c r="F106">
        <f>HYPERLINK("http://pbs.twimg.com/media/DeWmXkKXcAA08MG.jpg", "http://pbs.twimg.com/media/DeWmXkKXcAA08MG.jpg")</f>
        <v/>
      </c>
      <c r="G106">
        <f>HYPERLINK("http://pbs.twimg.com/media/DeWmXyTW0AAhCRd.jpg", "http://pbs.twimg.com/media/DeWmXyTW0AAhCRd.jpg")</f>
        <v/>
      </c>
      <c r="H106">
        <f>HYPERLINK("http://pbs.twimg.com/media/DeWmYAkXUAA9Bq_.jpg", "http://pbs.twimg.com/media/DeWmYAkXUAA9Bq_.jpg")</f>
        <v/>
      </c>
      <c r="I106">
        <f>HYPERLINK("http://pbs.twimg.com/media/DeWmYI4WAAETJvL.jpg", "http://pbs.twimg.com/media/DeWmYI4WAAETJvL.jpg")</f>
        <v/>
      </c>
      <c r="J106" t="n">
        <v>-0.7058</v>
      </c>
      <c r="K106" t="n">
        <v>0.168</v>
      </c>
      <c r="L106" t="n">
        <v>0.832</v>
      </c>
      <c r="M106" t="n">
        <v>0</v>
      </c>
    </row>
    <row r="107" spans="1:13">
      <c r="A107" s="1">
        <f>HYPERLINK("http://www.twitter.com/NathanBLawrence/status/1001410541733036032", "1001410541733036032")</f>
        <v/>
      </c>
      <c r="B107" s="2" t="n">
        <v>43249.43811342592</v>
      </c>
      <c r="C107" t="n">
        <v>0</v>
      </c>
      <c r="D107" t="n">
        <v>16484</v>
      </c>
      <c r="E107" t="s">
        <v>118</v>
      </c>
      <c r="F107" t="s"/>
      <c r="G107" t="s"/>
      <c r="H107" t="s"/>
      <c r="I107" t="s"/>
      <c r="J107" t="n">
        <v>0</v>
      </c>
      <c r="K107" t="n">
        <v>0</v>
      </c>
      <c r="L107" t="n">
        <v>1</v>
      </c>
      <c r="M107" t="n">
        <v>0</v>
      </c>
    </row>
    <row r="108" spans="1:13">
      <c r="A108" s="1">
        <f>HYPERLINK("http://www.twitter.com/NathanBLawrence/status/1001410470807416832", "1001410470807416832")</f>
        <v/>
      </c>
      <c r="B108" s="2" t="n">
        <v>43249.43791666667</v>
      </c>
      <c r="C108" t="n">
        <v>0</v>
      </c>
      <c r="D108" t="n">
        <v>251</v>
      </c>
      <c r="E108" t="s">
        <v>119</v>
      </c>
      <c r="F108">
        <f>HYPERLINK("http://pbs.twimg.com/media/DeTdjF-XcAADG3_.jpg", "http://pbs.twimg.com/media/DeTdjF-XcAADG3_.jpg")</f>
        <v/>
      </c>
      <c r="G108" t="s"/>
      <c r="H108" t="s"/>
      <c r="I108" t="s"/>
      <c r="J108" t="n">
        <v>-0.6115</v>
      </c>
      <c r="K108" t="n">
        <v>0.222</v>
      </c>
      <c r="L108" t="n">
        <v>0.695</v>
      </c>
      <c r="M108" t="n">
        <v>0.083</v>
      </c>
    </row>
    <row r="109" spans="1:13">
      <c r="A109" s="1">
        <f>HYPERLINK("http://www.twitter.com/NathanBLawrence/status/1001409786066305024", "1001409786066305024")</f>
        <v/>
      </c>
      <c r="B109" s="2" t="n">
        <v>43249.43601851852</v>
      </c>
      <c r="C109" t="n">
        <v>0</v>
      </c>
      <c r="D109" t="n">
        <v>229</v>
      </c>
      <c r="E109" t="s">
        <v>120</v>
      </c>
      <c r="F109" t="s"/>
      <c r="G109" t="s"/>
      <c r="H109" t="s"/>
      <c r="I109" t="s"/>
      <c r="J109" t="n">
        <v>0.4019</v>
      </c>
      <c r="K109" t="n">
        <v>0</v>
      </c>
      <c r="L109" t="n">
        <v>0.871</v>
      </c>
      <c r="M109" t="n">
        <v>0.129</v>
      </c>
    </row>
    <row r="110" spans="1:13">
      <c r="A110" s="1">
        <f>HYPERLINK("http://www.twitter.com/NathanBLawrence/status/1001409707578245120", "1001409707578245120")</f>
        <v/>
      </c>
      <c r="B110" s="2" t="n">
        <v>43249.43581018518</v>
      </c>
      <c r="C110" t="n">
        <v>0</v>
      </c>
      <c r="D110" t="n">
        <v>5504</v>
      </c>
      <c r="E110" t="s">
        <v>121</v>
      </c>
      <c r="F110">
        <f>HYPERLINK("https://video.twimg.com/ext_tw_video/966343926822199297/pu/vid/1280x720/6islXgVBQTD10RS1.mp4", "https://video.twimg.com/ext_tw_video/966343926822199297/pu/vid/1280x720/6islXgVBQTD10RS1.mp4")</f>
        <v/>
      </c>
      <c r="G110" t="s"/>
      <c r="H110" t="s"/>
      <c r="I110" t="s"/>
      <c r="J110" t="n">
        <v>-0.25</v>
      </c>
      <c r="K110" t="n">
        <v>0.095</v>
      </c>
      <c r="L110" t="n">
        <v>0.905</v>
      </c>
      <c r="M110" t="n">
        <v>0</v>
      </c>
    </row>
    <row r="111" spans="1:13">
      <c r="A111" s="1">
        <f>HYPERLINK("http://www.twitter.com/NathanBLawrence/status/1001409420939509761", "1001409420939509761")</f>
        <v/>
      </c>
      <c r="B111" s="2" t="n">
        <v>43249.43501157407</v>
      </c>
      <c r="C111" t="n">
        <v>0</v>
      </c>
      <c r="D111" t="n">
        <v>271</v>
      </c>
      <c r="E111" t="s">
        <v>122</v>
      </c>
      <c r="F111" t="s"/>
      <c r="G111" t="s"/>
      <c r="H111" t="s"/>
      <c r="I111" t="s"/>
      <c r="J111" t="n">
        <v>0.4215</v>
      </c>
      <c r="K111" t="n">
        <v>0</v>
      </c>
      <c r="L111" t="n">
        <v>0.843</v>
      </c>
      <c r="M111" t="n">
        <v>0.157</v>
      </c>
    </row>
    <row r="112" spans="1:13">
      <c r="A112" s="1">
        <f>HYPERLINK("http://www.twitter.com/NathanBLawrence/status/1001409338806697984", "1001409338806697984")</f>
        <v/>
      </c>
      <c r="B112" s="2" t="n">
        <v>43249.43479166667</v>
      </c>
      <c r="C112" t="n">
        <v>0</v>
      </c>
      <c r="D112" t="n">
        <v>238</v>
      </c>
      <c r="E112" t="s">
        <v>123</v>
      </c>
      <c r="F112">
        <f>HYPERLINK("http://pbs.twimg.com/media/DeUksr9U0AA3Irv.jpg", "http://pbs.twimg.com/media/DeUksr9U0AA3Irv.jpg")</f>
        <v/>
      </c>
      <c r="G112" t="s"/>
      <c r="H112" t="s"/>
      <c r="I112" t="s"/>
      <c r="J112" t="n">
        <v>0.5773</v>
      </c>
      <c r="K112" t="n">
        <v>0</v>
      </c>
      <c r="L112" t="n">
        <v>0.855</v>
      </c>
      <c r="M112" t="n">
        <v>0.145</v>
      </c>
    </row>
    <row r="113" spans="1:13">
      <c r="A113" s="1">
        <f>HYPERLINK("http://www.twitter.com/NathanBLawrence/status/1001408438172200961", "1001408438172200961")</f>
        <v/>
      </c>
      <c r="B113" s="2" t="n">
        <v>43249.43230324074</v>
      </c>
      <c r="C113" t="n">
        <v>0</v>
      </c>
      <c r="D113" t="n">
        <v>305</v>
      </c>
      <c r="E113" t="s">
        <v>124</v>
      </c>
      <c r="F113">
        <f>HYPERLINK("http://pbs.twimg.com/media/DeSZwOaUQAEORbD.jpg", "http://pbs.twimg.com/media/DeSZwOaUQAEORbD.jpg")</f>
        <v/>
      </c>
      <c r="G113" t="s"/>
      <c r="H113" t="s"/>
      <c r="I113" t="s"/>
      <c r="J113" t="n">
        <v>0.9325</v>
      </c>
      <c r="K113" t="n">
        <v>0</v>
      </c>
      <c r="L113" t="n">
        <v>0.629</v>
      </c>
      <c r="M113" t="n">
        <v>0.371</v>
      </c>
    </row>
    <row r="114" spans="1:13">
      <c r="A114" s="1">
        <f>HYPERLINK("http://www.twitter.com/NathanBLawrence/status/1001408391594459136", "1001408391594459136")</f>
        <v/>
      </c>
      <c r="B114" s="2" t="n">
        <v>43249.43217592593</v>
      </c>
      <c r="C114" t="n">
        <v>0</v>
      </c>
      <c r="D114" t="n">
        <v>861</v>
      </c>
      <c r="E114" t="s">
        <v>125</v>
      </c>
      <c r="F114" t="s"/>
      <c r="G114" t="s"/>
      <c r="H114" t="s"/>
      <c r="I114" t="s"/>
      <c r="J114" t="n">
        <v>0.9042</v>
      </c>
      <c r="K114" t="n">
        <v>0</v>
      </c>
      <c r="L114" t="n">
        <v>0.596</v>
      </c>
      <c r="M114" t="n">
        <v>0.404</v>
      </c>
    </row>
    <row r="115" spans="1:13">
      <c r="A115" s="1">
        <f>HYPERLINK("http://www.twitter.com/NathanBLawrence/status/1001408112350318592", "1001408112350318592")</f>
        <v/>
      </c>
      <c r="B115" s="2" t="n">
        <v>43249.43140046296</v>
      </c>
      <c r="C115" t="n">
        <v>0</v>
      </c>
      <c r="D115" t="n">
        <v>30</v>
      </c>
      <c r="E115" t="s">
        <v>126</v>
      </c>
      <c r="F115" t="s"/>
      <c r="G115" t="s"/>
      <c r="H115" t="s"/>
      <c r="I115" t="s"/>
      <c r="J115" t="n">
        <v>0</v>
      </c>
      <c r="K115" t="n">
        <v>0</v>
      </c>
      <c r="L115" t="n">
        <v>1</v>
      </c>
      <c r="M115" t="n">
        <v>0</v>
      </c>
    </row>
    <row r="116" spans="1:13">
      <c r="A116" s="1">
        <f>HYPERLINK("http://www.twitter.com/NathanBLawrence/status/1001375035179786241", "1001375035179786241")</f>
        <v/>
      </c>
      <c r="B116" s="2" t="n">
        <v>43249.34012731481</v>
      </c>
      <c r="C116" t="n">
        <v>0</v>
      </c>
      <c r="D116" t="n">
        <v>4</v>
      </c>
      <c r="E116" t="s">
        <v>127</v>
      </c>
      <c r="F116">
        <f>HYPERLINK("http://pbs.twimg.com/media/DeUWxJnX4AEBBPQ.jpg", "http://pbs.twimg.com/media/DeUWxJnX4AEBBPQ.jpg")</f>
        <v/>
      </c>
      <c r="G116" t="s"/>
      <c r="H116" t="s"/>
      <c r="I116" t="s"/>
      <c r="J116" t="n">
        <v>0.4019</v>
      </c>
      <c r="K116" t="n">
        <v>0</v>
      </c>
      <c r="L116" t="n">
        <v>0.863</v>
      </c>
      <c r="M116" t="n">
        <v>0.137</v>
      </c>
    </row>
    <row r="117" spans="1:13">
      <c r="A117" s="1">
        <f>HYPERLINK("http://www.twitter.com/NathanBLawrence/status/1001374308852158464", "1001374308852158464")</f>
        <v/>
      </c>
      <c r="B117" s="2" t="n">
        <v>43249.338125</v>
      </c>
      <c r="C117" t="n">
        <v>0</v>
      </c>
      <c r="D117" t="n">
        <v>10</v>
      </c>
      <c r="E117" t="s">
        <v>128</v>
      </c>
      <c r="F117">
        <f>HYPERLINK("http://pbs.twimg.com/media/Dc1NPnbXkAAgcAJ.jpg", "http://pbs.twimg.com/media/Dc1NPnbXkAAgcAJ.jpg")</f>
        <v/>
      </c>
      <c r="G117" t="s"/>
      <c r="H117" t="s"/>
      <c r="I117" t="s"/>
      <c r="J117" t="n">
        <v>0</v>
      </c>
      <c r="K117" t="n">
        <v>0</v>
      </c>
      <c r="L117" t="n">
        <v>1</v>
      </c>
      <c r="M117" t="n">
        <v>0</v>
      </c>
    </row>
    <row r="118" spans="1:13">
      <c r="A118" s="1">
        <f>HYPERLINK("http://www.twitter.com/NathanBLawrence/status/1001373733909549056", "1001373733909549056")</f>
        <v/>
      </c>
      <c r="B118" s="2" t="n">
        <v>43249.33653935185</v>
      </c>
      <c r="C118" t="n">
        <v>0</v>
      </c>
      <c r="D118" t="n">
        <v>16676</v>
      </c>
      <c r="E118" t="s">
        <v>129</v>
      </c>
      <c r="F118" t="s"/>
      <c r="G118" t="s"/>
      <c r="H118" t="s"/>
      <c r="I118" t="s"/>
      <c r="J118" t="n">
        <v>0.3612</v>
      </c>
      <c r="K118" t="n">
        <v>0</v>
      </c>
      <c r="L118" t="n">
        <v>0.889</v>
      </c>
      <c r="M118" t="n">
        <v>0.111</v>
      </c>
    </row>
    <row r="119" spans="1:13">
      <c r="A119" s="1">
        <f>HYPERLINK("http://www.twitter.com/NathanBLawrence/status/1001373219163549696", "1001373219163549696")</f>
        <v/>
      </c>
      <c r="B119" s="2" t="n">
        <v>43249.33511574074</v>
      </c>
      <c r="C119" t="n">
        <v>0</v>
      </c>
      <c r="D119" t="n">
        <v>29</v>
      </c>
      <c r="E119" t="s">
        <v>130</v>
      </c>
      <c r="F119" t="s"/>
      <c r="G119" t="s"/>
      <c r="H119" t="s"/>
      <c r="I119" t="s"/>
      <c r="J119" t="n">
        <v>0</v>
      </c>
      <c r="K119" t="n">
        <v>0</v>
      </c>
      <c r="L119" t="n">
        <v>1</v>
      </c>
      <c r="M119" t="n">
        <v>0</v>
      </c>
    </row>
    <row r="120" spans="1:13">
      <c r="A120" s="1">
        <f>HYPERLINK("http://www.twitter.com/NathanBLawrence/status/1001373022241017857", "1001373022241017857")</f>
        <v/>
      </c>
      <c r="B120" s="2" t="n">
        <v>43249.33457175926</v>
      </c>
      <c r="C120" t="n">
        <v>0</v>
      </c>
      <c r="D120" t="n">
        <v>15</v>
      </c>
      <c r="E120" t="s">
        <v>131</v>
      </c>
      <c r="F120">
        <f>HYPERLINK("http://pbs.twimg.com/media/DeDwfnTVAAA8VAc.jpg", "http://pbs.twimg.com/media/DeDwfnTVAAA8VAc.jpg")</f>
        <v/>
      </c>
      <c r="G120" t="s"/>
      <c r="H120" t="s"/>
      <c r="I120" t="s"/>
      <c r="J120" t="n">
        <v>0</v>
      </c>
      <c r="K120" t="n">
        <v>0</v>
      </c>
      <c r="L120" t="n">
        <v>1</v>
      </c>
      <c r="M120" t="n">
        <v>0</v>
      </c>
    </row>
    <row r="121" spans="1:13">
      <c r="A121" s="1">
        <f>HYPERLINK("http://www.twitter.com/NathanBLawrence/status/1001372664114511873", "1001372664114511873")</f>
        <v/>
      </c>
      <c r="B121" s="2" t="n">
        <v>43249.33358796296</v>
      </c>
      <c r="C121" t="n">
        <v>0</v>
      </c>
      <c r="D121" t="n">
        <v>16</v>
      </c>
      <c r="E121" t="s">
        <v>132</v>
      </c>
      <c r="F121">
        <f>HYPERLINK("http://pbs.twimg.com/media/DeONLlLU8AEP-j4.jpg", "http://pbs.twimg.com/media/DeONLlLU8AEP-j4.jpg")</f>
        <v/>
      </c>
      <c r="G121" t="s"/>
      <c r="H121" t="s"/>
      <c r="I121" t="s"/>
      <c r="J121" t="n">
        <v>0</v>
      </c>
      <c r="K121" t="n">
        <v>0</v>
      </c>
      <c r="L121" t="n">
        <v>1</v>
      </c>
      <c r="M121" t="n">
        <v>0</v>
      </c>
    </row>
    <row r="122" spans="1:13">
      <c r="A122" s="1">
        <f>HYPERLINK("http://www.twitter.com/NathanBLawrence/status/1001371813224443909", "1001371813224443909")</f>
        <v/>
      </c>
      <c r="B122" s="2" t="n">
        <v>43249.33123842593</v>
      </c>
      <c r="C122" t="n">
        <v>0</v>
      </c>
      <c r="D122" t="n">
        <v>25611</v>
      </c>
      <c r="E122" t="s">
        <v>133</v>
      </c>
      <c r="F122" t="s"/>
      <c r="G122" t="s"/>
      <c r="H122" t="s"/>
      <c r="I122" t="s"/>
      <c r="J122" t="n">
        <v>-0.1531</v>
      </c>
      <c r="K122" t="n">
        <v>0.08500000000000001</v>
      </c>
      <c r="L122" t="n">
        <v>0.855</v>
      </c>
      <c r="M122" t="n">
        <v>0.06</v>
      </c>
    </row>
    <row r="123" spans="1:13">
      <c r="A123" s="1">
        <f>HYPERLINK("http://www.twitter.com/NathanBLawrence/status/1001371721755119616", "1001371721755119616")</f>
        <v/>
      </c>
      <c r="B123" s="2" t="n">
        <v>43249.3309837963</v>
      </c>
      <c r="C123" t="n">
        <v>0</v>
      </c>
      <c r="D123" t="n">
        <v>668</v>
      </c>
      <c r="E123" t="s">
        <v>134</v>
      </c>
      <c r="F123">
        <f>HYPERLINK("http://pbs.twimg.com/media/DeTgQXRXkAIYqVS.jpg", "http://pbs.twimg.com/media/DeTgQXRXkAIYqVS.jpg")</f>
        <v/>
      </c>
      <c r="G123" t="s"/>
      <c r="H123" t="s"/>
      <c r="I123" t="s"/>
      <c r="J123" t="n">
        <v>-0.2263</v>
      </c>
      <c r="K123" t="n">
        <v>0.216</v>
      </c>
      <c r="L123" t="n">
        <v>0.636</v>
      </c>
      <c r="M123" t="n">
        <v>0.148</v>
      </c>
    </row>
    <row r="124" spans="1:13">
      <c r="A124" s="1">
        <f>HYPERLINK("http://www.twitter.com/NathanBLawrence/status/1001370553276448768", "1001370553276448768")</f>
        <v/>
      </c>
      <c r="B124" s="2" t="n">
        <v>43249.32776620371</v>
      </c>
      <c r="C124" t="n">
        <v>0</v>
      </c>
      <c r="D124" t="n">
        <v>18081</v>
      </c>
      <c r="E124" t="s">
        <v>135</v>
      </c>
      <c r="F124">
        <f>HYPERLINK("https://video.twimg.com/ext_tw_video/1001055798867378176/pu/vid/1280x720/JVDtswkk6r4jmHXn.mp4?tag=3", "https://video.twimg.com/ext_tw_video/1001055798867378176/pu/vid/1280x720/JVDtswkk6r4jmHXn.mp4?tag=3")</f>
        <v/>
      </c>
      <c r="G124" t="s"/>
      <c r="H124" t="s"/>
      <c r="I124" t="s"/>
      <c r="J124" t="n">
        <v>0</v>
      </c>
      <c r="K124" t="n">
        <v>0</v>
      </c>
      <c r="L124" t="n">
        <v>1</v>
      </c>
      <c r="M124" t="n">
        <v>0</v>
      </c>
    </row>
    <row r="125" spans="1:13">
      <c r="A125" s="1">
        <f>HYPERLINK("http://www.twitter.com/NathanBLawrence/status/1001370533462618117", "1001370533462618117")</f>
        <v/>
      </c>
      <c r="B125" s="2" t="n">
        <v>43249.32770833333</v>
      </c>
      <c r="C125" t="n">
        <v>0</v>
      </c>
      <c r="D125" t="n">
        <v>4448</v>
      </c>
      <c r="E125" t="s">
        <v>136</v>
      </c>
      <c r="F125">
        <f>HYPERLINK("http://pbs.twimg.com/media/DePVdRBUwAAnbWD.jpg", "http://pbs.twimg.com/media/DePVdRBUwAAnbWD.jpg")</f>
        <v/>
      </c>
      <c r="G125" t="s"/>
      <c r="H125" t="s"/>
      <c r="I125" t="s"/>
      <c r="J125" t="n">
        <v>0</v>
      </c>
      <c r="K125" t="n">
        <v>0</v>
      </c>
      <c r="L125" t="n">
        <v>1</v>
      </c>
      <c r="M125" t="n">
        <v>0</v>
      </c>
    </row>
    <row r="126" spans="1:13">
      <c r="A126" s="1">
        <f>HYPERLINK("http://www.twitter.com/NathanBLawrence/status/1001369867264573441", "1001369867264573441")</f>
        <v/>
      </c>
      <c r="B126" s="2" t="n">
        <v>43249.32586805556</v>
      </c>
      <c r="C126" t="n">
        <v>0</v>
      </c>
      <c r="D126" t="n">
        <v>2204</v>
      </c>
      <c r="E126" t="s">
        <v>137</v>
      </c>
      <c r="F126">
        <f>HYPERLINK("http://pbs.twimg.com/media/DeSvr63U8AEn3tH.jpg", "http://pbs.twimg.com/media/DeSvr63U8AEn3tH.jpg")</f>
        <v/>
      </c>
      <c r="G126" t="s"/>
      <c r="H126" t="s"/>
      <c r="I126" t="s"/>
      <c r="J126" t="n">
        <v>0.126</v>
      </c>
      <c r="K126" t="n">
        <v>0.115</v>
      </c>
      <c r="L126" t="n">
        <v>0.753</v>
      </c>
      <c r="M126" t="n">
        <v>0.132</v>
      </c>
    </row>
    <row r="127" spans="1:13">
      <c r="A127" s="1">
        <f>HYPERLINK("http://www.twitter.com/NathanBLawrence/status/1001369326836854786", "1001369326836854786")</f>
        <v/>
      </c>
      <c r="B127" s="2" t="n">
        <v>43249.324375</v>
      </c>
      <c r="C127" t="n">
        <v>0</v>
      </c>
      <c r="D127" t="n">
        <v>324</v>
      </c>
      <c r="E127" t="s">
        <v>138</v>
      </c>
      <c r="F127">
        <f>HYPERLINK("http://pbs.twimg.com/media/DTWo3jkX4AYMGoT.jpg", "http://pbs.twimg.com/media/DTWo3jkX4AYMGoT.jpg")</f>
        <v/>
      </c>
      <c r="G127" t="s"/>
      <c r="H127" t="s"/>
      <c r="I127" t="s"/>
      <c r="J127" t="n">
        <v>0</v>
      </c>
      <c r="K127" t="n">
        <v>0</v>
      </c>
      <c r="L127" t="n">
        <v>1</v>
      </c>
      <c r="M127" t="n">
        <v>0</v>
      </c>
    </row>
    <row r="128" spans="1:13">
      <c r="A128" s="1">
        <f>HYPERLINK("http://www.twitter.com/NathanBLawrence/status/1001369033306914816", "1001369033306914816")</f>
        <v/>
      </c>
      <c r="B128" s="2" t="n">
        <v>43249.32356481482</v>
      </c>
      <c r="C128" t="n">
        <v>0</v>
      </c>
      <c r="D128" t="n">
        <v>326</v>
      </c>
      <c r="E128" t="s">
        <v>139</v>
      </c>
      <c r="F128" t="s"/>
      <c r="G128" t="s"/>
      <c r="H128" t="s"/>
      <c r="I128" t="s"/>
      <c r="J128" t="n">
        <v>0.8316</v>
      </c>
      <c r="K128" t="n">
        <v>0.07099999999999999</v>
      </c>
      <c r="L128" t="n">
        <v>0.609</v>
      </c>
      <c r="M128" t="n">
        <v>0.321</v>
      </c>
    </row>
    <row r="129" spans="1:13">
      <c r="A129" s="1">
        <f>HYPERLINK("http://www.twitter.com/NathanBLawrence/status/1001368432795795456", "1001368432795795456")</f>
        <v/>
      </c>
      <c r="B129" s="2" t="n">
        <v>43249.32190972222</v>
      </c>
      <c r="C129" t="n">
        <v>0</v>
      </c>
      <c r="D129" t="n">
        <v>216</v>
      </c>
      <c r="E129" t="s">
        <v>140</v>
      </c>
      <c r="F129">
        <f>HYPERLINK("http://pbs.twimg.com/media/DeVDT7BX4AABpX-.jpg", "http://pbs.twimg.com/media/DeVDT7BX4AABpX-.jpg")</f>
        <v/>
      </c>
      <c r="G129" t="s"/>
      <c r="H129" t="s"/>
      <c r="I129" t="s"/>
      <c r="J129" t="n">
        <v>-0.8316</v>
      </c>
      <c r="K129" t="n">
        <v>0.262</v>
      </c>
      <c r="L129" t="n">
        <v>0.738</v>
      </c>
      <c r="M129" t="n">
        <v>0</v>
      </c>
    </row>
    <row r="130" spans="1:13">
      <c r="A130" s="1">
        <f>HYPERLINK("http://www.twitter.com/NathanBLawrence/status/1001367662637666304", "1001367662637666304")</f>
        <v/>
      </c>
      <c r="B130" s="2" t="n">
        <v>43249.31978009259</v>
      </c>
      <c r="C130" t="n">
        <v>0</v>
      </c>
      <c r="D130" t="n">
        <v>17097</v>
      </c>
      <c r="E130" t="s">
        <v>141</v>
      </c>
      <c r="F130">
        <f>HYPERLINK("https://video.twimg.com/ext_tw_video/1001150534349451265/pu/vid/1280x720/KyfrOpKq1AMyh1fd.mp4?tag=3", "https://video.twimg.com/ext_tw_video/1001150534349451265/pu/vid/1280x720/KyfrOpKq1AMyh1fd.mp4?tag=3")</f>
        <v/>
      </c>
      <c r="G130" t="s"/>
      <c r="H130" t="s"/>
      <c r="I130" t="s"/>
      <c r="J130" t="n">
        <v>0.5574</v>
      </c>
      <c r="K130" t="n">
        <v>0.08400000000000001</v>
      </c>
      <c r="L130" t="n">
        <v>0.709</v>
      </c>
      <c r="M130" t="n">
        <v>0.206</v>
      </c>
    </row>
    <row r="131" spans="1:13">
      <c r="A131" s="1">
        <f>HYPERLINK("http://www.twitter.com/NathanBLawrence/status/1001365643491340288", "1001365643491340288")</f>
        <v/>
      </c>
      <c r="B131" s="2" t="n">
        <v>43249.31421296296</v>
      </c>
      <c r="C131" t="n">
        <v>0</v>
      </c>
      <c r="D131" t="n">
        <v>6</v>
      </c>
      <c r="E131" t="s">
        <v>142</v>
      </c>
      <c r="F131">
        <f>HYPERLINK("http://pbs.twimg.com/media/DeP1MeVVMAAFteu.jpg", "http://pbs.twimg.com/media/DeP1MeVVMAAFteu.jpg")</f>
        <v/>
      </c>
      <c r="G131" t="s"/>
      <c r="H131" t="s"/>
      <c r="I131" t="s"/>
      <c r="J131" t="n">
        <v>0</v>
      </c>
      <c r="K131" t="n">
        <v>0</v>
      </c>
      <c r="L131" t="n">
        <v>1</v>
      </c>
      <c r="M131" t="n">
        <v>0</v>
      </c>
    </row>
    <row r="132" spans="1:13">
      <c r="A132" s="1">
        <f>HYPERLINK("http://www.twitter.com/NathanBLawrence/status/1001364988282351616", "1001364988282351616")</f>
        <v/>
      </c>
      <c r="B132" s="2" t="n">
        <v>43249.31240740741</v>
      </c>
      <c r="C132" t="n">
        <v>0</v>
      </c>
      <c r="D132" t="n">
        <v>7</v>
      </c>
      <c r="E132" t="s">
        <v>143</v>
      </c>
      <c r="F132" t="s"/>
      <c r="G132" t="s"/>
      <c r="H132" t="s"/>
      <c r="I132" t="s"/>
      <c r="J132" t="n">
        <v>0</v>
      </c>
      <c r="K132" t="n">
        <v>0</v>
      </c>
      <c r="L132" t="n">
        <v>1</v>
      </c>
      <c r="M132" t="n">
        <v>0</v>
      </c>
    </row>
    <row r="133" spans="1:13">
      <c r="A133" s="1">
        <f>HYPERLINK("http://www.twitter.com/NathanBLawrence/status/1001364549226844161", "1001364549226844161")</f>
        <v/>
      </c>
      <c r="B133" s="2" t="n">
        <v>43249.31119212963</v>
      </c>
      <c r="C133" t="n">
        <v>0</v>
      </c>
      <c r="D133" t="n">
        <v>9</v>
      </c>
      <c r="E133" t="s">
        <v>144</v>
      </c>
      <c r="F133">
        <f>HYPERLINK("http://pbs.twimg.com/media/DeKapyTWsAAKjLi.jpg", "http://pbs.twimg.com/media/DeKapyTWsAAKjLi.jpg")</f>
        <v/>
      </c>
      <c r="G133" t="s"/>
      <c r="H133" t="s"/>
      <c r="I133" t="s"/>
      <c r="J133" t="n">
        <v>0</v>
      </c>
      <c r="K133" t="n">
        <v>0</v>
      </c>
      <c r="L133" t="n">
        <v>1</v>
      </c>
      <c r="M133" t="n">
        <v>0</v>
      </c>
    </row>
    <row r="134" spans="1:13">
      <c r="A134" s="1">
        <f>HYPERLINK("http://www.twitter.com/NathanBLawrence/status/1001262375620640768", "1001262375620640768")</f>
        <v/>
      </c>
      <c r="B134" s="2" t="n">
        <v>43249.02924768518</v>
      </c>
      <c r="C134" t="n">
        <v>0</v>
      </c>
      <c r="D134" t="n">
        <v>375</v>
      </c>
      <c r="E134" t="s">
        <v>145</v>
      </c>
      <c r="F134">
        <f>HYPERLINK("http://pbs.twimg.com/media/DePJYcyWkAMCSoI.jpg", "http://pbs.twimg.com/media/DePJYcyWkAMCSoI.jpg")</f>
        <v/>
      </c>
      <c r="G134" t="s"/>
      <c r="H134" t="s"/>
      <c r="I134" t="s"/>
      <c r="J134" t="n">
        <v>0.743</v>
      </c>
      <c r="K134" t="n">
        <v>0</v>
      </c>
      <c r="L134" t="n">
        <v>0.704</v>
      </c>
      <c r="M134" t="n">
        <v>0.296</v>
      </c>
    </row>
    <row r="135" spans="1:13">
      <c r="A135" s="1">
        <f>HYPERLINK("http://www.twitter.com/NathanBLawrence/status/1001262316850171910", "1001262316850171910")</f>
        <v/>
      </c>
      <c r="B135" s="2" t="n">
        <v>43249.02908564815</v>
      </c>
      <c r="C135" t="n">
        <v>0</v>
      </c>
      <c r="D135" t="n">
        <v>359</v>
      </c>
      <c r="E135" t="s">
        <v>146</v>
      </c>
      <c r="F135" t="s"/>
      <c r="G135" t="s"/>
      <c r="H135" t="s"/>
      <c r="I135" t="s"/>
      <c r="J135" t="n">
        <v>0</v>
      </c>
      <c r="K135" t="n">
        <v>0</v>
      </c>
      <c r="L135" t="n">
        <v>1</v>
      </c>
      <c r="M135" t="n">
        <v>0</v>
      </c>
    </row>
    <row r="136" spans="1:13">
      <c r="A136" s="1">
        <f>HYPERLINK("http://www.twitter.com/NathanBLawrence/status/1001262282725244928", "1001262282725244928")</f>
        <v/>
      </c>
      <c r="B136" s="2" t="n">
        <v>43249.02899305556</v>
      </c>
      <c r="C136" t="n">
        <v>0</v>
      </c>
      <c r="D136" t="n">
        <v>250</v>
      </c>
      <c r="E136" t="s">
        <v>147</v>
      </c>
      <c r="F136">
        <f>HYPERLINK("http://pbs.twimg.com/media/DeM5IcDVQAIP46S.jpg", "http://pbs.twimg.com/media/DeM5IcDVQAIP46S.jpg")</f>
        <v/>
      </c>
      <c r="G136" t="s"/>
      <c r="H136" t="s"/>
      <c r="I136" t="s"/>
      <c r="J136" t="n">
        <v>0.5106000000000001</v>
      </c>
      <c r="K136" t="n">
        <v>0</v>
      </c>
      <c r="L136" t="n">
        <v>0.87</v>
      </c>
      <c r="M136" t="n">
        <v>0.13</v>
      </c>
    </row>
    <row r="137" spans="1:13">
      <c r="A137" s="1">
        <f>HYPERLINK("http://www.twitter.com/NathanBLawrence/status/1001262230678077440", "1001262230678077440")</f>
        <v/>
      </c>
      <c r="B137" s="2" t="n">
        <v>43249.02885416667</v>
      </c>
      <c r="C137" t="n">
        <v>0</v>
      </c>
      <c r="D137" t="n">
        <v>11</v>
      </c>
      <c r="E137" t="s">
        <v>148</v>
      </c>
      <c r="F137">
        <f>HYPERLINK("http://pbs.twimg.com/media/DePYhfdXUAAl8Q1.jpg", "http://pbs.twimg.com/media/DePYhfdXUAAl8Q1.jpg")</f>
        <v/>
      </c>
      <c r="G137" t="s"/>
      <c r="H137" t="s"/>
      <c r="I137" t="s"/>
      <c r="J137" t="n">
        <v>0</v>
      </c>
      <c r="K137" t="n">
        <v>0</v>
      </c>
      <c r="L137" t="n">
        <v>1</v>
      </c>
      <c r="M137" t="n">
        <v>0</v>
      </c>
    </row>
    <row r="138" spans="1:13">
      <c r="A138" s="1">
        <f>HYPERLINK("http://www.twitter.com/NathanBLawrence/status/1001262166039646209", "1001262166039646209")</f>
        <v/>
      </c>
      <c r="B138" s="2" t="n">
        <v>43249.02866898148</v>
      </c>
      <c r="C138" t="n">
        <v>0</v>
      </c>
      <c r="D138" t="n">
        <v>3124</v>
      </c>
      <c r="E138" t="s">
        <v>149</v>
      </c>
      <c r="F138">
        <f>HYPERLINK("http://pbs.twimg.com/media/DePBZoxV4AATUfZ.jpg", "http://pbs.twimg.com/media/DePBZoxV4AATUfZ.jpg")</f>
        <v/>
      </c>
      <c r="G138">
        <f>HYPERLINK("http://pbs.twimg.com/media/DePBZo2U0AACqcj.jpg", "http://pbs.twimg.com/media/DePBZo2U0AACqcj.jpg")</f>
        <v/>
      </c>
      <c r="H138">
        <f>HYPERLINK("http://pbs.twimg.com/media/DePBZo8V0AA81hf.jpg", "http://pbs.twimg.com/media/DePBZo8V0AA81hf.jpg")</f>
        <v/>
      </c>
      <c r="I138">
        <f>HYPERLINK("http://pbs.twimg.com/media/DePBZpEU8AA9ikB.jpg", "http://pbs.twimg.com/media/DePBZpEU8AA9ikB.jpg")</f>
        <v/>
      </c>
      <c r="J138" t="n">
        <v>-0.4767</v>
      </c>
      <c r="K138" t="n">
        <v>0.119</v>
      </c>
      <c r="L138" t="n">
        <v>0.881</v>
      </c>
      <c r="M138" t="n">
        <v>0</v>
      </c>
    </row>
    <row r="139" spans="1:13">
      <c r="A139" s="1">
        <f>HYPERLINK("http://www.twitter.com/NathanBLawrence/status/1001152579399659527", "1001152579399659527")</f>
        <v/>
      </c>
      <c r="B139" s="2" t="n">
        <v>43248.72627314815</v>
      </c>
      <c r="C139" t="n">
        <v>0</v>
      </c>
      <c r="D139" t="n">
        <v>123</v>
      </c>
      <c r="E139" t="s">
        <v>150</v>
      </c>
      <c r="F139">
        <f>HYPERLINK("http://pbs.twimg.com/media/DeAEak3VAAAdYyR.jpg", "http://pbs.twimg.com/media/DeAEak3VAAAdYyR.jpg")</f>
        <v/>
      </c>
      <c r="G139" t="s"/>
      <c r="H139" t="s"/>
      <c r="I139" t="s"/>
      <c r="J139" t="n">
        <v>0.4939</v>
      </c>
      <c r="K139" t="n">
        <v>0.076</v>
      </c>
      <c r="L139" t="n">
        <v>0.763</v>
      </c>
      <c r="M139" t="n">
        <v>0.16</v>
      </c>
    </row>
    <row r="140" spans="1:13">
      <c r="A140" s="1">
        <f>HYPERLINK("http://www.twitter.com/NathanBLawrence/status/1001152181817360384", "1001152181817360384")</f>
        <v/>
      </c>
      <c r="B140" s="2" t="n">
        <v>43248.72517361111</v>
      </c>
      <c r="C140" t="n">
        <v>6</v>
      </c>
      <c r="D140" t="n">
        <v>2</v>
      </c>
      <c r="E140" t="s">
        <v>151</v>
      </c>
      <c r="F140" t="s"/>
      <c r="G140" t="s"/>
      <c r="H140" t="s"/>
      <c r="I140" t="s"/>
      <c r="J140" t="n">
        <v>0.3802</v>
      </c>
      <c r="K140" t="n">
        <v>0</v>
      </c>
      <c r="L140" t="n">
        <v>0.755</v>
      </c>
      <c r="M140" t="n">
        <v>0.245</v>
      </c>
    </row>
    <row r="141" spans="1:13">
      <c r="A141" s="1">
        <f>HYPERLINK("http://www.twitter.com/NathanBLawrence/status/1001151519331241985", "1001151519331241985")</f>
        <v/>
      </c>
      <c r="B141" s="2" t="n">
        <v>43248.7233449074</v>
      </c>
      <c r="C141" t="n">
        <v>21</v>
      </c>
      <c r="D141" t="n">
        <v>7</v>
      </c>
      <c r="E141" t="s">
        <v>152</v>
      </c>
      <c r="F141" t="s"/>
      <c r="G141" t="s"/>
      <c r="H141" t="s"/>
      <c r="I141" t="s"/>
      <c r="J141" t="n">
        <v>0.7959000000000001</v>
      </c>
      <c r="K141" t="n">
        <v>0</v>
      </c>
      <c r="L141" t="n">
        <v>0.731</v>
      </c>
      <c r="M141" t="n">
        <v>0.269</v>
      </c>
    </row>
    <row r="142" spans="1:13">
      <c r="A142" s="1">
        <f>HYPERLINK("http://www.twitter.com/NathanBLawrence/status/1001150235714842624", "1001150235714842624")</f>
        <v/>
      </c>
      <c r="B142" s="2" t="n">
        <v>43248.71980324074</v>
      </c>
      <c r="C142" t="n">
        <v>0</v>
      </c>
      <c r="D142" t="n">
        <v>10740</v>
      </c>
      <c r="E142" t="s">
        <v>153</v>
      </c>
      <c r="F142">
        <f>HYPERLINK("https://video.twimg.com/ext_tw_video/1001149251085201409/pu/vid/1280x720/OwVaT8oHFz6goooY.mp4?tag=3", "https://video.twimg.com/ext_tw_video/1001149251085201409/pu/vid/1280x720/OwVaT8oHFz6goooY.mp4?tag=3")</f>
        <v/>
      </c>
      <c r="G142" t="s"/>
      <c r="H142" t="s"/>
      <c r="I142" t="s"/>
      <c r="J142" t="n">
        <v>0.2789</v>
      </c>
      <c r="K142" t="n">
        <v>0.055</v>
      </c>
      <c r="L142" t="n">
        <v>0.844</v>
      </c>
      <c r="M142" t="n">
        <v>0.101</v>
      </c>
    </row>
    <row r="143" spans="1:13">
      <c r="A143" s="1">
        <f>HYPERLINK("http://www.twitter.com/NathanBLawrence/status/1001150195244019714", "1001150195244019714")</f>
        <v/>
      </c>
      <c r="B143" s="2" t="n">
        <v>43248.7196875</v>
      </c>
      <c r="C143" t="n">
        <v>0</v>
      </c>
      <c r="D143" t="n">
        <v>653</v>
      </c>
      <c r="E143" t="s">
        <v>154</v>
      </c>
      <c r="F143">
        <f>HYPERLINK("http://pbs.twimg.com/media/DeTKEYiWsAE-AwN.jpg", "http://pbs.twimg.com/media/DeTKEYiWsAE-AwN.jpg")</f>
        <v/>
      </c>
      <c r="G143" t="s"/>
      <c r="H143" t="s"/>
      <c r="I143" t="s"/>
      <c r="J143" t="n">
        <v>0.9393</v>
      </c>
      <c r="K143" t="n">
        <v>0</v>
      </c>
      <c r="L143" t="n">
        <v>0.549</v>
      </c>
      <c r="M143" t="n">
        <v>0.451</v>
      </c>
    </row>
    <row r="144" spans="1:13">
      <c r="A144" s="1">
        <f>HYPERLINK("http://www.twitter.com/NathanBLawrence/status/1001149937751502848", "1001149937751502848")</f>
        <v/>
      </c>
      <c r="B144" s="2" t="n">
        <v>43248.71898148148</v>
      </c>
      <c r="C144" t="n">
        <v>0</v>
      </c>
      <c r="D144" t="n">
        <v>40</v>
      </c>
      <c r="E144" t="s">
        <v>155</v>
      </c>
      <c r="F144" t="s"/>
      <c r="G144" t="s"/>
      <c r="H144" t="s"/>
      <c r="I144" t="s"/>
      <c r="J144" t="n">
        <v>0.008500000000000001</v>
      </c>
      <c r="K144" t="n">
        <v>0.131</v>
      </c>
      <c r="L144" t="n">
        <v>0.778</v>
      </c>
      <c r="M144" t="n">
        <v>0.091</v>
      </c>
    </row>
    <row r="145" spans="1:13">
      <c r="A145" s="1">
        <f>HYPERLINK("http://www.twitter.com/NathanBLawrence/status/1001148290920927232", "1001148290920927232")</f>
        <v/>
      </c>
      <c r="B145" s="2" t="n">
        <v>43248.71443287037</v>
      </c>
      <c r="C145" t="n">
        <v>0</v>
      </c>
      <c r="D145" t="n">
        <v>4059</v>
      </c>
      <c r="E145" t="s">
        <v>156</v>
      </c>
      <c r="F145" t="s"/>
      <c r="G145" t="s"/>
      <c r="H145" t="s"/>
      <c r="I145" t="s"/>
      <c r="J145" t="n">
        <v>0</v>
      </c>
      <c r="K145" t="n">
        <v>0</v>
      </c>
      <c r="L145" t="n">
        <v>1</v>
      </c>
      <c r="M145" t="n">
        <v>0</v>
      </c>
    </row>
    <row r="146" spans="1:13">
      <c r="A146" s="1">
        <f>HYPERLINK("http://www.twitter.com/NathanBLawrence/status/1001147947222949888", "1001147947222949888")</f>
        <v/>
      </c>
      <c r="B146" s="2" t="n">
        <v>43248.71348379629</v>
      </c>
      <c r="C146" t="n">
        <v>0</v>
      </c>
      <c r="D146" t="n">
        <v>575</v>
      </c>
      <c r="E146" t="s">
        <v>157</v>
      </c>
      <c r="F146">
        <f>HYPERLINK("http://pbs.twimg.com/media/DeS5k2jXUAEowBC.jpg", "http://pbs.twimg.com/media/DeS5k2jXUAEowBC.jpg")</f>
        <v/>
      </c>
      <c r="G146" t="s"/>
      <c r="H146" t="s"/>
      <c r="I146" t="s"/>
      <c r="J146" t="n">
        <v>0.4199</v>
      </c>
      <c r="K146" t="n">
        <v>0</v>
      </c>
      <c r="L146" t="n">
        <v>0.872</v>
      </c>
      <c r="M146" t="n">
        <v>0.128</v>
      </c>
    </row>
    <row r="147" spans="1:13">
      <c r="A147" s="1">
        <f>HYPERLINK("http://www.twitter.com/NathanBLawrence/status/1001147871003983874", "1001147871003983874")</f>
        <v/>
      </c>
      <c r="B147" s="2" t="n">
        <v>43248.71327546296</v>
      </c>
      <c r="C147" t="n">
        <v>0</v>
      </c>
      <c r="D147" t="n">
        <v>3526</v>
      </c>
      <c r="E147" t="s">
        <v>158</v>
      </c>
      <c r="F147">
        <f>HYPERLINK("https://video.twimg.com/amplify_video/1001128072739868672/vid/1280x720/fJ2RuD1k1n6XTlSa.mp4?tag=2", "https://video.twimg.com/amplify_video/1001128072739868672/vid/1280x720/fJ2RuD1k1n6XTlSa.mp4?tag=2")</f>
        <v/>
      </c>
      <c r="G147" t="s"/>
      <c r="H147" t="s"/>
      <c r="I147" t="s"/>
      <c r="J147" t="n">
        <v>0.4939</v>
      </c>
      <c r="K147" t="n">
        <v>0</v>
      </c>
      <c r="L147" t="n">
        <v>0.856</v>
      </c>
      <c r="M147" t="n">
        <v>0.144</v>
      </c>
    </row>
    <row r="148" spans="1:13">
      <c r="A148" s="1">
        <f>HYPERLINK("http://www.twitter.com/NathanBLawrence/status/1001147758860881920", "1001147758860881920")</f>
        <v/>
      </c>
      <c r="B148" s="2" t="n">
        <v>43248.71296296296</v>
      </c>
      <c r="C148" t="n">
        <v>0</v>
      </c>
      <c r="D148" t="n">
        <v>21747</v>
      </c>
      <c r="E148" t="s">
        <v>159</v>
      </c>
      <c r="F148" t="s"/>
      <c r="G148" t="s"/>
      <c r="H148" t="s"/>
      <c r="I148" t="s"/>
      <c r="J148" t="n">
        <v>0</v>
      </c>
      <c r="K148" t="n">
        <v>0</v>
      </c>
      <c r="L148" t="n">
        <v>1</v>
      </c>
      <c r="M148" t="n">
        <v>0</v>
      </c>
    </row>
    <row r="149" spans="1:13">
      <c r="A149" s="1">
        <f>HYPERLINK("http://www.twitter.com/NathanBLawrence/status/1001147635003146240", "1001147635003146240")</f>
        <v/>
      </c>
      <c r="B149" s="2" t="n">
        <v>43248.71262731482</v>
      </c>
      <c r="C149" t="n">
        <v>0</v>
      </c>
      <c r="D149" t="n">
        <v>922</v>
      </c>
      <c r="E149" t="s">
        <v>160</v>
      </c>
      <c r="F149" t="s"/>
      <c r="G149" t="s"/>
      <c r="H149" t="s"/>
      <c r="I149" t="s"/>
      <c r="J149" t="n">
        <v>0.9618</v>
      </c>
      <c r="K149" t="n">
        <v>0</v>
      </c>
      <c r="L149" t="n">
        <v>0.505</v>
      </c>
      <c r="M149" t="n">
        <v>0.495</v>
      </c>
    </row>
    <row r="150" spans="1:13">
      <c r="A150" s="1">
        <f>HYPERLINK("http://www.twitter.com/NathanBLawrence/status/1001147182609711104", "1001147182609711104")</f>
        <v/>
      </c>
      <c r="B150" s="2" t="n">
        <v>43248.71137731482</v>
      </c>
      <c r="C150" t="n">
        <v>0</v>
      </c>
      <c r="D150" t="n">
        <v>11</v>
      </c>
      <c r="E150" t="s">
        <v>161</v>
      </c>
      <c r="F150" t="s"/>
      <c r="G150" t="s"/>
      <c r="H150" t="s"/>
      <c r="I150" t="s"/>
      <c r="J150" t="n">
        <v>0.296</v>
      </c>
      <c r="K150" t="n">
        <v>0</v>
      </c>
      <c r="L150" t="n">
        <v>0.905</v>
      </c>
      <c r="M150" t="n">
        <v>0.095</v>
      </c>
    </row>
    <row r="151" spans="1:13">
      <c r="A151" s="1">
        <f>HYPERLINK("http://www.twitter.com/NathanBLawrence/status/1001146229193981952", "1001146229193981952")</f>
        <v/>
      </c>
      <c r="B151" s="2" t="n">
        <v>43248.70875</v>
      </c>
      <c r="C151" t="n">
        <v>0</v>
      </c>
      <c r="D151" t="n">
        <v>166</v>
      </c>
      <c r="E151" t="s">
        <v>162</v>
      </c>
      <c r="F151">
        <f>HYPERLINK("http://pbs.twimg.com/media/DeOnzLcUwAAMM0g.jpg", "http://pbs.twimg.com/media/DeOnzLcUwAAMM0g.jpg")</f>
        <v/>
      </c>
      <c r="G151" t="s"/>
      <c r="H151" t="s"/>
      <c r="I151" t="s"/>
      <c r="J151" t="n">
        <v>-0.5106000000000001</v>
      </c>
      <c r="K151" t="n">
        <v>0.155</v>
      </c>
      <c r="L151" t="n">
        <v>0.845</v>
      </c>
      <c r="M151" t="n">
        <v>0</v>
      </c>
    </row>
    <row r="152" spans="1:13">
      <c r="A152" s="1">
        <f>HYPERLINK("http://www.twitter.com/NathanBLawrence/status/1001145932073730048", "1001145932073730048")</f>
        <v/>
      </c>
      <c r="B152" s="2" t="n">
        <v>43248.70792824074</v>
      </c>
      <c r="C152" t="n">
        <v>0</v>
      </c>
      <c r="D152" t="n">
        <v>522</v>
      </c>
      <c r="E152" t="s">
        <v>163</v>
      </c>
      <c r="F152">
        <f>HYPERLINK("http://pbs.twimg.com/media/DeRa0v5VMAA79kR.jpg", "http://pbs.twimg.com/media/DeRa0v5VMAA79kR.jpg")</f>
        <v/>
      </c>
      <c r="G152" t="s"/>
      <c r="H152" t="s"/>
      <c r="I152" t="s"/>
      <c r="J152" t="n">
        <v>0.4767</v>
      </c>
      <c r="K152" t="n">
        <v>0</v>
      </c>
      <c r="L152" t="n">
        <v>0.846</v>
      </c>
      <c r="M152" t="n">
        <v>0.154</v>
      </c>
    </row>
    <row r="153" spans="1:13">
      <c r="A153" s="1">
        <f>HYPERLINK("http://www.twitter.com/NathanBLawrence/status/1001145471560138753", "1001145471560138753")</f>
        <v/>
      </c>
      <c r="B153" s="2" t="n">
        <v>43248.7066550926</v>
      </c>
      <c r="C153" t="n">
        <v>0</v>
      </c>
      <c r="D153" t="n">
        <v>332</v>
      </c>
      <c r="E153" t="s">
        <v>164</v>
      </c>
      <c r="F153">
        <f>HYPERLINK("http://pbs.twimg.com/media/DePdf3hU0AEp28H.jpg", "http://pbs.twimg.com/media/DePdf3hU0AEp28H.jpg")</f>
        <v/>
      </c>
      <c r="G153" t="s"/>
      <c r="H153" t="s"/>
      <c r="I153" t="s"/>
      <c r="J153" t="n">
        <v>0.5473</v>
      </c>
      <c r="K153" t="n">
        <v>0.061</v>
      </c>
      <c r="L153" t="n">
        <v>0.774</v>
      </c>
      <c r="M153" t="n">
        <v>0.164</v>
      </c>
    </row>
    <row r="154" spans="1:13">
      <c r="A154" s="1">
        <f>HYPERLINK("http://www.twitter.com/NathanBLawrence/status/1001145285886726145", "1001145285886726145")</f>
        <v/>
      </c>
      <c r="B154" s="2" t="n">
        <v>43248.70614583333</v>
      </c>
      <c r="C154" t="n">
        <v>0</v>
      </c>
      <c r="D154" t="n">
        <v>307</v>
      </c>
      <c r="E154" t="s">
        <v>165</v>
      </c>
      <c r="F154" t="s"/>
      <c r="G154" t="s"/>
      <c r="H154" t="s"/>
      <c r="I154" t="s"/>
      <c r="J154" t="n">
        <v>0.7695</v>
      </c>
      <c r="K154" t="n">
        <v>0</v>
      </c>
      <c r="L154" t="n">
        <v>0.718</v>
      </c>
      <c r="M154" t="n">
        <v>0.282</v>
      </c>
    </row>
    <row r="155" spans="1:13">
      <c r="A155" s="1">
        <f>HYPERLINK("http://www.twitter.com/NathanBLawrence/status/1001144766896128001", "1001144766896128001")</f>
        <v/>
      </c>
      <c r="B155" s="2" t="n">
        <v>43248.70471064815</v>
      </c>
      <c r="C155" t="n">
        <v>0</v>
      </c>
      <c r="D155" t="n">
        <v>193</v>
      </c>
      <c r="E155" t="s">
        <v>166</v>
      </c>
      <c r="F155">
        <f>HYPERLINK("http://pbs.twimg.com/media/DeSa1qJVAAASXSn.jpg", "http://pbs.twimg.com/media/DeSa1qJVAAASXSn.jpg")</f>
        <v/>
      </c>
      <c r="G155" t="s"/>
      <c r="H155" t="s"/>
      <c r="I155" t="s"/>
      <c r="J155" t="n">
        <v>0</v>
      </c>
      <c r="K155" t="n">
        <v>0</v>
      </c>
      <c r="L155" t="n">
        <v>1</v>
      </c>
      <c r="M155" t="n">
        <v>0</v>
      </c>
    </row>
    <row r="156" spans="1:13">
      <c r="A156" s="1">
        <f>HYPERLINK("http://www.twitter.com/NathanBLawrence/status/1001144668267073537", "1001144668267073537")</f>
        <v/>
      </c>
      <c r="B156" s="2" t="n">
        <v>43248.70443287037</v>
      </c>
      <c r="C156" t="n">
        <v>0</v>
      </c>
      <c r="D156" t="n">
        <v>579</v>
      </c>
      <c r="E156" t="s">
        <v>167</v>
      </c>
      <c r="F156">
        <f>HYPERLINK("http://pbs.twimg.com/media/DeR3-SzWkAUrrMq.jpg", "http://pbs.twimg.com/media/DeR3-SzWkAUrrMq.jpg")</f>
        <v/>
      </c>
      <c r="G156" t="s"/>
      <c r="H156" t="s"/>
      <c r="I156" t="s"/>
      <c r="J156" t="n">
        <v>0</v>
      </c>
      <c r="K156" t="n">
        <v>0</v>
      </c>
      <c r="L156" t="n">
        <v>1</v>
      </c>
      <c r="M156" t="n">
        <v>0</v>
      </c>
    </row>
    <row r="157" spans="1:13">
      <c r="A157" s="1">
        <f>HYPERLINK("http://www.twitter.com/NathanBLawrence/status/1001144630547660800", "1001144630547660800")</f>
        <v/>
      </c>
      <c r="B157" s="2" t="n">
        <v>43248.7043287037</v>
      </c>
      <c r="C157" t="n">
        <v>0</v>
      </c>
      <c r="D157" t="n">
        <v>11</v>
      </c>
      <c r="E157" t="s">
        <v>168</v>
      </c>
      <c r="F157">
        <f>HYPERLINK("http://pbs.twimg.com/media/DeSDDluVwAUXixh.jpg", "http://pbs.twimg.com/media/DeSDDluVwAUXixh.jpg")</f>
        <v/>
      </c>
      <c r="G157" t="s"/>
      <c r="H157" t="s"/>
      <c r="I157" t="s"/>
      <c r="J157" t="n">
        <v>-0.5473</v>
      </c>
      <c r="K157" t="n">
        <v>0.144</v>
      </c>
      <c r="L157" t="n">
        <v>0.856</v>
      </c>
      <c r="M157" t="n">
        <v>0</v>
      </c>
    </row>
    <row r="158" spans="1:13">
      <c r="A158" s="1">
        <f>HYPERLINK("http://www.twitter.com/NathanBLawrence/status/1001144509600747520", "1001144509600747520")</f>
        <v/>
      </c>
      <c r="B158" s="2" t="n">
        <v>43248.70400462963</v>
      </c>
      <c r="C158" t="n">
        <v>0</v>
      </c>
      <c r="D158" t="n">
        <v>264</v>
      </c>
      <c r="E158" t="s">
        <v>169</v>
      </c>
      <c r="F158">
        <f>HYPERLINK("http://pbs.twimg.com/media/DeR8nJxU8AANGnB.jpg", "http://pbs.twimg.com/media/DeR8nJxU8AANGnB.jpg")</f>
        <v/>
      </c>
      <c r="G158" t="s"/>
      <c r="H158" t="s"/>
      <c r="I158" t="s"/>
      <c r="J158" t="n">
        <v>0.3612</v>
      </c>
      <c r="K158" t="n">
        <v>0</v>
      </c>
      <c r="L158" t="n">
        <v>0.8</v>
      </c>
      <c r="M158" t="n">
        <v>0.2</v>
      </c>
    </row>
    <row r="159" spans="1:13">
      <c r="A159" s="1">
        <f>HYPERLINK("http://www.twitter.com/NathanBLawrence/status/1001144365723533312", "1001144365723533312")</f>
        <v/>
      </c>
      <c r="B159" s="2" t="n">
        <v>43248.70359953704</v>
      </c>
      <c r="C159" t="n">
        <v>0</v>
      </c>
      <c r="D159" t="n">
        <v>2743</v>
      </c>
      <c r="E159" t="s">
        <v>170</v>
      </c>
      <c r="F159">
        <f>HYPERLINK("https://video.twimg.com/amplify_video/1000945453184274432/vid/720x720/Ok0Vq5kIfy708Vin.mp4?tag=2", "https://video.twimg.com/amplify_video/1000945453184274432/vid/720x720/Ok0Vq5kIfy708Vin.mp4?tag=2")</f>
        <v/>
      </c>
      <c r="G159" t="s"/>
      <c r="H159" t="s"/>
      <c r="I159" t="s"/>
      <c r="J159" t="n">
        <v>0.7003</v>
      </c>
      <c r="K159" t="n">
        <v>0.09</v>
      </c>
      <c r="L159" t="n">
        <v>0.647</v>
      </c>
      <c r="M159" t="n">
        <v>0.263</v>
      </c>
    </row>
    <row r="160" spans="1:13">
      <c r="A160" s="1">
        <f>HYPERLINK("http://www.twitter.com/NathanBLawrence/status/1001144323025526785", "1001144323025526785")</f>
        <v/>
      </c>
      <c r="B160" s="2" t="n">
        <v>43248.70348379629</v>
      </c>
      <c r="C160" t="n">
        <v>0</v>
      </c>
      <c r="D160" t="n">
        <v>340</v>
      </c>
      <c r="E160" t="s">
        <v>171</v>
      </c>
      <c r="F160">
        <f>HYPERLINK("http://pbs.twimg.com/media/DeRxSM7XcAA-Ppp.jpg", "http://pbs.twimg.com/media/DeRxSM7XcAA-Ppp.jpg")</f>
        <v/>
      </c>
      <c r="G160" t="s"/>
      <c r="H160" t="s"/>
      <c r="I160" t="s"/>
      <c r="J160" t="n">
        <v>0.4767</v>
      </c>
      <c r="K160" t="n">
        <v>0</v>
      </c>
      <c r="L160" t="n">
        <v>0.829</v>
      </c>
      <c r="M160" t="n">
        <v>0.171</v>
      </c>
    </row>
    <row r="161" spans="1:13">
      <c r="A161" s="1">
        <f>HYPERLINK("http://www.twitter.com/NathanBLawrence/status/1001143969676312576", "1001143969676312576")</f>
        <v/>
      </c>
      <c r="B161" s="2" t="n">
        <v>43248.70251157408</v>
      </c>
      <c r="C161" t="n">
        <v>0</v>
      </c>
      <c r="D161" t="n">
        <v>228</v>
      </c>
      <c r="E161" t="s">
        <v>172</v>
      </c>
      <c r="F161">
        <f>HYPERLINK("http://pbs.twimg.com/media/DeSPvxIVQAEI-JB.jpg", "http://pbs.twimg.com/media/DeSPvxIVQAEI-JB.jpg")</f>
        <v/>
      </c>
      <c r="G161" t="s"/>
      <c r="H161" t="s"/>
      <c r="I161" t="s"/>
      <c r="J161" t="n">
        <v>0.8955</v>
      </c>
      <c r="K161" t="n">
        <v>0</v>
      </c>
      <c r="L161" t="n">
        <v>0.543</v>
      </c>
      <c r="M161" t="n">
        <v>0.457</v>
      </c>
    </row>
    <row r="162" spans="1:13">
      <c r="A162" s="1">
        <f>HYPERLINK("http://www.twitter.com/NathanBLawrence/status/1001143847622082560", "1001143847622082560")</f>
        <v/>
      </c>
      <c r="B162" s="2" t="n">
        <v>43248.70217592592</v>
      </c>
      <c r="C162" t="n">
        <v>0</v>
      </c>
      <c r="D162" t="n">
        <v>3835</v>
      </c>
      <c r="E162" t="s">
        <v>173</v>
      </c>
      <c r="F162">
        <f>HYPERLINK("http://pbs.twimg.com/media/DeSU12lU8AEAfoA.jpg", "http://pbs.twimg.com/media/DeSU12lU8AEAfoA.jpg")</f>
        <v/>
      </c>
      <c r="G162" t="s"/>
      <c r="H162" t="s"/>
      <c r="I162" t="s"/>
      <c r="J162" t="n">
        <v>-0.5707</v>
      </c>
      <c r="K162" t="n">
        <v>0.299</v>
      </c>
      <c r="L162" t="n">
        <v>0.701</v>
      </c>
      <c r="M162" t="n">
        <v>0</v>
      </c>
    </row>
    <row r="163" spans="1:13">
      <c r="A163" s="1">
        <f>HYPERLINK("http://www.twitter.com/NathanBLawrence/status/1001143737093771264", "1001143737093771264")</f>
        <v/>
      </c>
      <c r="B163" s="2" t="n">
        <v>43248.70186342593</v>
      </c>
      <c r="C163" t="n">
        <v>0</v>
      </c>
      <c r="D163" t="n">
        <v>318</v>
      </c>
      <c r="E163" t="s">
        <v>174</v>
      </c>
      <c r="F163" t="s"/>
      <c r="G163" t="s"/>
      <c r="H163" t="s"/>
      <c r="I163" t="s"/>
      <c r="J163" t="n">
        <v>0.0772</v>
      </c>
      <c r="K163" t="n">
        <v>0.141</v>
      </c>
      <c r="L163" t="n">
        <v>0.74</v>
      </c>
      <c r="M163" t="n">
        <v>0.119</v>
      </c>
    </row>
    <row r="164" spans="1:13">
      <c r="A164" s="1">
        <f>HYPERLINK("http://www.twitter.com/NathanBLawrence/status/1001143641149091841", "1001143641149091841")</f>
        <v/>
      </c>
      <c r="B164" s="2" t="n">
        <v>43248.7016087963</v>
      </c>
      <c r="C164" t="n">
        <v>0</v>
      </c>
      <c r="D164" t="n">
        <v>2252</v>
      </c>
      <c r="E164" t="s">
        <v>175</v>
      </c>
      <c r="F164">
        <f>HYPERLINK("http://pbs.twimg.com/media/DeSKDGIVwAIxiJt.jpg", "http://pbs.twimg.com/media/DeSKDGIVwAIxiJt.jpg")</f>
        <v/>
      </c>
      <c r="G164" t="s"/>
      <c r="H164" t="s"/>
      <c r="I164" t="s"/>
      <c r="J164" t="n">
        <v>0.8225</v>
      </c>
      <c r="K164" t="n">
        <v>0</v>
      </c>
      <c r="L164" t="n">
        <v>0.714</v>
      </c>
      <c r="M164" t="n">
        <v>0.286</v>
      </c>
    </row>
    <row r="165" spans="1:13">
      <c r="A165" s="1">
        <f>HYPERLINK("http://www.twitter.com/NathanBLawrence/status/1001143574971404288", "1001143574971404288")</f>
        <v/>
      </c>
      <c r="B165" s="2" t="n">
        <v>43248.70142361111</v>
      </c>
      <c r="C165" t="n">
        <v>0</v>
      </c>
      <c r="D165" t="n">
        <v>8544</v>
      </c>
      <c r="E165" t="s">
        <v>176</v>
      </c>
      <c r="F165" t="s"/>
      <c r="G165" t="s"/>
      <c r="H165" t="s"/>
      <c r="I165" t="s"/>
      <c r="J165" t="n">
        <v>0</v>
      </c>
      <c r="K165" t="n">
        <v>0</v>
      </c>
      <c r="L165" t="n">
        <v>1</v>
      </c>
      <c r="M165" t="n">
        <v>0</v>
      </c>
    </row>
    <row r="166" spans="1:13">
      <c r="A166" s="1">
        <f>HYPERLINK("http://www.twitter.com/NathanBLawrence/status/1001143533015678976", "1001143533015678976")</f>
        <v/>
      </c>
      <c r="B166" s="2" t="n">
        <v>43248.70130787037</v>
      </c>
      <c r="C166" t="n">
        <v>0</v>
      </c>
      <c r="D166" t="n">
        <v>27149</v>
      </c>
      <c r="E166" t="s">
        <v>177</v>
      </c>
      <c r="F166" t="s"/>
      <c r="G166" t="s"/>
      <c r="H166" t="s"/>
      <c r="I166" t="s"/>
      <c r="J166" t="n">
        <v>0.9319</v>
      </c>
      <c r="K166" t="n">
        <v>0.09</v>
      </c>
      <c r="L166" t="n">
        <v>0.473</v>
      </c>
      <c r="M166" t="n">
        <v>0.437</v>
      </c>
    </row>
    <row r="167" spans="1:13">
      <c r="A167" s="1">
        <f>HYPERLINK("http://www.twitter.com/NathanBLawrence/status/1000990158651514881", "1000990158651514881")</f>
        <v/>
      </c>
      <c r="B167" s="2" t="n">
        <v>43248.27806712963</v>
      </c>
      <c r="C167" t="n">
        <v>0</v>
      </c>
      <c r="D167" t="n">
        <v>596</v>
      </c>
      <c r="E167" t="s">
        <v>178</v>
      </c>
      <c r="F167">
        <f>HYPERLINK("http://pbs.twimg.com/media/DeOf1RVV0AADDIh.jpg", "http://pbs.twimg.com/media/DeOf1RVV0AADDIh.jpg")</f>
        <v/>
      </c>
      <c r="G167" t="s"/>
      <c r="H167" t="s"/>
      <c r="I167" t="s"/>
      <c r="J167" t="n">
        <v>0.4926</v>
      </c>
      <c r="K167" t="n">
        <v>0</v>
      </c>
      <c r="L167" t="n">
        <v>0.8139999999999999</v>
      </c>
      <c r="M167" t="n">
        <v>0.186</v>
      </c>
    </row>
    <row r="168" spans="1:13">
      <c r="A168" s="1">
        <f>HYPERLINK("http://www.twitter.com/NathanBLawrence/status/1000990034445484032", "1000990034445484032")</f>
        <v/>
      </c>
      <c r="B168" s="2" t="n">
        <v>43248.27773148148</v>
      </c>
      <c r="C168" t="n">
        <v>0</v>
      </c>
      <c r="D168" t="n">
        <v>113</v>
      </c>
      <c r="E168" t="s">
        <v>179</v>
      </c>
      <c r="F168" t="s"/>
      <c r="G168" t="s"/>
      <c r="H168" t="s"/>
      <c r="I168" t="s"/>
      <c r="J168" t="n">
        <v>0.8345</v>
      </c>
      <c r="K168" t="n">
        <v>0</v>
      </c>
      <c r="L168" t="n">
        <v>0.696</v>
      </c>
      <c r="M168" t="n">
        <v>0.304</v>
      </c>
    </row>
    <row r="169" spans="1:13">
      <c r="A169" s="1">
        <f>HYPERLINK("http://www.twitter.com/NathanBLawrence/status/1000989912030593024", "1000989912030593024")</f>
        <v/>
      </c>
      <c r="B169" s="2" t="n">
        <v>43248.27739583333</v>
      </c>
      <c r="C169" t="n">
        <v>0</v>
      </c>
      <c r="D169" t="n">
        <v>84</v>
      </c>
      <c r="E169" t="s">
        <v>180</v>
      </c>
      <c r="F169">
        <f>HYPERLINK("http://pbs.twimg.com/media/DeQ6Fk3VwAA5wan.jpg", "http://pbs.twimg.com/media/DeQ6Fk3VwAA5wan.jpg")</f>
        <v/>
      </c>
      <c r="G169" t="s"/>
      <c r="H169" t="s"/>
      <c r="I169" t="s"/>
      <c r="J169" t="n">
        <v>0.2263</v>
      </c>
      <c r="K169" t="n">
        <v>0.08400000000000001</v>
      </c>
      <c r="L169" t="n">
        <v>0.798</v>
      </c>
      <c r="M169" t="n">
        <v>0.118</v>
      </c>
    </row>
    <row r="170" spans="1:13">
      <c r="A170" s="1">
        <f>HYPERLINK("http://www.twitter.com/NathanBLawrence/status/1000989373272211456", "1000989373272211456")</f>
        <v/>
      </c>
      <c r="B170" s="2" t="n">
        <v>43248.27590277778</v>
      </c>
      <c r="C170" t="n">
        <v>0</v>
      </c>
      <c r="D170" t="n">
        <v>3</v>
      </c>
      <c r="E170" t="s">
        <v>181</v>
      </c>
      <c r="F170" t="s"/>
      <c r="G170" t="s"/>
      <c r="H170" t="s"/>
      <c r="I170" t="s"/>
      <c r="J170" t="n">
        <v>0</v>
      </c>
      <c r="K170" t="n">
        <v>0</v>
      </c>
      <c r="L170" t="n">
        <v>1</v>
      </c>
      <c r="M170" t="n">
        <v>0</v>
      </c>
    </row>
    <row r="171" spans="1:13">
      <c r="A171" s="1">
        <f>HYPERLINK("http://www.twitter.com/NathanBLawrence/status/1000988456397324289", "1000988456397324289")</f>
        <v/>
      </c>
      <c r="B171" s="2" t="n">
        <v>43248.27337962963</v>
      </c>
      <c r="C171" t="n">
        <v>0</v>
      </c>
      <c r="D171" t="n">
        <v>5125</v>
      </c>
      <c r="E171" t="s">
        <v>182</v>
      </c>
      <c r="F171" t="s"/>
      <c r="G171" t="s"/>
      <c r="H171" t="s"/>
      <c r="I171" t="s"/>
      <c r="J171" t="n">
        <v>-0.5367</v>
      </c>
      <c r="K171" t="n">
        <v>0.142</v>
      </c>
      <c r="L171" t="n">
        <v>0.858</v>
      </c>
      <c r="M171" t="n">
        <v>0</v>
      </c>
    </row>
    <row r="172" spans="1:13">
      <c r="A172" s="1">
        <f>HYPERLINK("http://www.twitter.com/NathanBLawrence/status/1000987841676087296", "1000987841676087296")</f>
        <v/>
      </c>
      <c r="B172" s="2" t="n">
        <v>43248.27167824074</v>
      </c>
      <c r="C172" t="n">
        <v>0</v>
      </c>
      <c r="D172" t="n">
        <v>5602</v>
      </c>
      <c r="E172" t="s">
        <v>183</v>
      </c>
      <c r="F172">
        <f>HYPERLINK("http://pbs.twimg.com/media/DePex6CVQAETit5.jpg", "http://pbs.twimg.com/media/DePex6CVQAETit5.jpg")</f>
        <v/>
      </c>
      <c r="G172" t="s"/>
      <c r="H172" t="s"/>
      <c r="I172" t="s"/>
      <c r="J172" t="n">
        <v>0</v>
      </c>
      <c r="K172" t="n">
        <v>0</v>
      </c>
      <c r="L172" t="n">
        <v>1</v>
      </c>
      <c r="M172" t="n">
        <v>0</v>
      </c>
    </row>
    <row r="173" spans="1:13">
      <c r="A173" s="1">
        <f>HYPERLINK("http://www.twitter.com/NathanBLawrence/status/1000987195144990721", "1000987195144990721")</f>
        <v/>
      </c>
      <c r="B173" s="2" t="n">
        <v>43248.26989583333</v>
      </c>
      <c r="C173" t="n">
        <v>0</v>
      </c>
      <c r="D173" t="n">
        <v>542</v>
      </c>
      <c r="E173" t="s">
        <v>184</v>
      </c>
      <c r="F173" t="s"/>
      <c r="G173" t="s"/>
      <c r="H173" t="s"/>
      <c r="I173" t="s"/>
      <c r="J173" t="n">
        <v>0.6249</v>
      </c>
      <c r="K173" t="n">
        <v>0</v>
      </c>
      <c r="L173" t="n">
        <v>0.6870000000000001</v>
      </c>
      <c r="M173" t="n">
        <v>0.313</v>
      </c>
    </row>
    <row r="174" spans="1:13">
      <c r="A174" s="1">
        <f>HYPERLINK("http://www.twitter.com/NathanBLawrence/status/1000986729812082689", "1000986729812082689")</f>
        <v/>
      </c>
      <c r="B174" s="2" t="n">
        <v>43248.26861111111</v>
      </c>
      <c r="C174" t="n">
        <v>0</v>
      </c>
      <c r="D174" t="n">
        <v>3705</v>
      </c>
      <c r="E174" t="s">
        <v>185</v>
      </c>
      <c r="F174">
        <f>HYPERLINK("https://video.twimg.com/amplify_video/1000688677612347392/vid/1280x720/xuwjHsB9pA65P71T.mp4?tag=2", "https://video.twimg.com/amplify_video/1000688677612347392/vid/1280x720/xuwjHsB9pA65P71T.mp4?tag=2")</f>
        <v/>
      </c>
      <c r="G174" t="s"/>
      <c r="H174" t="s"/>
      <c r="I174" t="s"/>
      <c r="J174" t="n">
        <v>0.4215</v>
      </c>
      <c r="K174" t="n">
        <v>0</v>
      </c>
      <c r="L174" t="n">
        <v>0.858</v>
      </c>
      <c r="M174" t="n">
        <v>0.142</v>
      </c>
    </row>
    <row r="175" spans="1:13">
      <c r="A175" s="1">
        <f>HYPERLINK("http://www.twitter.com/NathanBLawrence/status/1000986640272117760", "1000986640272117760")</f>
        <v/>
      </c>
      <c r="B175" s="2" t="n">
        <v>43248.26836805556</v>
      </c>
      <c r="C175" t="n">
        <v>0</v>
      </c>
      <c r="D175" t="n">
        <v>608</v>
      </c>
      <c r="E175" t="s">
        <v>186</v>
      </c>
      <c r="F175">
        <f>HYPERLINK("http://pbs.twimg.com/media/DePm3PDX4AIEwwt.jpg", "http://pbs.twimg.com/media/DePm3PDX4AIEwwt.jpg")</f>
        <v/>
      </c>
      <c r="G175" t="s"/>
      <c r="H175" t="s"/>
      <c r="I175" t="s"/>
      <c r="J175" t="n">
        <v>-0.5729</v>
      </c>
      <c r="K175" t="n">
        <v>0.23</v>
      </c>
      <c r="L175" t="n">
        <v>0.672</v>
      </c>
      <c r="M175" t="n">
        <v>0.099</v>
      </c>
    </row>
    <row r="176" spans="1:13">
      <c r="A176" s="1">
        <f>HYPERLINK("http://www.twitter.com/NathanBLawrence/status/1000986568201392128", "1000986568201392128")</f>
        <v/>
      </c>
      <c r="B176" s="2" t="n">
        <v>43248.26815972223</v>
      </c>
      <c r="C176" t="n">
        <v>0</v>
      </c>
      <c r="D176" t="n">
        <v>12520</v>
      </c>
      <c r="E176" t="s">
        <v>187</v>
      </c>
      <c r="F176" t="s"/>
      <c r="G176" t="s"/>
      <c r="H176" t="s"/>
      <c r="I176" t="s"/>
      <c r="J176" t="n">
        <v>-0.7096</v>
      </c>
      <c r="K176" t="n">
        <v>0.247</v>
      </c>
      <c r="L176" t="n">
        <v>0.753</v>
      </c>
      <c r="M176" t="n">
        <v>0</v>
      </c>
    </row>
    <row r="177" spans="1:13">
      <c r="A177" s="1">
        <f>HYPERLINK("http://www.twitter.com/NathanBLawrence/status/1000986084937842688", "1000986084937842688")</f>
        <v/>
      </c>
      <c r="B177" s="2" t="n">
        <v>43248.2668287037</v>
      </c>
      <c r="C177" t="n">
        <v>0</v>
      </c>
      <c r="D177" t="n">
        <v>177</v>
      </c>
      <c r="E177" t="s">
        <v>188</v>
      </c>
      <c r="F177">
        <f>HYPERLINK("http://pbs.twimg.com/media/DePdgs5WsAEBLZ6.jpg", "http://pbs.twimg.com/media/DePdgs5WsAEBLZ6.jpg")</f>
        <v/>
      </c>
      <c r="G177" t="s"/>
      <c r="H177" t="s"/>
      <c r="I177" t="s"/>
      <c r="J177" t="n">
        <v>0.4404</v>
      </c>
      <c r="K177" t="n">
        <v>0</v>
      </c>
      <c r="L177" t="n">
        <v>0.674</v>
      </c>
      <c r="M177" t="n">
        <v>0.326</v>
      </c>
    </row>
    <row r="178" spans="1:13">
      <c r="A178" s="1">
        <f>HYPERLINK("http://www.twitter.com/NathanBLawrence/status/1000985506102951937", "1000985506102951937")</f>
        <v/>
      </c>
      <c r="B178" s="2" t="n">
        <v>43248.26523148148</v>
      </c>
      <c r="C178" t="n">
        <v>0</v>
      </c>
      <c r="D178" t="n">
        <v>4254</v>
      </c>
      <c r="E178" t="s">
        <v>189</v>
      </c>
      <c r="F178" t="s"/>
      <c r="G178" t="s"/>
      <c r="H178" t="s"/>
      <c r="I178" t="s"/>
      <c r="J178" t="n">
        <v>0.6124000000000001</v>
      </c>
      <c r="K178" t="n">
        <v>0</v>
      </c>
      <c r="L178" t="n">
        <v>0.75</v>
      </c>
      <c r="M178" t="n">
        <v>0.25</v>
      </c>
    </row>
    <row r="179" spans="1:13">
      <c r="A179" s="1">
        <f>HYPERLINK("http://www.twitter.com/NathanBLawrence/status/1000984102370066432", "1000984102370066432")</f>
        <v/>
      </c>
      <c r="B179" s="2" t="n">
        <v>43248.26136574074</v>
      </c>
      <c r="C179" t="n">
        <v>0</v>
      </c>
      <c r="D179" t="n">
        <v>2857</v>
      </c>
      <c r="E179" t="s">
        <v>190</v>
      </c>
      <c r="F179" t="s"/>
      <c r="G179" t="s"/>
      <c r="H179" t="s"/>
      <c r="I179" t="s"/>
      <c r="J179" t="n">
        <v>-0.6486</v>
      </c>
      <c r="K179" t="n">
        <v>0.193</v>
      </c>
      <c r="L179" t="n">
        <v>0.8070000000000001</v>
      </c>
      <c r="M179" t="n">
        <v>0</v>
      </c>
    </row>
    <row r="180" spans="1:13">
      <c r="A180" s="1">
        <f>HYPERLINK("http://www.twitter.com/NathanBLawrence/status/1000983805753155584", "1000983805753155584")</f>
        <v/>
      </c>
      <c r="B180" s="2" t="n">
        <v>43248.26054398148</v>
      </c>
      <c r="C180" t="n">
        <v>0</v>
      </c>
      <c r="D180" t="n">
        <v>162</v>
      </c>
      <c r="E180" t="s">
        <v>191</v>
      </c>
      <c r="F180">
        <f>HYPERLINK("http://pbs.twimg.com/media/DePkJQkU8AAtzQp.jpg", "http://pbs.twimg.com/media/DePkJQkU8AAtzQp.jpg")</f>
        <v/>
      </c>
      <c r="G180" t="s"/>
      <c r="H180" t="s"/>
      <c r="I180" t="s"/>
      <c r="J180" t="n">
        <v>0.6239</v>
      </c>
      <c r="K180" t="n">
        <v>0.09</v>
      </c>
      <c r="L180" t="n">
        <v>0.662</v>
      </c>
      <c r="M180" t="n">
        <v>0.249</v>
      </c>
    </row>
    <row r="181" spans="1:13">
      <c r="A181" s="1">
        <f>HYPERLINK("http://www.twitter.com/NathanBLawrence/status/1000924852763545601", "1000924852763545601")</f>
        <v/>
      </c>
      <c r="B181" s="2" t="n">
        <v>43248.0978587963</v>
      </c>
      <c r="C181" t="n">
        <v>0</v>
      </c>
      <c r="D181" t="n">
        <v>486</v>
      </c>
      <c r="E181" t="s">
        <v>192</v>
      </c>
      <c r="F181">
        <f>HYPERLINK("http://pbs.twimg.com/media/DeNqoS2U8AAEK5N.jpg", "http://pbs.twimg.com/media/DeNqoS2U8AAEK5N.jpg")</f>
        <v/>
      </c>
      <c r="G181" t="s"/>
      <c r="H181" t="s"/>
      <c r="I181" t="s"/>
      <c r="J181" t="n">
        <v>0.3804</v>
      </c>
      <c r="K181" t="n">
        <v>0</v>
      </c>
      <c r="L181" t="n">
        <v>0.885</v>
      </c>
      <c r="M181" t="n">
        <v>0.115</v>
      </c>
    </row>
    <row r="182" spans="1:13">
      <c r="A182" s="1">
        <f>HYPERLINK("http://www.twitter.com/NathanBLawrence/status/1000924502996348929", "1000924502996348929")</f>
        <v/>
      </c>
      <c r="B182" s="2" t="n">
        <v>43248.09689814815</v>
      </c>
      <c r="C182" t="n">
        <v>0</v>
      </c>
      <c r="D182" t="n">
        <v>1392</v>
      </c>
      <c r="E182" t="s">
        <v>193</v>
      </c>
      <c r="F182" t="s"/>
      <c r="G182" t="s"/>
      <c r="H182" t="s"/>
      <c r="I182" t="s"/>
      <c r="J182" t="n">
        <v>-0.6917</v>
      </c>
      <c r="K182" t="n">
        <v>0.176</v>
      </c>
      <c r="L182" t="n">
        <v>0.824</v>
      </c>
      <c r="M182" t="n">
        <v>0</v>
      </c>
    </row>
    <row r="183" spans="1:13">
      <c r="A183" s="1">
        <f>HYPERLINK("http://www.twitter.com/NathanBLawrence/status/1000924252030222336", "1000924252030222336")</f>
        <v/>
      </c>
      <c r="B183" s="2" t="n">
        <v>43248.0962037037</v>
      </c>
      <c r="C183" t="n">
        <v>0</v>
      </c>
      <c r="D183" t="n">
        <v>290</v>
      </c>
      <c r="E183" t="s">
        <v>194</v>
      </c>
      <c r="F183" t="s"/>
      <c r="G183" t="s"/>
      <c r="H183" t="s"/>
      <c r="I183" t="s"/>
      <c r="J183" t="n">
        <v>0</v>
      </c>
      <c r="K183" t="n">
        <v>0</v>
      </c>
      <c r="L183" t="n">
        <v>1</v>
      </c>
      <c r="M183" t="n">
        <v>0</v>
      </c>
    </row>
    <row r="184" spans="1:13">
      <c r="A184" s="1">
        <f>HYPERLINK("http://www.twitter.com/NathanBLawrence/status/1000922649344790528", "1000922649344790528")</f>
        <v/>
      </c>
      <c r="B184" s="2" t="n">
        <v>43248.09178240741</v>
      </c>
      <c r="C184" t="n">
        <v>8</v>
      </c>
      <c r="D184" t="n">
        <v>1</v>
      </c>
      <c r="E184" t="s">
        <v>195</v>
      </c>
      <c r="F184">
        <f>HYPERLINK("http://pbs.twimg.com/media/DeP92DlWkAAClhY.jpg", "http://pbs.twimg.com/media/DeP92DlWkAAClhY.jpg")</f>
        <v/>
      </c>
      <c r="G184" t="s"/>
      <c r="H184" t="s"/>
      <c r="I184" t="s"/>
      <c r="J184" t="n">
        <v>0</v>
      </c>
      <c r="K184" t="n">
        <v>0</v>
      </c>
      <c r="L184" t="n">
        <v>1</v>
      </c>
      <c r="M184" t="n">
        <v>0</v>
      </c>
    </row>
    <row r="185" spans="1:13">
      <c r="A185" s="1">
        <f>HYPERLINK("http://www.twitter.com/NathanBLawrence/status/1000883931997065216", "1000883931997065216")</f>
        <v/>
      </c>
      <c r="B185" s="2" t="n">
        <v>43247.98494212963</v>
      </c>
      <c r="C185" t="n">
        <v>0</v>
      </c>
      <c r="D185" t="n">
        <v>350</v>
      </c>
      <c r="E185" t="s">
        <v>196</v>
      </c>
      <c r="F185">
        <f>HYPERLINK("http://pbs.twimg.com/media/DeOAbugW0AE09DQ.jpg", "http://pbs.twimg.com/media/DeOAbugW0AE09DQ.jpg")</f>
        <v/>
      </c>
      <c r="G185" t="s"/>
      <c r="H185" t="s"/>
      <c r="I185" t="s"/>
      <c r="J185" t="n">
        <v>0.6369</v>
      </c>
      <c r="K185" t="n">
        <v>0</v>
      </c>
      <c r="L185" t="n">
        <v>0.833</v>
      </c>
      <c r="M185" t="n">
        <v>0.167</v>
      </c>
    </row>
    <row r="186" spans="1:13">
      <c r="A186" s="1">
        <f>HYPERLINK("http://www.twitter.com/NathanBLawrence/status/1000883897658327041", "1000883897658327041")</f>
        <v/>
      </c>
      <c r="B186" s="2" t="n">
        <v>43247.98484953704</v>
      </c>
      <c r="C186" t="n">
        <v>0</v>
      </c>
      <c r="D186" t="n">
        <v>31</v>
      </c>
      <c r="E186" t="s">
        <v>197</v>
      </c>
      <c r="F186">
        <f>HYPERLINK("http://pbs.twimg.com/media/DdpBRqQU8AMhGFm.jpg", "http://pbs.twimg.com/media/DdpBRqQU8AMhGFm.jpg")</f>
        <v/>
      </c>
      <c r="G186" t="s"/>
      <c r="H186" t="s"/>
      <c r="I186" t="s"/>
      <c r="J186" t="n">
        <v>-0.1027</v>
      </c>
      <c r="K186" t="n">
        <v>0.109</v>
      </c>
      <c r="L186" t="n">
        <v>0.797</v>
      </c>
      <c r="M186" t="n">
        <v>0.094</v>
      </c>
    </row>
    <row r="187" spans="1:13">
      <c r="A187" s="1">
        <f>HYPERLINK("http://www.twitter.com/NathanBLawrence/status/1000883848505315329", "1000883848505315329")</f>
        <v/>
      </c>
      <c r="B187" s="2" t="n">
        <v>43247.98471064815</v>
      </c>
      <c r="C187" t="n">
        <v>0</v>
      </c>
      <c r="D187" t="n">
        <v>319</v>
      </c>
      <c r="E187" t="s">
        <v>198</v>
      </c>
      <c r="F187">
        <f>HYPERLINK("https://video.twimg.com/ext_tw_video/1000856748872224768/pu/vid/720x720/WhX_6sipRLNtoZww.mp4?tag=3", "https://video.twimg.com/ext_tw_video/1000856748872224768/pu/vid/720x720/WhX_6sipRLNtoZww.mp4?tag=3")</f>
        <v/>
      </c>
      <c r="G187" t="s"/>
      <c r="H187" t="s"/>
      <c r="I187" t="s"/>
      <c r="J187" t="n">
        <v>0</v>
      </c>
      <c r="K187" t="n">
        <v>0</v>
      </c>
      <c r="L187" t="n">
        <v>1</v>
      </c>
      <c r="M187" t="n">
        <v>0</v>
      </c>
    </row>
    <row r="188" spans="1:13">
      <c r="A188" s="1">
        <f>HYPERLINK("http://www.twitter.com/NathanBLawrence/status/1000883700899332096", "1000883700899332096")</f>
        <v/>
      </c>
      <c r="B188" s="2" t="n">
        <v>43247.98430555555</v>
      </c>
      <c r="C188" t="n">
        <v>0</v>
      </c>
      <c r="D188" t="n">
        <v>1195</v>
      </c>
      <c r="E188" t="s">
        <v>199</v>
      </c>
      <c r="F188">
        <f>HYPERLINK("http://pbs.twimg.com/media/DeKROicXcAUMrvg.jpg", "http://pbs.twimg.com/media/DeKROicXcAUMrvg.jpg")</f>
        <v/>
      </c>
      <c r="G188" t="s"/>
      <c r="H188" t="s"/>
      <c r="I188" t="s"/>
      <c r="J188" t="n">
        <v>0.3612</v>
      </c>
      <c r="K188" t="n">
        <v>0</v>
      </c>
      <c r="L188" t="n">
        <v>0.737</v>
      </c>
      <c r="M188" t="n">
        <v>0.263</v>
      </c>
    </row>
    <row r="189" spans="1:13">
      <c r="A189" s="1">
        <f>HYPERLINK("http://www.twitter.com/NathanBLawrence/status/1000883670649995264", "1000883670649995264")</f>
        <v/>
      </c>
      <c r="B189" s="2" t="n">
        <v>43247.98422453704</v>
      </c>
      <c r="C189" t="n">
        <v>0</v>
      </c>
      <c r="D189" t="n">
        <v>278</v>
      </c>
      <c r="E189" t="s">
        <v>200</v>
      </c>
      <c r="F189">
        <f>HYPERLINK("http://pbs.twimg.com/media/DeOgFYRW0AA_bao.jpg", "http://pbs.twimg.com/media/DeOgFYRW0AA_bao.jpg")</f>
        <v/>
      </c>
      <c r="G189" t="s"/>
      <c r="H189" t="s"/>
      <c r="I189" t="s"/>
      <c r="J189" t="n">
        <v>0.4767</v>
      </c>
      <c r="K189" t="n">
        <v>0.08599999999999999</v>
      </c>
      <c r="L189" t="n">
        <v>0.741</v>
      </c>
      <c r="M189" t="n">
        <v>0.173</v>
      </c>
    </row>
    <row r="190" spans="1:13">
      <c r="A190" s="1">
        <f>HYPERLINK("http://www.twitter.com/NathanBLawrence/status/1000883634650337280", "1000883634650337280")</f>
        <v/>
      </c>
      <c r="B190" s="2" t="n">
        <v>43247.98412037037</v>
      </c>
      <c r="C190" t="n">
        <v>0</v>
      </c>
      <c r="D190" t="n">
        <v>447</v>
      </c>
      <c r="E190" t="s">
        <v>201</v>
      </c>
      <c r="F190">
        <f>HYPERLINK("http://pbs.twimg.com/media/DePU5SMU0AAFiBw.jpg", "http://pbs.twimg.com/media/DePU5SMU0AAFiBw.jpg")</f>
        <v/>
      </c>
      <c r="G190" t="s"/>
      <c r="H190" t="s"/>
      <c r="I190" t="s"/>
      <c r="J190" t="n">
        <v>0.7824</v>
      </c>
      <c r="K190" t="n">
        <v>0</v>
      </c>
      <c r="L190" t="n">
        <v>0.616</v>
      </c>
      <c r="M190" t="n">
        <v>0.384</v>
      </c>
    </row>
    <row r="191" spans="1:13">
      <c r="A191" s="1">
        <f>HYPERLINK("http://www.twitter.com/NathanBLawrence/status/1000883531864723456", "1000883531864723456")</f>
        <v/>
      </c>
      <c r="B191" s="2" t="n">
        <v>43247.98384259259</v>
      </c>
      <c r="C191" t="n">
        <v>0</v>
      </c>
      <c r="D191" t="n">
        <v>266</v>
      </c>
      <c r="E191" t="s">
        <v>202</v>
      </c>
      <c r="F191">
        <f>HYPERLINK("http://pbs.twimg.com/media/DeNizIaVwAEnF0y.jpg", "http://pbs.twimg.com/media/DeNizIaVwAEnF0y.jpg")</f>
        <v/>
      </c>
      <c r="G191" t="s"/>
      <c r="H191" t="s"/>
      <c r="I191" t="s"/>
      <c r="J191" t="n">
        <v>0.4926</v>
      </c>
      <c r="K191" t="n">
        <v>0</v>
      </c>
      <c r="L191" t="n">
        <v>0.758</v>
      </c>
      <c r="M191" t="n">
        <v>0.242</v>
      </c>
    </row>
    <row r="192" spans="1:13">
      <c r="A192" s="1">
        <f>HYPERLINK("http://www.twitter.com/NathanBLawrence/status/1000883492379504640", "1000883492379504640")</f>
        <v/>
      </c>
      <c r="B192" s="2" t="n">
        <v>43247.98372685185</v>
      </c>
      <c r="C192" t="n">
        <v>0</v>
      </c>
      <c r="D192" t="n">
        <v>405</v>
      </c>
      <c r="E192" t="s">
        <v>203</v>
      </c>
      <c r="F192">
        <f>HYPERLINK("http://pbs.twimg.com/media/DeO_-1NWAAAbwwZ.jpg", "http://pbs.twimg.com/media/DeO_-1NWAAAbwwZ.jpg")</f>
        <v/>
      </c>
      <c r="G192" t="s"/>
      <c r="H192" t="s"/>
      <c r="I192" t="s"/>
      <c r="J192" t="n">
        <v>0.3182</v>
      </c>
      <c r="K192" t="n">
        <v>0</v>
      </c>
      <c r="L192" t="n">
        <v>0.901</v>
      </c>
      <c r="M192" t="n">
        <v>0.099</v>
      </c>
    </row>
    <row r="193" spans="1:13">
      <c r="A193" s="1">
        <f>HYPERLINK("http://www.twitter.com/NathanBLawrence/status/1000883328260620288", "1000883328260620288")</f>
        <v/>
      </c>
      <c r="B193" s="2" t="n">
        <v>43247.98327546296</v>
      </c>
      <c r="C193" t="n">
        <v>0</v>
      </c>
      <c r="D193" t="n">
        <v>29357</v>
      </c>
      <c r="E193" t="s">
        <v>204</v>
      </c>
      <c r="F193" t="s"/>
      <c r="G193" t="s"/>
      <c r="H193" t="s"/>
      <c r="I193" t="s"/>
      <c r="J193" t="n">
        <v>0.4215</v>
      </c>
      <c r="K193" t="n">
        <v>0</v>
      </c>
      <c r="L193" t="n">
        <v>0.887</v>
      </c>
      <c r="M193" t="n">
        <v>0.113</v>
      </c>
    </row>
    <row r="194" spans="1:13">
      <c r="A194" s="1">
        <f>HYPERLINK("http://www.twitter.com/NathanBLawrence/status/1000880576755216384", "1000880576755216384")</f>
        <v/>
      </c>
      <c r="B194" s="2" t="n">
        <v>43247.97568287037</v>
      </c>
      <c r="C194" t="n">
        <v>0</v>
      </c>
      <c r="D194" t="n">
        <v>1352</v>
      </c>
      <c r="E194" t="s">
        <v>205</v>
      </c>
      <c r="F194">
        <f>HYPERLINK("http://pbs.twimg.com/media/DeOZuvLVMAI8ev9.jpg", "http://pbs.twimg.com/media/DeOZuvLVMAI8ev9.jpg")</f>
        <v/>
      </c>
      <c r="G194" t="s"/>
      <c r="H194" t="s"/>
      <c r="I194" t="s"/>
      <c r="J194" t="n">
        <v>-0.6486</v>
      </c>
      <c r="K194" t="n">
        <v>0.235</v>
      </c>
      <c r="L194" t="n">
        <v>0.765</v>
      </c>
      <c r="M194" t="n">
        <v>0</v>
      </c>
    </row>
    <row r="195" spans="1:13">
      <c r="A195" s="1">
        <f>HYPERLINK("http://www.twitter.com/NathanBLawrence/status/1000880335591161857", "1000880335591161857")</f>
        <v/>
      </c>
      <c r="B195" s="2" t="n">
        <v>43247.97502314814</v>
      </c>
      <c r="C195" t="n">
        <v>0</v>
      </c>
      <c r="D195" t="n">
        <v>502</v>
      </c>
      <c r="E195" t="s">
        <v>206</v>
      </c>
      <c r="F195" t="s"/>
      <c r="G195" t="s"/>
      <c r="H195" t="s"/>
      <c r="I195" t="s"/>
      <c r="J195" t="n">
        <v>0.7835</v>
      </c>
      <c r="K195" t="n">
        <v>0</v>
      </c>
      <c r="L195" t="n">
        <v>0.67</v>
      </c>
      <c r="M195" t="n">
        <v>0.33</v>
      </c>
    </row>
    <row r="196" spans="1:13">
      <c r="A196" s="1">
        <f>HYPERLINK("http://www.twitter.com/NathanBLawrence/status/1000880250216050688", "1000880250216050688")</f>
        <v/>
      </c>
      <c r="B196" s="2" t="n">
        <v>43247.97478009259</v>
      </c>
      <c r="C196" t="n">
        <v>0</v>
      </c>
      <c r="D196" t="n">
        <v>1164</v>
      </c>
      <c r="E196" t="s">
        <v>207</v>
      </c>
      <c r="F196">
        <f>HYPERLINK("http://pbs.twimg.com/media/DeO7iR-U8AAoIBu.jpg", "http://pbs.twimg.com/media/DeO7iR-U8AAoIBu.jpg")</f>
        <v/>
      </c>
      <c r="G196" t="s"/>
      <c r="H196" t="s"/>
      <c r="I196" t="s"/>
      <c r="J196" t="n">
        <v>0.4019</v>
      </c>
      <c r="K196" t="n">
        <v>0</v>
      </c>
      <c r="L196" t="n">
        <v>0.886</v>
      </c>
      <c r="M196" t="n">
        <v>0.114</v>
      </c>
    </row>
    <row r="197" spans="1:13">
      <c r="A197" s="1">
        <f>HYPERLINK("http://www.twitter.com/NathanBLawrence/status/1000880177247731713", "1000880177247731713")</f>
        <v/>
      </c>
      <c r="B197" s="2" t="n">
        <v>43247.97458333334</v>
      </c>
      <c r="C197" t="n">
        <v>0</v>
      </c>
      <c r="D197" t="n">
        <v>13</v>
      </c>
      <c r="E197" t="s">
        <v>208</v>
      </c>
      <c r="F197">
        <f>HYPERLINK("http://pbs.twimg.com/media/DePGsX9U8AAJOGL.jpg", "http://pbs.twimg.com/media/DePGsX9U8AAJOGL.jpg")</f>
        <v/>
      </c>
      <c r="G197" t="s"/>
      <c r="H197" t="s"/>
      <c r="I197" t="s"/>
      <c r="J197" t="n">
        <v>0.34</v>
      </c>
      <c r="K197" t="n">
        <v>0</v>
      </c>
      <c r="L197" t="n">
        <v>0.789</v>
      </c>
      <c r="M197" t="n">
        <v>0.211</v>
      </c>
    </row>
    <row r="198" spans="1:13">
      <c r="A198" s="1">
        <f>HYPERLINK("http://www.twitter.com/NathanBLawrence/status/1000880131424960512", "1000880131424960512")</f>
        <v/>
      </c>
      <c r="B198" s="2" t="n">
        <v>43247.97445601852</v>
      </c>
      <c r="C198" t="n">
        <v>0</v>
      </c>
      <c r="D198" t="n">
        <v>377</v>
      </c>
      <c r="E198" t="s">
        <v>209</v>
      </c>
      <c r="F198">
        <f>HYPERLINK("http://pbs.twimg.com/media/DePMaugXkAAOj0J.jpg", "http://pbs.twimg.com/media/DePMaugXkAAOj0J.jpg")</f>
        <v/>
      </c>
      <c r="G198" t="s"/>
      <c r="H198" t="s"/>
      <c r="I198" t="s"/>
      <c r="J198" t="n">
        <v>0.7564</v>
      </c>
      <c r="K198" t="n">
        <v>0.077</v>
      </c>
      <c r="L198" t="n">
        <v>0.639</v>
      </c>
      <c r="M198" t="n">
        <v>0.284</v>
      </c>
    </row>
    <row r="199" spans="1:13">
      <c r="A199" s="1">
        <f>HYPERLINK("http://www.twitter.com/NathanBLawrence/status/1000880065536606208", "1000880065536606208")</f>
        <v/>
      </c>
      <c r="B199" s="2" t="n">
        <v>43247.97427083334</v>
      </c>
      <c r="C199" t="n">
        <v>0</v>
      </c>
      <c r="D199" t="n">
        <v>832</v>
      </c>
      <c r="E199" t="s">
        <v>210</v>
      </c>
      <c r="F199">
        <f>HYPERLINK("http://pbs.twimg.com/media/DeO9_lhXcAAr_nW.jpg", "http://pbs.twimg.com/media/DeO9_lhXcAAr_nW.jpg")</f>
        <v/>
      </c>
      <c r="G199" t="s"/>
      <c r="H199" t="s"/>
      <c r="I199" t="s"/>
      <c r="J199" t="n">
        <v>0.0258</v>
      </c>
      <c r="K199" t="n">
        <v>0.056</v>
      </c>
      <c r="L199" t="n">
        <v>0.884</v>
      </c>
      <c r="M199" t="n">
        <v>0.06</v>
      </c>
    </row>
    <row r="200" spans="1:13">
      <c r="A200" s="1">
        <f>HYPERLINK("http://www.twitter.com/NathanBLawrence/status/1000879994900377600", "1000879994900377600")</f>
        <v/>
      </c>
      <c r="B200" s="2" t="n">
        <v>43247.97407407407</v>
      </c>
      <c r="C200" t="n">
        <v>0</v>
      </c>
      <c r="D200" t="n">
        <v>850</v>
      </c>
      <c r="E200" t="s">
        <v>211</v>
      </c>
      <c r="F200">
        <f>HYPERLINK("http://pbs.twimg.com/media/DeOJbCFXcAAHxP8.jpg", "http://pbs.twimg.com/media/DeOJbCFXcAAHxP8.jpg")</f>
        <v/>
      </c>
      <c r="G200" t="s"/>
      <c r="H200" t="s"/>
      <c r="I200" t="s"/>
      <c r="J200" t="n">
        <v>-0.2244</v>
      </c>
      <c r="K200" t="n">
        <v>0.213</v>
      </c>
      <c r="L200" t="n">
        <v>0.609</v>
      </c>
      <c r="M200" t="n">
        <v>0.179</v>
      </c>
    </row>
    <row r="201" spans="1:13">
      <c r="A201" s="1">
        <f>HYPERLINK("http://www.twitter.com/NathanBLawrence/status/1000879966261624832", "1000879966261624832")</f>
        <v/>
      </c>
      <c r="B201" s="2" t="n">
        <v>43247.97400462963</v>
      </c>
      <c r="C201" t="n">
        <v>0</v>
      </c>
      <c r="D201" t="n">
        <v>123</v>
      </c>
      <c r="E201" t="s">
        <v>212</v>
      </c>
      <c r="F201" t="s"/>
      <c r="G201" t="s"/>
      <c r="H201" t="s"/>
      <c r="I201" t="s"/>
      <c r="J201" t="n">
        <v>0</v>
      </c>
      <c r="K201" t="n">
        <v>0</v>
      </c>
      <c r="L201" t="n">
        <v>1</v>
      </c>
      <c r="M201" t="n">
        <v>0</v>
      </c>
    </row>
    <row r="202" spans="1:13">
      <c r="A202" s="1">
        <f>HYPERLINK("http://www.twitter.com/NathanBLawrence/status/1000879895990456321", "1000879895990456321")</f>
        <v/>
      </c>
      <c r="B202" s="2" t="n">
        <v>43247.97380787037</v>
      </c>
      <c r="C202" t="n">
        <v>0</v>
      </c>
      <c r="D202" t="n">
        <v>388</v>
      </c>
      <c r="E202" t="s">
        <v>213</v>
      </c>
      <c r="F202">
        <f>HYPERLINK("http://pbs.twimg.com/media/DeN3N_eV0AACZoK.jpg", "http://pbs.twimg.com/media/DeN3N_eV0AACZoK.jpg")</f>
        <v/>
      </c>
      <c r="G202" t="s"/>
      <c r="H202" t="s"/>
      <c r="I202" t="s"/>
      <c r="J202" t="n">
        <v>0.8468</v>
      </c>
      <c r="K202" t="n">
        <v>0.078</v>
      </c>
      <c r="L202" t="n">
        <v>0.5600000000000001</v>
      </c>
      <c r="M202" t="n">
        <v>0.363</v>
      </c>
    </row>
    <row r="203" spans="1:13">
      <c r="A203" s="1">
        <f>HYPERLINK("http://www.twitter.com/NathanBLawrence/status/1000879765878812672", "1000879765878812672")</f>
        <v/>
      </c>
      <c r="B203" s="2" t="n">
        <v>43247.97344907407</v>
      </c>
      <c r="C203" t="n">
        <v>0</v>
      </c>
      <c r="D203" t="n">
        <v>5601</v>
      </c>
      <c r="E203" t="s">
        <v>214</v>
      </c>
      <c r="F203" t="s"/>
      <c r="G203" t="s"/>
      <c r="H203" t="s"/>
      <c r="I203" t="s"/>
      <c r="J203" t="n">
        <v>0</v>
      </c>
      <c r="K203" t="n">
        <v>0</v>
      </c>
      <c r="L203" t="n">
        <v>1</v>
      </c>
      <c r="M203" t="n">
        <v>0</v>
      </c>
    </row>
    <row r="204" spans="1:13">
      <c r="A204" s="1">
        <f>HYPERLINK("http://www.twitter.com/NathanBLawrence/status/1000879706793693184", "1000879706793693184")</f>
        <v/>
      </c>
      <c r="B204" s="2" t="n">
        <v>43247.97328703704</v>
      </c>
      <c r="C204" t="n">
        <v>4</v>
      </c>
      <c r="D204" t="n">
        <v>2</v>
      </c>
      <c r="E204" t="s">
        <v>215</v>
      </c>
      <c r="F204" t="s"/>
      <c r="G204" t="s"/>
      <c r="H204" t="s"/>
      <c r="I204" t="s"/>
      <c r="J204" t="n">
        <v>0.1511</v>
      </c>
      <c r="K204" t="n">
        <v>0</v>
      </c>
      <c r="L204" t="n">
        <v>0.944</v>
      </c>
      <c r="M204" t="n">
        <v>0.056</v>
      </c>
    </row>
    <row r="205" spans="1:13">
      <c r="A205" s="1">
        <f>HYPERLINK("http://www.twitter.com/NathanBLawrence/status/1000858790416203776", "1000858790416203776")</f>
        <v/>
      </c>
      <c r="B205" s="2" t="n">
        <v>43247.91556712963</v>
      </c>
      <c r="C205" t="n">
        <v>0</v>
      </c>
      <c r="D205" t="n">
        <v>1149</v>
      </c>
      <c r="E205" t="s">
        <v>216</v>
      </c>
      <c r="F205" t="s"/>
      <c r="G205" t="s"/>
      <c r="H205" t="s"/>
      <c r="I205" t="s"/>
      <c r="J205" t="n">
        <v>-0.6908</v>
      </c>
      <c r="K205" t="n">
        <v>0.242</v>
      </c>
      <c r="L205" t="n">
        <v>0.758</v>
      </c>
      <c r="M205" t="n">
        <v>0</v>
      </c>
    </row>
    <row r="206" spans="1:13">
      <c r="A206" s="1">
        <f>HYPERLINK("http://www.twitter.com/NathanBLawrence/status/1000829734970970113", "1000829734970970113")</f>
        <v/>
      </c>
      <c r="B206" s="2" t="n">
        <v>43247.83538194445</v>
      </c>
      <c r="C206" t="n">
        <v>0</v>
      </c>
      <c r="D206" t="n">
        <v>645</v>
      </c>
      <c r="E206" t="s">
        <v>217</v>
      </c>
      <c r="F206" t="s"/>
      <c r="G206" t="s"/>
      <c r="H206" t="s"/>
      <c r="I206" t="s"/>
      <c r="J206" t="n">
        <v>0.5719</v>
      </c>
      <c r="K206" t="n">
        <v>0</v>
      </c>
      <c r="L206" t="n">
        <v>0.856</v>
      </c>
      <c r="M206" t="n">
        <v>0.144</v>
      </c>
    </row>
    <row r="207" spans="1:13">
      <c r="A207" s="1">
        <f>HYPERLINK("http://www.twitter.com/NathanBLawrence/status/1000824517139165184", "1000824517139165184")</f>
        <v/>
      </c>
      <c r="B207" s="2" t="n">
        <v>43247.82098379629</v>
      </c>
      <c r="C207" t="n">
        <v>0</v>
      </c>
      <c r="D207" t="n">
        <v>583</v>
      </c>
      <c r="E207" t="s">
        <v>218</v>
      </c>
      <c r="F207">
        <f>HYPERLINK("https://video.twimg.com/ext_tw_video/1000402609734279168/pu/vid/1280x720/LRlW8LJGi0P4vn20.mp4?tag=3", "https://video.twimg.com/ext_tw_video/1000402609734279168/pu/vid/1280x720/LRlW8LJGi0P4vn20.mp4?tag=3")</f>
        <v/>
      </c>
      <c r="G207" t="s"/>
      <c r="H207" t="s"/>
      <c r="I207" t="s"/>
      <c r="J207" t="n">
        <v>-0.6369</v>
      </c>
      <c r="K207" t="n">
        <v>0.286</v>
      </c>
      <c r="L207" t="n">
        <v>0.714</v>
      </c>
      <c r="M207" t="n">
        <v>0</v>
      </c>
    </row>
    <row r="208" spans="1:13">
      <c r="A208" s="1">
        <f>HYPERLINK("http://www.twitter.com/NathanBLawrence/status/1000824465389797376", "1000824465389797376")</f>
        <v/>
      </c>
      <c r="B208" s="2" t="n">
        <v>43247.82084490741</v>
      </c>
      <c r="C208" t="n">
        <v>0</v>
      </c>
      <c r="D208" t="n">
        <v>431</v>
      </c>
      <c r="E208" t="s">
        <v>219</v>
      </c>
      <c r="F208">
        <f>HYPERLINK("https://video.twimg.com/ext_tw_video/1000554294582505472/pu/vid/1280x720/MrqbPWGPiH_FMB2j.mp4?tag=3", "https://video.twimg.com/ext_tw_video/1000554294582505472/pu/vid/1280x720/MrqbPWGPiH_FMB2j.mp4?tag=3")</f>
        <v/>
      </c>
      <c r="G208" t="s"/>
      <c r="H208" t="s"/>
      <c r="I208" t="s"/>
      <c r="J208" t="n">
        <v>0.886</v>
      </c>
      <c r="K208" t="n">
        <v>0</v>
      </c>
      <c r="L208" t="n">
        <v>0.62</v>
      </c>
      <c r="M208" t="n">
        <v>0.38</v>
      </c>
    </row>
    <row r="209" spans="1:13">
      <c r="A209" s="1">
        <f>HYPERLINK("http://www.twitter.com/NathanBLawrence/status/1000785148030345216", "1000785148030345216")</f>
        <v/>
      </c>
      <c r="B209" s="2" t="n">
        <v>43247.71234953704</v>
      </c>
      <c r="C209" t="n">
        <v>0</v>
      </c>
      <c r="D209" t="n">
        <v>1613</v>
      </c>
      <c r="E209" t="s">
        <v>220</v>
      </c>
      <c r="F209" t="s"/>
      <c r="G209" t="s"/>
      <c r="H209" t="s"/>
      <c r="I209" t="s"/>
      <c r="J209" t="n">
        <v>0.8338</v>
      </c>
      <c r="K209" t="n">
        <v>0</v>
      </c>
      <c r="L209" t="n">
        <v>0.708</v>
      </c>
      <c r="M209" t="n">
        <v>0.292</v>
      </c>
    </row>
    <row r="210" spans="1:13">
      <c r="A210" s="1">
        <f>HYPERLINK("http://www.twitter.com/NathanBLawrence/status/1000785080602710017", "1000785080602710017")</f>
        <v/>
      </c>
      <c r="B210" s="2" t="n">
        <v>43247.71216435185</v>
      </c>
      <c r="C210" t="n">
        <v>0</v>
      </c>
      <c r="D210" t="n">
        <v>6699</v>
      </c>
      <c r="E210" t="s">
        <v>221</v>
      </c>
      <c r="F210">
        <f>HYPERLINK("http://pbs.twimg.com/media/DeN_oEfV4AA9khO.jpg", "http://pbs.twimg.com/media/DeN_oEfV4AA9khO.jpg")</f>
        <v/>
      </c>
      <c r="G210" t="s"/>
      <c r="H210" t="s"/>
      <c r="I210" t="s"/>
      <c r="J210" t="n">
        <v>0.2732</v>
      </c>
      <c r="K210" t="n">
        <v>0.139</v>
      </c>
      <c r="L210" t="n">
        <v>0.717</v>
      </c>
      <c r="M210" t="n">
        <v>0.143</v>
      </c>
    </row>
    <row r="211" spans="1:13">
      <c r="A211" s="1">
        <f>HYPERLINK("http://www.twitter.com/NathanBLawrence/status/1000784920380260352", "1000784920380260352")</f>
        <v/>
      </c>
      <c r="B211" s="2" t="n">
        <v>43247.71172453704</v>
      </c>
      <c r="C211" t="n">
        <v>0</v>
      </c>
      <c r="D211" t="n">
        <v>2472</v>
      </c>
      <c r="E211" t="s">
        <v>222</v>
      </c>
      <c r="F211" t="s"/>
      <c r="G211" t="s"/>
      <c r="H211" t="s"/>
      <c r="I211" t="s"/>
      <c r="J211" t="n">
        <v>0.25</v>
      </c>
      <c r="K211" t="n">
        <v>0.114</v>
      </c>
      <c r="L211" t="n">
        <v>0.735</v>
      </c>
      <c r="M211" t="n">
        <v>0.151</v>
      </c>
    </row>
    <row r="212" spans="1:13">
      <c r="A212" s="1">
        <f>HYPERLINK("http://www.twitter.com/NathanBLawrence/status/1000784829259042816", "1000784829259042816")</f>
        <v/>
      </c>
      <c r="B212" s="2" t="n">
        <v>43247.71146990741</v>
      </c>
      <c r="C212" t="n">
        <v>0</v>
      </c>
      <c r="D212" t="n">
        <v>75</v>
      </c>
      <c r="E212" t="s">
        <v>223</v>
      </c>
      <c r="F212" t="s"/>
      <c r="G212" t="s"/>
      <c r="H212" t="s"/>
      <c r="I212" t="s"/>
      <c r="J212" t="n">
        <v>-0.5266999999999999</v>
      </c>
      <c r="K212" t="n">
        <v>0.282</v>
      </c>
      <c r="L212" t="n">
        <v>0.545</v>
      </c>
      <c r="M212" t="n">
        <v>0.173</v>
      </c>
    </row>
    <row r="213" spans="1:13">
      <c r="A213" s="1">
        <f>HYPERLINK("http://www.twitter.com/NathanBLawrence/status/1000767732604850177", "1000767732604850177")</f>
        <v/>
      </c>
      <c r="B213" s="2" t="n">
        <v>43247.66429398148</v>
      </c>
      <c r="C213" t="n">
        <v>0</v>
      </c>
      <c r="D213" t="n">
        <v>3478</v>
      </c>
      <c r="E213" t="s">
        <v>224</v>
      </c>
      <c r="F213">
        <f>HYPERLINK("https://video.twimg.com/ext_tw_video/1000724359827214336/pu/vid/720x1280/AnBaWumUwGfwwj1k.mp4?tag=3", "https://video.twimg.com/ext_tw_video/1000724359827214336/pu/vid/720x1280/AnBaWumUwGfwwj1k.mp4?tag=3")</f>
        <v/>
      </c>
      <c r="G213" t="s"/>
      <c r="H213" t="s"/>
      <c r="I213" t="s"/>
      <c r="J213" t="n">
        <v>-0.2732</v>
      </c>
      <c r="K213" t="n">
        <v>0.094</v>
      </c>
      <c r="L213" t="n">
        <v>0.858</v>
      </c>
      <c r="M213" t="n">
        <v>0.047</v>
      </c>
    </row>
    <row r="214" spans="1:13">
      <c r="A214" s="1">
        <f>HYPERLINK("http://www.twitter.com/NathanBLawrence/status/1000767637423513605", "1000767637423513605")</f>
        <v/>
      </c>
      <c r="B214" s="2" t="n">
        <v>43247.66402777778</v>
      </c>
      <c r="C214" t="n">
        <v>0</v>
      </c>
      <c r="D214" t="n">
        <v>527</v>
      </c>
      <c r="E214" t="s">
        <v>225</v>
      </c>
      <c r="F214" t="s"/>
      <c r="G214" t="s"/>
      <c r="H214" t="s"/>
      <c r="I214" t="s"/>
      <c r="J214" t="n">
        <v>-0.836</v>
      </c>
      <c r="K214" t="n">
        <v>0.389</v>
      </c>
      <c r="L214" t="n">
        <v>0.611</v>
      </c>
      <c r="M214" t="n">
        <v>0</v>
      </c>
    </row>
    <row r="215" spans="1:13">
      <c r="A215" s="1">
        <f>HYPERLINK("http://www.twitter.com/NathanBLawrence/status/1000767575817572353", "1000767575817572353")</f>
        <v/>
      </c>
      <c r="B215" s="2" t="n">
        <v>43247.66386574074</v>
      </c>
      <c r="C215" t="n">
        <v>0</v>
      </c>
      <c r="D215" t="n">
        <v>21496</v>
      </c>
      <c r="E215" t="s">
        <v>226</v>
      </c>
      <c r="F215" t="s"/>
      <c r="G215" t="s"/>
      <c r="H215" t="s"/>
      <c r="I215" t="s"/>
      <c r="J215" t="n">
        <v>-0.5106000000000001</v>
      </c>
      <c r="K215" t="n">
        <v>0.232</v>
      </c>
      <c r="L215" t="n">
        <v>0.643</v>
      </c>
      <c r="M215" t="n">
        <v>0.125</v>
      </c>
    </row>
    <row r="216" spans="1:13">
      <c r="A216" s="1">
        <f>HYPERLINK("http://www.twitter.com/NathanBLawrence/status/1000767438642823168", "1000767438642823168")</f>
        <v/>
      </c>
      <c r="B216" s="2" t="n">
        <v>43247.6634837963</v>
      </c>
      <c r="C216" t="n">
        <v>0</v>
      </c>
      <c r="D216" t="n">
        <v>26404</v>
      </c>
      <c r="E216" t="s">
        <v>227</v>
      </c>
      <c r="F216" t="s"/>
      <c r="G216" t="s"/>
      <c r="H216" t="s"/>
      <c r="I216" t="s"/>
      <c r="J216" t="n">
        <v>0.9278</v>
      </c>
      <c r="K216" t="n">
        <v>0</v>
      </c>
      <c r="L216" t="n">
        <v>0.601</v>
      </c>
      <c r="M216" t="n">
        <v>0.399</v>
      </c>
    </row>
    <row r="217" spans="1:13">
      <c r="A217" s="1">
        <f>HYPERLINK("http://www.twitter.com/NathanBLawrence/status/1000767374809690112", "1000767374809690112")</f>
        <v/>
      </c>
      <c r="B217" s="2" t="n">
        <v>43247.66331018518</v>
      </c>
      <c r="C217" t="n">
        <v>0</v>
      </c>
      <c r="D217" t="n">
        <v>140</v>
      </c>
      <c r="E217" t="s">
        <v>228</v>
      </c>
      <c r="F217" t="s"/>
      <c r="G217" t="s"/>
      <c r="H217" t="s"/>
      <c r="I217" t="s"/>
      <c r="J217" t="n">
        <v>-0.8016</v>
      </c>
      <c r="K217" t="n">
        <v>0.246</v>
      </c>
      <c r="L217" t="n">
        <v>0.754</v>
      </c>
      <c r="M217" t="n">
        <v>0</v>
      </c>
    </row>
    <row r="218" spans="1:13">
      <c r="A218" s="1">
        <f>HYPERLINK("http://www.twitter.com/NathanBLawrence/status/1000767147260325888", "1000767147260325888")</f>
        <v/>
      </c>
      <c r="B218" s="2" t="n">
        <v>43247.66267361111</v>
      </c>
      <c r="C218" t="n">
        <v>0</v>
      </c>
      <c r="D218" t="n">
        <v>470</v>
      </c>
      <c r="E218" t="s">
        <v>229</v>
      </c>
      <c r="F218">
        <f>HYPERLINK("https://video.twimg.com/ext_tw_video/1000728395829993472/pu/vid/1280x720/xUzYAv8ThpNyz-V9.mp4?tag=3", "https://video.twimg.com/ext_tw_video/1000728395829993472/pu/vid/1280x720/xUzYAv8ThpNyz-V9.mp4?tag=3")</f>
        <v/>
      </c>
      <c r="G218" t="s"/>
      <c r="H218" t="s"/>
      <c r="I218" t="s"/>
      <c r="J218" t="n">
        <v>0.25</v>
      </c>
      <c r="K218" t="n">
        <v>0</v>
      </c>
      <c r="L218" t="n">
        <v>0.917</v>
      </c>
      <c r="M218" t="n">
        <v>0.083</v>
      </c>
    </row>
    <row r="219" spans="1:13">
      <c r="A219" s="1">
        <f>HYPERLINK("http://www.twitter.com/NathanBLawrence/status/1000714625493561344", "1000714625493561344")</f>
        <v/>
      </c>
      <c r="B219" s="2" t="n">
        <v>43247.51774305556</v>
      </c>
      <c r="C219" t="n">
        <v>0</v>
      </c>
      <c r="D219" t="n">
        <v>17388</v>
      </c>
      <c r="E219" t="s">
        <v>230</v>
      </c>
      <c r="F219">
        <f>HYPERLINK("https://video.twimg.com/amplify_video/1000111712303902720/vid/1280x720/tRyE1R23KOkZpewR.mp4?tag=2", "https://video.twimg.com/amplify_video/1000111712303902720/vid/1280x720/tRyE1R23KOkZpewR.mp4?tag=2")</f>
        <v/>
      </c>
      <c r="G219" t="s"/>
      <c r="H219" t="s"/>
      <c r="I219" t="s"/>
      <c r="J219" t="n">
        <v>0.4767</v>
      </c>
      <c r="K219" t="n">
        <v>0</v>
      </c>
      <c r="L219" t="n">
        <v>0.893</v>
      </c>
      <c r="M219" t="n">
        <v>0.107</v>
      </c>
    </row>
    <row r="220" spans="1:13">
      <c r="A220" s="1">
        <f>HYPERLINK("http://www.twitter.com/NathanBLawrence/status/1000714393166823426", "1000714393166823426")</f>
        <v/>
      </c>
      <c r="B220" s="2" t="n">
        <v>43247.51710648148</v>
      </c>
      <c r="C220" t="n">
        <v>0</v>
      </c>
      <c r="D220" t="n">
        <v>23796</v>
      </c>
      <c r="E220" t="s">
        <v>231</v>
      </c>
      <c r="F220" t="s"/>
      <c r="G220" t="s"/>
      <c r="H220" t="s"/>
      <c r="I220" t="s"/>
      <c r="J220" t="n">
        <v>0.4404</v>
      </c>
      <c r="K220" t="n">
        <v>0</v>
      </c>
      <c r="L220" t="n">
        <v>0.888</v>
      </c>
      <c r="M220" t="n">
        <v>0.112</v>
      </c>
    </row>
    <row r="221" spans="1:13">
      <c r="A221" s="1">
        <f>HYPERLINK("http://www.twitter.com/NathanBLawrence/status/1000713979650428928", "1000713979650428928")</f>
        <v/>
      </c>
      <c r="B221" s="2" t="n">
        <v>43247.51596064815</v>
      </c>
      <c r="C221" t="n">
        <v>0</v>
      </c>
      <c r="D221" t="n">
        <v>22419</v>
      </c>
      <c r="E221" t="s">
        <v>232</v>
      </c>
      <c r="F221" t="s"/>
      <c r="G221" t="s"/>
      <c r="H221" t="s"/>
      <c r="I221" t="s"/>
      <c r="J221" t="n">
        <v>-0.5106000000000001</v>
      </c>
      <c r="K221" t="n">
        <v>0.136</v>
      </c>
      <c r="L221" t="n">
        <v>0.864</v>
      </c>
      <c r="M221" t="n">
        <v>0</v>
      </c>
    </row>
    <row r="222" spans="1:13">
      <c r="A222" s="1">
        <f>HYPERLINK("http://www.twitter.com/NathanBLawrence/status/1000713562015215617", "1000713562015215617")</f>
        <v/>
      </c>
      <c r="B222" s="2" t="n">
        <v>43247.51481481481</v>
      </c>
      <c r="C222" t="n">
        <v>0</v>
      </c>
      <c r="D222" t="n">
        <v>2227</v>
      </c>
      <c r="E222" t="s">
        <v>233</v>
      </c>
      <c r="F222">
        <f>HYPERLINK("http://pbs.twimg.com/media/DeKoHl5XUAEGqp4.jpg", "http://pbs.twimg.com/media/DeKoHl5XUAEGqp4.jpg")</f>
        <v/>
      </c>
      <c r="G222" t="s"/>
      <c r="H222" t="s"/>
      <c r="I222" t="s"/>
      <c r="J222" t="n">
        <v>0</v>
      </c>
      <c r="K222" t="n">
        <v>0</v>
      </c>
      <c r="L222" t="n">
        <v>1</v>
      </c>
      <c r="M222" t="n">
        <v>0</v>
      </c>
    </row>
    <row r="223" spans="1:13">
      <c r="A223" s="1">
        <f>HYPERLINK("http://www.twitter.com/NathanBLawrence/status/1000713414400921601", "1000713414400921601")</f>
        <v/>
      </c>
      <c r="B223" s="2" t="n">
        <v>43247.51440972222</v>
      </c>
      <c r="C223" t="n">
        <v>0</v>
      </c>
      <c r="D223" t="n">
        <v>10849</v>
      </c>
      <c r="E223" t="s">
        <v>234</v>
      </c>
      <c r="F223">
        <f>HYPERLINK("https://video.twimg.com/ext_tw_video/999936030722678784/pu/vid/636x360/98-vYv21mBqKt3Sy.mp4?tag=3", "https://video.twimg.com/ext_tw_video/999936030722678784/pu/vid/636x360/98-vYv21mBqKt3Sy.mp4?tag=3")</f>
        <v/>
      </c>
      <c r="G223" t="s"/>
      <c r="H223" t="s"/>
      <c r="I223" t="s"/>
      <c r="J223" t="n">
        <v>0.0772</v>
      </c>
      <c r="K223" t="n">
        <v>0</v>
      </c>
      <c r="L223" t="n">
        <v>0.874</v>
      </c>
      <c r="M223" t="n">
        <v>0.126</v>
      </c>
    </row>
    <row r="224" spans="1:13">
      <c r="A224" s="1">
        <f>HYPERLINK("http://www.twitter.com/NathanBLawrence/status/1000713305734893571", "1000713305734893571")</f>
        <v/>
      </c>
      <c r="B224" s="2" t="n">
        <v>43247.5141087963</v>
      </c>
      <c r="C224" t="n">
        <v>0</v>
      </c>
      <c r="D224" t="n">
        <v>4268</v>
      </c>
      <c r="E224" t="s">
        <v>235</v>
      </c>
      <c r="F224" t="s"/>
      <c r="G224" t="s"/>
      <c r="H224" t="s"/>
      <c r="I224" t="s"/>
      <c r="J224" t="n">
        <v>-0.8221000000000001</v>
      </c>
      <c r="K224" t="n">
        <v>0.301</v>
      </c>
      <c r="L224" t="n">
        <v>0.594</v>
      </c>
      <c r="M224" t="n">
        <v>0.105</v>
      </c>
    </row>
    <row r="225" spans="1:13">
      <c r="A225" s="1">
        <f>HYPERLINK("http://www.twitter.com/NathanBLawrence/status/1000713242010836993", "1000713242010836993")</f>
        <v/>
      </c>
      <c r="B225" s="2" t="n">
        <v>43247.51392361111</v>
      </c>
      <c r="C225" t="n">
        <v>0</v>
      </c>
      <c r="D225" t="n">
        <v>1517</v>
      </c>
      <c r="E225" t="s">
        <v>236</v>
      </c>
      <c r="F225" t="s"/>
      <c r="G225" t="s"/>
      <c r="H225" t="s"/>
      <c r="I225" t="s"/>
      <c r="J225" t="n">
        <v>-0.836</v>
      </c>
      <c r="K225" t="n">
        <v>0.288</v>
      </c>
      <c r="L225" t="n">
        <v>0.712</v>
      </c>
      <c r="M225" t="n">
        <v>0</v>
      </c>
    </row>
    <row r="226" spans="1:13">
      <c r="A226" s="1">
        <f>HYPERLINK("http://www.twitter.com/NathanBLawrence/status/998967346244055040", "998967346244055040")</f>
        <v/>
      </c>
      <c r="B226" s="2" t="n">
        <v>43242.69616898148</v>
      </c>
      <c r="C226" t="n">
        <v>0</v>
      </c>
      <c r="D226" t="n">
        <v>238</v>
      </c>
      <c r="E226" t="s">
        <v>237</v>
      </c>
      <c r="F226">
        <f>HYPERLINK("https://video.twimg.com/ext_tw_video/998308517260886016/pu/vid/258x320/iYvoYNa5f4NHXmdx.mp4?tag=3", "https://video.twimg.com/ext_tw_video/998308517260886016/pu/vid/258x320/iYvoYNa5f4NHXmdx.mp4?tag=3")</f>
        <v/>
      </c>
      <c r="G226" t="s"/>
      <c r="H226" t="s"/>
      <c r="I226" t="s"/>
      <c r="J226" t="n">
        <v>-0.296</v>
      </c>
      <c r="K226" t="n">
        <v>0.196</v>
      </c>
      <c r="L226" t="n">
        <v>0.804</v>
      </c>
      <c r="M226" t="n">
        <v>0</v>
      </c>
    </row>
    <row r="227" spans="1:13">
      <c r="A227" s="1">
        <f>HYPERLINK("http://www.twitter.com/NathanBLawrence/status/998966650492850176", "998966650492850176")</f>
        <v/>
      </c>
      <c r="B227" s="2" t="n">
        <v>43242.69425925926</v>
      </c>
      <c r="C227" t="n">
        <v>0</v>
      </c>
      <c r="D227" t="n">
        <v>2496</v>
      </c>
      <c r="E227" t="s">
        <v>238</v>
      </c>
      <c r="F227" t="s"/>
      <c r="G227" t="s"/>
      <c r="H227" t="s"/>
      <c r="I227" t="s"/>
      <c r="J227" t="n">
        <v>0.6124000000000001</v>
      </c>
      <c r="K227" t="n">
        <v>0</v>
      </c>
      <c r="L227" t="n">
        <v>0.783</v>
      </c>
      <c r="M227" t="n">
        <v>0.217</v>
      </c>
    </row>
    <row r="228" spans="1:13">
      <c r="A228" s="1">
        <f>HYPERLINK("http://www.twitter.com/NathanBLawrence/status/998966628007202821", "998966628007202821")</f>
        <v/>
      </c>
      <c r="B228" s="2" t="n">
        <v>43242.69418981481</v>
      </c>
      <c r="C228" t="n">
        <v>0</v>
      </c>
      <c r="D228" t="n">
        <v>4363</v>
      </c>
      <c r="E228" t="s">
        <v>239</v>
      </c>
      <c r="F228" t="s"/>
      <c r="G228" t="s"/>
      <c r="H228" t="s"/>
      <c r="I228" t="s"/>
      <c r="J228" t="n">
        <v>-0.1232</v>
      </c>
      <c r="K228" t="n">
        <v>0.06900000000000001</v>
      </c>
      <c r="L228" t="n">
        <v>0.931</v>
      </c>
      <c r="M228" t="n">
        <v>0</v>
      </c>
    </row>
    <row r="229" spans="1:13">
      <c r="A229" s="1">
        <f>HYPERLINK("http://www.twitter.com/NathanBLawrence/status/998966523145302017", "998966523145302017")</f>
        <v/>
      </c>
      <c r="B229" s="2" t="n">
        <v>43242.69390046296</v>
      </c>
      <c r="C229" t="n">
        <v>0</v>
      </c>
      <c r="D229" t="n">
        <v>1161</v>
      </c>
      <c r="E229" t="s">
        <v>240</v>
      </c>
      <c r="F229" t="s"/>
      <c r="G229" t="s"/>
      <c r="H229" t="s"/>
      <c r="I229" t="s"/>
      <c r="J229" t="n">
        <v>-0.0423</v>
      </c>
      <c r="K229" t="n">
        <v>0.104</v>
      </c>
      <c r="L229" t="n">
        <v>0.801</v>
      </c>
      <c r="M229" t="n">
        <v>0.096</v>
      </c>
    </row>
    <row r="230" spans="1:13">
      <c r="A230" s="1">
        <f>HYPERLINK("http://www.twitter.com/NathanBLawrence/status/998966395047202816", "998966395047202816")</f>
        <v/>
      </c>
      <c r="B230" s="2" t="n">
        <v>43242.69355324074</v>
      </c>
      <c r="C230" t="n">
        <v>0</v>
      </c>
      <c r="D230" t="n">
        <v>5934</v>
      </c>
      <c r="E230" t="s">
        <v>241</v>
      </c>
      <c r="F230" t="s"/>
      <c r="G230" t="s"/>
      <c r="H230" t="s"/>
      <c r="I230" t="s"/>
      <c r="J230" t="n">
        <v>-0.1027</v>
      </c>
      <c r="K230" t="n">
        <v>0.142</v>
      </c>
      <c r="L230" t="n">
        <v>0.735</v>
      </c>
      <c r="M230" t="n">
        <v>0.123</v>
      </c>
    </row>
    <row r="231" spans="1:13">
      <c r="A231" s="1">
        <f>HYPERLINK("http://www.twitter.com/NathanBLawrence/status/998966293293424640", "998966293293424640")</f>
        <v/>
      </c>
      <c r="B231" s="2" t="n">
        <v>43242.69326388889</v>
      </c>
      <c r="C231" t="n">
        <v>0</v>
      </c>
      <c r="D231" t="n">
        <v>1969</v>
      </c>
      <c r="E231" t="s">
        <v>242</v>
      </c>
      <c r="F231" t="s"/>
      <c r="G231" t="s"/>
      <c r="H231" t="s"/>
      <c r="I231" t="s"/>
      <c r="J231" t="n">
        <v>-0.9092</v>
      </c>
      <c r="K231" t="n">
        <v>0.364</v>
      </c>
      <c r="L231" t="n">
        <v>0.636</v>
      </c>
      <c r="M231" t="n">
        <v>0</v>
      </c>
    </row>
    <row r="232" spans="1:13">
      <c r="A232" s="1">
        <f>HYPERLINK("http://www.twitter.com/NathanBLawrence/status/998816328025870336", "998816328025870336")</f>
        <v/>
      </c>
      <c r="B232" s="2" t="n">
        <v>43242.27944444444</v>
      </c>
      <c r="C232" t="n">
        <v>0</v>
      </c>
      <c r="D232" t="n">
        <v>2451</v>
      </c>
      <c r="E232" t="s">
        <v>243</v>
      </c>
      <c r="F232">
        <f>HYPERLINK("https://video.twimg.com/ext_tw_video/998769122832826368/pu/vid/1280x720/EWUqKwkY4g_SMDZ6.mp4?tag=3", "https://video.twimg.com/ext_tw_video/998769122832826368/pu/vid/1280x720/EWUqKwkY4g_SMDZ6.mp4?tag=3")</f>
        <v/>
      </c>
      <c r="G232" t="s"/>
      <c r="H232" t="s"/>
      <c r="I232" t="s"/>
      <c r="J232" t="n">
        <v>-0.6908</v>
      </c>
      <c r="K232" t="n">
        <v>0.239</v>
      </c>
      <c r="L232" t="n">
        <v>0.665</v>
      </c>
      <c r="M232" t="n">
        <v>0.097</v>
      </c>
    </row>
    <row r="233" spans="1:13">
      <c r="A233" s="1">
        <f>HYPERLINK("http://www.twitter.com/NathanBLawrence/status/998816139508682752", "998816139508682752")</f>
        <v/>
      </c>
      <c r="B233" s="2" t="n">
        <v>43242.27892361111</v>
      </c>
      <c r="C233" t="n">
        <v>0</v>
      </c>
      <c r="D233" t="n">
        <v>672</v>
      </c>
      <c r="E233" t="s">
        <v>244</v>
      </c>
      <c r="F233">
        <f>HYPERLINK("http://pbs.twimg.com/media/DdxMskkVAAExXFG.jpg", "http://pbs.twimg.com/media/DdxMskkVAAExXFG.jpg")</f>
        <v/>
      </c>
      <c r="G233" t="s"/>
      <c r="H233" t="s"/>
      <c r="I233" t="s"/>
      <c r="J233" t="n">
        <v>0.636</v>
      </c>
      <c r="K233" t="n">
        <v>0</v>
      </c>
      <c r="L233" t="n">
        <v>0.491</v>
      </c>
      <c r="M233" t="n">
        <v>0.509</v>
      </c>
    </row>
    <row r="234" spans="1:13">
      <c r="A234" s="1">
        <f>HYPERLINK("http://www.twitter.com/NathanBLawrence/status/998815989402886144", "998815989402886144")</f>
        <v/>
      </c>
      <c r="B234" s="2" t="n">
        <v>43242.27850694444</v>
      </c>
      <c r="C234" t="n">
        <v>0</v>
      </c>
      <c r="D234" t="n">
        <v>3252</v>
      </c>
      <c r="E234" t="s">
        <v>245</v>
      </c>
      <c r="F234" t="s"/>
      <c r="G234" t="s"/>
      <c r="H234" t="s"/>
      <c r="I234" t="s"/>
      <c r="J234" t="n">
        <v>-0.5106000000000001</v>
      </c>
      <c r="K234" t="n">
        <v>0.171</v>
      </c>
      <c r="L234" t="n">
        <v>0.829</v>
      </c>
      <c r="M234" t="n">
        <v>0</v>
      </c>
    </row>
    <row r="235" spans="1:13">
      <c r="A235" s="1">
        <f>HYPERLINK("http://www.twitter.com/NathanBLawrence/status/998815927327223809", "998815927327223809")</f>
        <v/>
      </c>
      <c r="B235" s="2" t="n">
        <v>43242.27833333334</v>
      </c>
      <c r="C235" t="n">
        <v>0</v>
      </c>
      <c r="D235" t="n">
        <v>306</v>
      </c>
      <c r="E235" t="s">
        <v>246</v>
      </c>
      <c r="F235">
        <f>HYPERLINK("https://video.twimg.com/ext_tw_video/998628524603797504/pu/vid/512x640/DLLjs71P8fgDZTW4.mp4?tag=3", "https://video.twimg.com/ext_tw_video/998628524603797504/pu/vid/512x640/DLLjs71P8fgDZTW4.mp4?tag=3")</f>
        <v/>
      </c>
      <c r="G235" t="s"/>
      <c r="H235" t="s"/>
      <c r="I235" t="s"/>
      <c r="J235" t="n">
        <v>-0.34</v>
      </c>
      <c r="K235" t="n">
        <v>0.186</v>
      </c>
      <c r="L235" t="n">
        <v>0.72</v>
      </c>
      <c r="M235" t="n">
        <v>0.095</v>
      </c>
    </row>
    <row r="236" spans="1:13">
      <c r="A236" s="1">
        <f>HYPERLINK("http://www.twitter.com/NathanBLawrence/status/998815803544829952", "998815803544829952")</f>
        <v/>
      </c>
      <c r="B236" s="2" t="n">
        <v>43242.27799768518</v>
      </c>
      <c r="C236" t="n">
        <v>0</v>
      </c>
      <c r="D236" t="n">
        <v>1972</v>
      </c>
      <c r="E236" t="s">
        <v>247</v>
      </c>
      <c r="F236" t="s"/>
      <c r="G236" t="s"/>
      <c r="H236" t="s"/>
      <c r="I236" t="s"/>
      <c r="J236" t="n">
        <v>0.4019</v>
      </c>
      <c r="K236" t="n">
        <v>0</v>
      </c>
      <c r="L236" t="n">
        <v>0.886</v>
      </c>
      <c r="M236" t="n">
        <v>0.114</v>
      </c>
    </row>
    <row r="237" spans="1:13">
      <c r="A237" s="1">
        <f>HYPERLINK("http://www.twitter.com/NathanBLawrence/status/998815720950697984", "998815720950697984")</f>
        <v/>
      </c>
      <c r="B237" s="2" t="n">
        <v>43242.2777662037</v>
      </c>
      <c r="C237" t="n">
        <v>0</v>
      </c>
      <c r="D237" t="n">
        <v>3471</v>
      </c>
      <c r="E237" t="s">
        <v>248</v>
      </c>
      <c r="F237" t="s"/>
      <c r="G237" t="s"/>
      <c r="H237" t="s"/>
      <c r="I237" t="s"/>
      <c r="J237" t="n">
        <v>0.4019</v>
      </c>
      <c r="K237" t="n">
        <v>0</v>
      </c>
      <c r="L237" t="n">
        <v>0.87</v>
      </c>
      <c r="M237" t="n">
        <v>0.13</v>
      </c>
    </row>
    <row r="238" spans="1:13">
      <c r="A238" s="1">
        <f>HYPERLINK("http://www.twitter.com/NathanBLawrence/status/998815552146739205", "998815552146739205")</f>
        <v/>
      </c>
      <c r="B238" s="2" t="n">
        <v>43242.27730324074</v>
      </c>
      <c r="C238" t="n">
        <v>0</v>
      </c>
      <c r="D238" t="n">
        <v>3788</v>
      </c>
      <c r="E238" t="s">
        <v>249</v>
      </c>
      <c r="F238" t="s"/>
      <c r="G238" t="s"/>
      <c r="H238" t="s"/>
      <c r="I238" t="s"/>
      <c r="J238" t="n">
        <v>0</v>
      </c>
      <c r="K238" t="n">
        <v>0</v>
      </c>
      <c r="L238" t="n">
        <v>1</v>
      </c>
      <c r="M238" t="n">
        <v>0</v>
      </c>
    </row>
    <row r="239" spans="1:13">
      <c r="A239" s="1">
        <f>HYPERLINK("http://www.twitter.com/NathanBLawrence/status/998815400547749888", "998815400547749888")</f>
        <v/>
      </c>
      <c r="B239" s="2" t="n">
        <v>43242.27688657407</v>
      </c>
      <c r="C239" t="n">
        <v>0</v>
      </c>
      <c r="D239" t="n">
        <v>1995</v>
      </c>
      <c r="E239" t="s">
        <v>250</v>
      </c>
      <c r="F239">
        <f>HYPERLINK("http://pbs.twimg.com/media/DdxCCHoVQAAYW3P.jpg", "http://pbs.twimg.com/media/DdxCCHoVQAAYW3P.jpg")</f>
        <v/>
      </c>
      <c r="G239" t="s"/>
      <c r="H239" t="s"/>
      <c r="I239" t="s"/>
      <c r="J239" t="n">
        <v>-0.4215</v>
      </c>
      <c r="K239" t="n">
        <v>0.118</v>
      </c>
      <c r="L239" t="n">
        <v>0.882</v>
      </c>
      <c r="M239" t="n">
        <v>0</v>
      </c>
    </row>
    <row r="240" spans="1:13">
      <c r="A240" s="1">
        <f>HYPERLINK("http://www.twitter.com/NathanBLawrence/status/998815349545062400", "998815349545062400")</f>
        <v/>
      </c>
      <c r="B240" s="2" t="n">
        <v>43242.27674768519</v>
      </c>
      <c r="C240" t="n">
        <v>0</v>
      </c>
      <c r="D240" t="n">
        <v>24</v>
      </c>
      <c r="E240" t="s">
        <v>251</v>
      </c>
      <c r="F240">
        <f>HYPERLINK("http://pbs.twimg.com/media/DdxZXVQVMAABj84.jpg", "http://pbs.twimg.com/media/DdxZXVQVMAABj84.jpg")</f>
        <v/>
      </c>
      <c r="G240" t="s"/>
      <c r="H240" t="s"/>
      <c r="I240" t="s"/>
      <c r="J240" t="n">
        <v>0</v>
      </c>
      <c r="K240" t="n">
        <v>0</v>
      </c>
      <c r="L240" t="n">
        <v>1</v>
      </c>
      <c r="M240" t="n">
        <v>0</v>
      </c>
    </row>
    <row r="241" spans="1:13">
      <c r="A241" s="1">
        <f>HYPERLINK("http://www.twitter.com/NathanBLawrence/status/998815192342581248", "998815192342581248")</f>
        <v/>
      </c>
      <c r="B241" s="2" t="n">
        <v>43242.27630787037</v>
      </c>
      <c r="C241" t="n">
        <v>0</v>
      </c>
      <c r="D241" t="n">
        <v>7678</v>
      </c>
      <c r="E241" t="s">
        <v>252</v>
      </c>
      <c r="F241" t="s"/>
      <c r="G241" t="s"/>
      <c r="H241" t="s"/>
      <c r="I241" t="s"/>
      <c r="J241" t="n">
        <v>0</v>
      </c>
      <c r="K241" t="n">
        <v>0</v>
      </c>
      <c r="L241" t="n">
        <v>1</v>
      </c>
      <c r="M241" t="n">
        <v>0</v>
      </c>
    </row>
    <row r="242" spans="1:13">
      <c r="A242" s="1">
        <f>HYPERLINK("http://www.twitter.com/NathanBLawrence/status/998647364347924481", "998647364347924481")</f>
        <v/>
      </c>
      <c r="B242" s="2" t="n">
        <v>43241.81319444445</v>
      </c>
      <c r="C242" t="n">
        <v>0</v>
      </c>
      <c r="D242" t="n">
        <v>14232</v>
      </c>
      <c r="E242" t="s">
        <v>253</v>
      </c>
      <c r="F242" t="s"/>
      <c r="G242" t="s"/>
      <c r="H242" t="s"/>
      <c r="I242" t="s"/>
      <c r="J242" t="n">
        <v>0.2023</v>
      </c>
      <c r="K242" t="n">
        <v>0</v>
      </c>
      <c r="L242" t="n">
        <v>0.913</v>
      </c>
      <c r="M242" t="n">
        <v>0.08699999999999999</v>
      </c>
    </row>
    <row r="243" spans="1:13">
      <c r="A243" s="1">
        <f>HYPERLINK("http://www.twitter.com/NathanBLawrence/status/998647317401079808", "998647317401079808")</f>
        <v/>
      </c>
      <c r="B243" s="2" t="n">
        <v>43241.81306712963</v>
      </c>
      <c r="C243" t="n">
        <v>0</v>
      </c>
      <c r="D243" t="n">
        <v>5343</v>
      </c>
      <c r="E243" t="s">
        <v>254</v>
      </c>
      <c r="F243">
        <f>HYPERLINK("http://pbs.twimg.com/media/DdvctiPUQAAlwtA.jpg", "http://pbs.twimg.com/media/DdvctiPUQAAlwtA.jpg")</f>
        <v/>
      </c>
      <c r="G243" t="s"/>
      <c r="H243" t="s"/>
      <c r="I243" t="s"/>
      <c r="J243" t="n">
        <v>-0.296</v>
      </c>
      <c r="K243" t="n">
        <v>0.091</v>
      </c>
      <c r="L243" t="n">
        <v>0.909</v>
      </c>
      <c r="M243" t="n">
        <v>0</v>
      </c>
    </row>
    <row r="244" spans="1:13">
      <c r="A244" s="1">
        <f>HYPERLINK("http://www.twitter.com/NathanBLawrence/status/998424925135351809", "998424925135351809")</f>
        <v/>
      </c>
      <c r="B244" s="2" t="n">
        <v>43241.199375</v>
      </c>
      <c r="C244" t="n">
        <v>0</v>
      </c>
      <c r="D244" t="n">
        <v>417</v>
      </c>
      <c r="E244" t="s">
        <v>255</v>
      </c>
      <c r="F244" t="s"/>
      <c r="G244" t="s"/>
      <c r="H244" t="s"/>
      <c r="I244" t="s"/>
      <c r="J244" t="n">
        <v>-0.5994</v>
      </c>
      <c r="K244" t="n">
        <v>0.224</v>
      </c>
      <c r="L244" t="n">
        <v>0.776</v>
      </c>
      <c r="M244" t="n">
        <v>0</v>
      </c>
    </row>
    <row r="245" spans="1:13">
      <c r="A245" s="1">
        <f>HYPERLINK("http://www.twitter.com/NathanBLawrence/status/998424837436641280", "998424837436641280")</f>
        <v/>
      </c>
      <c r="B245" s="2" t="n">
        <v>43241.19913194444</v>
      </c>
      <c r="C245" t="n">
        <v>0</v>
      </c>
      <c r="D245" t="n">
        <v>1748</v>
      </c>
      <c r="E245" t="s">
        <v>256</v>
      </c>
      <c r="F245" t="s"/>
      <c r="G245" t="s"/>
      <c r="H245" t="s"/>
      <c r="I245" t="s"/>
      <c r="J245" t="n">
        <v>0</v>
      </c>
      <c r="K245" t="n">
        <v>0</v>
      </c>
      <c r="L245" t="n">
        <v>1</v>
      </c>
      <c r="M245" t="n">
        <v>0</v>
      </c>
    </row>
    <row r="246" spans="1:13">
      <c r="A246" s="1">
        <f>HYPERLINK("http://www.twitter.com/NathanBLawrence/status/998424660470624256", "998424660470624256")</f>
        <v/>
      </c>
      <c r="B246" s="2" t="n">
        <v>43241.19864583333</v>
      </c>
      <c r="C246" t="n">
        <v>0</v>
      </c>
      <c r="D246" t="n">
        <v>2580</v>
      </c>
      <c r="E246" t="s">
        <v>257</v>
      </c>
      <c r="F246">
        <f>HYPERLINK("https://video.twimg.com/ext_tw_video/997836703661510658/pu/vid/640x360/ZOk_oPtVRsycJuMm.mp4?tag=3", "https://video.twimg.com/ext_tw_video/997836703661510658/pu/vid/640x360/ZOk_oPtVRsycJuMm.mp4?tag=3")</f>
        <v/>
      </c>
      <c r="G246" t="s"/>
      <c r="H246" t="s"/>
      <c r="I246" t="s"/>
      <c r="J246" t="n">
        <v>0</v>
      </c>
      <c r="K246" t="n">
        <v>0</v>
      </c>
      <c r="L246" t="n">
        <v>1</v>
      </c>
      <c r="M246" t="n">
        <v>0</v>
      </c>
    </row>
    <row r="247" spans="1:13">
      <c r="A247" s="1">
        <f>HYPERLINK("http://www.twitter.com/NathanBLawrence/status/998424372892372992", "998424372892372992")</f>
        <v/>
      </c>
      <c r="B247" s="2" t="n">
        <v>43241.19784722223</v>
      </c>
      <c r="C247" t="n">
        <v>0</v>
      </c>
      <c r="D247" t="n">
        <v>22894</v>
      </c>
      <c r="E247" t="s">
        <v>258</v>
      </c>
      <c r="F247" t="s"/>
      <c r="G247" t="s"/>
      <c r="H247" t="s"/>
      <c r="I247" t="s"/>
      <c r="J247" t="n">
        <v>-0.7251</v>
      </c>
      <c r="K247" t="n">
        <v>0.242</v>
      </c>
      <c r="L247" t="n">
        <v>0.758</v>
      </c>
      <c r="M247" t="n">
        <v>0</v>
      </c>
    </row>
    <row r="248" spans="1:13">
      <c r="A248" s="1">
        <f>HYPERLINK("http://www.twitter.com/NathanBLawrence/status/998424294525894656", "998424294525894656")</f>
        <v/>
      </c>
      <c r="B248" s="2" t="n">
        <v>43241.19763888889</v>
      </c>
      <c r="C248" t="n">
        <v>0</v>
      </c>
      <c r="D248" t="n">
        <v>26936</v>
      </c>
      <c r="E248" t="s">
        <v>259</v>
      </c>
      <c r="F248" t="s"/>
      <c r="G248" t="s"/>
      <c r="H248" t="s"/>
      <c r="I248" t="s"/>
      <c r="J248" t="n">
        <v>-0.7003</v>
      </c>
      <c r="K248" t="n">
        <v>0.225</v>
      </c>
      <c r="L248" t="n">
        <v>0.775</v>
      </c>
      <c r="M248" t="n">
        <v>0</v>
      </c>
    </row>
    <row r="249" spans="1:13">
      <c r="A249" s="1">
        <f>HYPERLINK("http://www.twitter.com/NathanBLawrence/status/998424212900638720", "998424212900638720")</f>
        <v/>
      </c>
      <c r="B249" s="2" t="n">
        <v>43241.19740740741</v>
      </c>
      <c r="C249" t="n">
        <v>0</v>
      </c>
      <c r="D249" t="n">
        <v>32043</v>
      </c>
      <c r="E249" t="s">
        <v>260</v>
      </c>
      <c r="F249" t="s"/>
      <c r="G249" t="s"/>
      <c r="H249" t="s"/>
      <c r="I249" t="s"/>
      <c r="J249" t="n">
        <v>0</v>
      </c>
      <c r="K249" t="n">
        <v>0</v>
      </c>
      <c r="L249" t="n">
        <v>1</v>
      </c>
      <c r="M249" t="n">
        <v>0</v>
      </c>
    </row>
    <row r="250" spans="1:13">
      <c r="A250" s="1">
        <f>HYPERLINK("http://www.twitter.com/NathanBLawrence/status/998424068905951232", "998424068905951232")</f>
        <v/>
      </c>
      <c r="B250" s="2" t="n">
        <v>43241.19701388889</v>
      </c>
      <c r="C250" t="n">
        <v>0</v>
      </c>
      <c r="D250" t="n">
        <v>30790</v>
      </c>
      <c r="E250" t="s">
        <v>261</v>
      </c>
      <c r="F250" t="s"/>
      <c r="G250" t="s"/>
      <c r="H250" t="s"/>
      <c r="I250" t="s"/>
      <c r="J250" t="n">
        <v>-0.6597</v>
      </c>
      <c r="K250" t="n">
        <v>0.278</v>
      </c>
      <c r="L250" t="n">
        <v>0.634</v>
      </c>
      <c r="M250" t="n">
        <v>0.08799999999999999</v>
      </c>
    </row>
    <row r="251" spans="1:13">
      <c r="A251" s="1">
        <f>HYPERLINK("http://www.twitter.com/NathanBLawrence/status/998424014883303425", "998424014883303425")</f>
        <v/>
      </c>
      <c r="B251" s="2" t="n">
        <v>43241.19686342592</v>
      </c>
      <c r="C251" t="n">
        <v>0</v>
      </c>
      <c r="D251" t="n">
        <v>707</v>
      </c>
      <c r="E251" t="s">
        <v>262</v>
      </c>
      <c r="F251">
        <f>HYPERLINK("https://video.twimg.com/amplify_video/998230864969551872/vid/1280x720/9LDrEh-if6eyvYpJ.mp4?tag=2", "https://video.twimg.com/amplify_video/998230864969551872/vid/1280x720/9LDrEh-if6eyvYpJ.mp4?tag=2")</f>
        <v/>
      </c>
      <c r="G251" t="s"/>
      <c r="H251" t="s"/>
      <c r="I251" t="s"/>
      <c r="J251" t="n">
        <v>-0.4939</v>
      </c>
      <c r="K251" t="n">
        <v>0.158</v>
      </c>
      <c r="L251" t="n">
        <v>0.842</v>
      </c>
      <c r="M251" t="n">
        <v>0</v>
      </c>
    </row>
    <row r="252" spans="1:13">
      <c r="A252" s="1">
        <f>HYPERLINK("http://www.twitter.com/NathanBLawrence/status/998423950395928576", "998423950395928576")</f>
        <v/>
      </c>
      <c r="B252" s="2" t="n">
        <v>43241.19668981482</v>
      </c>
      <c r="C252" t="n">
        <v>0</v>
      </c>
      <c r="D252" t="n">
        <v>4232</v>
      </c>
      <c r="E252" t="s">
        <v>263</v>
      </c>
      <c r="F252">
        <f>HYPERLINK("https://video.twimg.com/amplify_video/973590495258710017/vid/1280x720/gAM6mepWKaqh72za.mp4", "https://video.twimg.com/amplify_video/973590495258710017/vid/1280x720/gAM6mepWKaqh72za.mp4")</f>
        <v/>
      </c>
      <c r="G252" t="s"/>
      <c r="H252" t="s"/>
      <c r="I252" t="s"/>
      <c r="J252" t="n">
        <v>-0.8270999999999999</v>
      </c>
      <c r="K252" t="n">
        <v>0.377</v>
      </c>
      <c r="L252" t="n">
        <v>0.623</v>
      </c>
      <c r="M252" t="n">
        <v>0</v>
      </c>
    </row>
    <row r="253" spans="1:13">
      <c r="A253" s="1">
        <f>HYPERLINK("http://www.twitter.com/NathanBLawrence/status/998423852865740801", "998423852865740801")</f>
        <v/>
      </c>
      <c r="B253" s="2" t="n">
        <v>43241.19641203704</v>
      </c>
      <c r="C253" t="n">
        <v>0</v>
      </c>
      <c r="D253" t="n">
        <v>3</v>
      </c>
      <c r="E253" t="s">
        <v>264</v>
      </c>
      <c r="F253" t="s"/>
      <c r="G253" t="s"/>
      <c r="H253" t="s"/>
      <c r="I253" t="s"/>
      <c r="J253" t="n">
        <v>0</v>
      </c>
      <c r="K253" t="n">
        <v>0</v>
      </c>
      <c r="L253" t="n">
        <v>1</v>
      </c>
      <c r="M253" t="n">
        <v>0</v>
      </c>
    </row>
    <row r="254" spans="1:13">
      <c r="A254" s="1">
        <f>HYPERLINK("http://www.twitter.com/NathanBLawrence/status/998423808393478144", "998423808393478144")</f>
        <v/>
      </c>
      <c r="B254" s="2" t="n">
        <v>43241.19629629629</v>
      </c>
      <c r="C254" t="n">
        <v>0</v>
      </c>
      <c r="D254" t="n">
        <v>11</v>
      </c>
      <c r="E254" t="s">
        <v>265</v>
      </c>
      <c r="F254">
        <f>HYPERLINK("http://pbs.twimg.com/media/Ddscm9FU0AAW_v0.jpg", "http://pbs.twimg.com/media/Ddscm9FU0AAW_v0.jpg")</f>
        <v/>
      </c>
      <c r="G254" t="s"/>
      <c r="H254" t="s"/>
      <c r="I254" t="s"/>
      <c r="J254" t="n">
        <v>-0.5198</v>
      </c>
      <c r="K254" t="n">
        <v>0.187</v>
      </c>
      <c r="L254" t="n">
        <v>0.8129999999999999</v>
      </c>
      <c r="M254" t="n">
        <v>0</v>
      </c>
    </row>
    <row r="255" spans="1:13">
      <c r="A255" s="1">
        <f>HYPERLINK("http://www.twitter.com/NathanBLawrence/status/998422314416005121", "998422314416005121")</f>
        <v/>
      </c>
      <c r="B255" s="2" t="n">
        <v>43241.19217592593</v>
      </c>
      <c r="C255" t="n">
        <v>0</v>
      </c>
      <c r="D255" t="n">
        <v>3628</v>
      </c>
      <c r="E255" t="s">
        <v>266</v>
      </c>
      <c r="F255">
        <f>HYPERLINK("https://video.twimg.com/ext_tw_video/998281828149616640/pu/vid/1280x720/9Qwa45iMwc1kSWjP.mp4?tag=3", "https://video.twimg.com/ext_tw_video/998281828149616640/pu/vid/1280x720/9Qwa45iMwc1kSWjP.mp4?tag=3")</f>
        <v/>
      </c>
      <c r="G255" t="s"/>
      <c r="H255" t="s"/>
      <c r="I255" t="s"/>
      <c r="J255" t="n">
        <v>-0.128</v>
      </c>
      <c r="K255" t="n">
        <v>0.077</v>
      </c>
      <c r="L255" t="n">
        <v>0.923</v>
      </c>
      <c r="M255" t="n">
        <v>0</v>
      </c>
    </row>
    <row r="256" spans="1:13">
      <c r="A256" s="1">
        <f>HYPERLINK("http://www.twitter.com/NathanBLawrence/status/998421896604667904", "998421896604667904")</f>
        <v/>
      </c>
      <c r="B256" s="2" t="n">
        <v>43241.19101851852</v>
      </c>
      <c r="C256" t="n">
        <v>0</v>
      </c>
      <c r="D256" t="n">
        <v>3</v>
      </c>
      <c r="E256" t="s">
        <v>267</v>
      </c>
      <c r="F256">
        <f>HYPERLINK("http://pbs.twimg.com/media/DdsaCUOUQAU-yGk.jpg", "http://pbs.twimg.com/media/DdsaCUOUQAU-yGk.jpg")</f>
        <v/>
      </c>
      <c r="G256" t="s"/>
      <c r="H256" t="s"/>
      <c r="I256" t="s"/>
      <c r="J256" t="n">
        <v>0</v>
      </c>
      <c r="K256" t="n">
        <v>0</v>
      </c>
      <c r="L256" t="n">
        <v>1</v>
      </c>
      <c r="M256" t="n">
        <v>0</v>
      </c>
    </row>
    <row r="257" spans="1:13">
      <c r="A257" s="1">
        <f>HYPERLINK("http://www.twitter.com/NathanBLawrence/status/998421850836361216", "998421850836361216")</f>
        <v/>
      </c>
      <c r="B257" s="2" t="n">
        <v>43241.1908912037</v>
      </c>
      <c r="C257" t="n">
        <v>0</v>
      </c>
      <c r="D257" t="n">
        <v>2684</v>
      </c>
      <c r="E257" t="s">
        <v>268</v>
      </c>
      <c r="F257" t="s"/>
      <c r="G257" t="s"/>
      <c r="H257" t="s"/>
      <c r="I257" t="s"/>
      <c r="J257" t="n">
        <v>0.3818</v>
      </c>
      <c r="K257" t="n">
        <v>0</v>
      </c>
      <c r="L257" t="n">
        <v>0.89</v>
      </c>
      <c r="M257" t="n">
        <v>0.11</v>
      </c>
    </row>
    <row r="258" spans="1:13">
      <c r="A258" s="1">
        <f>HYPERLINK("http://www.twitter.com/NathanBLawrence/status/998421758616178688", "998421758616178688")</f>
        <v/>
      </c>
      <c r="B258" s="2" t="n">
        <v>43241.19063657407</v>
      </c>
      <c r="C258" t="n">
        <v>0</v>
      </c>
      <c r="D258" t="n">
        <v>8</v>
      </c>
      <c r="E258" t="s">
        <v>269</v>
      </c>
      <c r="F258">
        <f>HYPERLINK("http://pbs.twimg.com/media/DZ6EL9bUQAAfLbz.png", "http://pbs.twimg.com/media/DZ6EL9bUQAAfLbz.png")</f>
        <v/>
      </c>
      <c r="G258" t="s"/>
      <c r="H258" t="s"/>
      <c r="I258" t="s"/>
      <c r="J258" t="n">
        <v>0.508</v>
      </c>
      <c r="K258" t="n">
        <v>0</v>
      </c>
      <c r="L258" t="n">
        <v>0.875</v>
      </c>
      <c r="M258" t="n">
        <v>0.125</v>
      </c>
    </row>
    <row r="259" spans="1:13">
      <c r="A259" s="1">
        <f>HYPERLINK("http://www.twitter.com/NathanBLawrence/status/998421035019063296", "998421035019063296")</f>
        <v/>
      </c>
      <c r="B259" s="2" t="n">
        <v>43241.18864583333</v>
      </c>
      <c r="C259" t="n">
        <v>0</v>
      </c>
      <c r="D259" t="n">
        <v>15575</v>
      </c>
      <c r="E259" t="s">
        <v>270</v>
      </c>
      <c r="F259" t="s"/>
      <c r="G259" t="s"/>
      <c r="H259" t="s"/>
      <c r="I259" t="s"/>
      <c r="J259" t="n">
        <v>-0.658</v>
      </c>
      <c r="K259" t="n">
        <v>0.204</v>
      </c>
      <c r="L259" t="n">
        <v>0.796</v>
      </c>
      <c r="M259" t="n">
        <v>0</v>
      </c>
    </row>
    <row r="260" spans="1:13">
      <c r="A260" s="1">
        <f>HYPERLINK("http://www.twitter.com/NathanBLawrence/status/998420932212518912", "998420932212518912")</f>
        <v/>
      </c>
      <c r="B260" s="2" t="n">
        <v>43241.18835648148</v>
      </c>
      <c r="C260" t="n">
        <v>0</v>
      </c>
      <c r="D260" t="n">
        <v>4328</v>
      </c>
      <c r="E260" t="s">
        <v>271</v>
      </c>
      <c r="F260" t="s"/>
      <c r="G260" t="s"/>
      <c r="H260" t="s"/>
      <c r="I260" t="s"/>
      <c r="J260" t="n">
        <v>-0.0258</v>
      </c>
      <c r="K260" t="n">
        <v>0.052</v>
      </c>
      <c r="L260" t="n">
        <v>0.899</v>
      </c>
      <c r="M260" t="n">
        <v>0.049</v>
      </c>
    </row>
    <row r="261" spans="1:13">
      <c r="A261" s="1">
        <f>HYPERLINK("http://www.twitter.com/NathanBLawrence/status/998420795633389568", "998420795633389568")</f>
        <v/>
      </c>
      <c r="B261" s="2" t="n">
        <v>43241.18798611111</v>
      </c>
      <c r="C261" t="n">
        <v>0</v>
      </c>
      <c r="D261" t="n">
        <v>2130</v>
      </c>
      <c r="E261" t="s">
        <v>272</v>
      </c>
      <c r="F261" t="s"/>
      <c r="G261" t="s"/>
      <c r="H261" t="s"/>
      <c r="I261" t="s"/>
      <c r="J261" t="n">
        <v>-0.6808</v>
      </c>
      <c r="K261" t="n">
        <v>0.339</v>
      </c>
      <c r="L261" t="n">
        <v>0.522</v>
      </c>
      <c r="M261" t="n">
        <v>0.139</v>
      </c>
    </row>
    <row r="262" spans="1:13">
      <c r="A262" s="1">
        <f>HYPERLINK("http://www.twitter.com/NathanBLawrence/status/998420314127323136", "998420314127323136")</f>
        <v/>
      </c>
      <c r="B262" s="2" t="n">
        <v>43241.18665509259</v>
      </c>
      <c r="C262" t="n">
        <v>0</v>
      </c>
      <c r="D262" t="n">
        <v>36</v>
      </c>
      <c r="E262" t="s">
        <v>273</v>
      </c>
      <c r="F262">
        <f>HYPERLINK("http://pbs.twimg.com/media/DdsVEWPUwAAACbt.jpg", "http://pbs.twimg.com/media/DdsVEWPUwAAACbt.jpg")</f>
        <v/>
      </c>
      <c r="G262" t="s"/>
      <c r="H262" t="s"/>
      <c r="I262" t="s"/>
      <c r="J262" t="n">
        <v>-0.3244</v>
      </c>
      <c r="K262" t="n">
        <v>0.105</v>
      </c>
      <c r="L262" t="n">
        <v>0.842</v>
      </c>
      <c r="M262" t="n">
        <v>0.052</v>
      </c>
    </row>
    <row r="263" spans="1:13">
      <c r="A263" s="1">
        <f>HYPERLINK("http://www.twitter.com/NathanBLawrence/status/998420288147722240", "998420288147722240")</f>
        <v/>
      </c>
      <c r="B263" s="2" t="n">
        <v>43241.18658564815</v>
      </c>
      <c r="C263" t="n">
        <v>0</v>
      </c>
      <c r="D263" t="n">
        <v>44</v>
      </c>
      <c r="E263" t="s">
        <v>274</v>
      </c>
      <c r="F263">
        <f>HYPERLINK("https://video.twimg.com/amplify_video/998027443918262272/vid/1280x720/Q2zrG67mI0_VQvw_.mp4?tag=2", "https://video.twimg.com/amplify_video/998027443918262272/vid/1280x720/Q2zrG67mI0_VQvw_.mp4?tag=2")</f>
        <v/>
      </c>
      <c r="G263" t="s"/>
      <c r="H263" t="s"/>
      <c r="I263" t="s"/>
      <c r="J263" t="n">
        <v>0.4003</v>
      </c>
      <c r="K263" t="n">
        <v>0</v>
      </c>
      <c r="L263" t="n">
        <v>0.899</v>
      </c>
      <c r="M263" t="n">
        <v>0.101</v>
      </c>
    </row>
    <row r="264" spans="1:13">
      <c r="A264" s="1">
        <f>HYPERLINK("http://www.twitter.com/NathanBLawrence/status/998420211152891904", "998420211152891904")</f>
        <v/>
      </c>
      <c r="B264" s="2" t="n">
        <v>43241.18636574074</v>
      </c>
      <c r="C264" t="n">
        <v>0</v>
      </c>
      <c r="D264" t="n">
        <v>5599</v>
      </c>
      <c r="E264" t="s">
        <v>275</v>
      </c>
      <c r="F264" t="s"/>
      <c r="G264" t="s"/>
      <c r="H264" t="s"/>
      <c r="I264" t="s"/>
      <c r="J264" t="n">
        <v>0</v>
      </c>
      <c r="K264" t="n">
        <v>0</v>
      </c>
      <c r="L264" t="n">
        <v>1</v>
      </c>
      <c r="M264" t="n">
        <v>0</v>
      </c>
    </row>
    <row r="265" spans="1:13">
      <c r="A265" s="1">
        <f>HYPERLINK("http://www.twitter.com/NathanBLawrence/status/998420143708475393", "998420143708475393")</f>
        <v/>
      </c>
      <c r="B265" s="2" t="n">
        <v>43241.18618055555</v>
      </c>
      <c r="C265" t="n">
        <v>0</v>
      </c>
      <c r="D265" t="n">
        <v>749</v>
      </c>
      <c r="E265" t="s">
        <v>276</v>
      </c>
      <c r="F265">
        <f>HYPERLINK("https://video.twimg.com/ext_tw_video/998403577176510464/pu/vid/720x720/-2tDWGKIyJyXXgvT.mp4?tag=3", "https://video.twimg.com/ext_tw_video/998403577176510464/pu/vid/720x720/-2tDWGKIyJyXXgvT.mp4?tag=3")</f>
        <v/>
      </c>
      <c r="G265" t="s"/>
      <c r="H265" t="s"/>
      <c r="I265" t="s"/>
      <c r="J265" t="n">
        <v>0</v>
      </c>
      <c r="K265" t="n">
        <v>0</v>
      </c>
      <c r="L265" t="n">
        <v>1</v>
      </c>
      <c r="M265" t="n">
        <v>0</v>
      </c>
    </row>
    <row r="266" spans="1:13">
      <c r="A266" s="1">
        <f>HYPERLINK("http://www.twitter.com/NathanBLawrence/status/998419514277711872", "998419514277711872")</f>
        <v/>
      </c>
      <c r="B266" s="2" t="n">
        <v>43241.18444444444</v>
      </c>
      <c r="C266" t="n">
        <v>0</v>
      </c>
      <c r="D266" t="n">
        <v>730</v>
      </c>
      <c r="E266" t="s">
        <v>277</v>
      </c>
      <c r="F266">
        <f>HYPERLINK("http://pbs.twimg.com/media/Ddop5TXV4AEUVGB.jpg", "http://pbs.twimg.com/media/Ddop5TXV4AEUVGB.jpg")</f>
        <v/>
      </c>
      <c r="G266" t="s"/>
      <c r="H266" t="s"/>
      <c r="I266" t="s"/>
      <c r="J266" t="n">
        <v>0.5106000000000001</v>
      </c>
      <c r="K266" t="n">
        <v>0</v>
      </c>
      <c r="L266" t="n">
        <v>0.852</v>
      </c>
      <c r="M266" t="n">
        <v>0.148</v>
      </c>
    </row>
    <row r="267" spans="1:13">
      <c r="A267" s="1">
        <f>HYPERLINK("http://www.twitter.com/NathanBLawrence/status/998419073045356544", "998419073045356544")</f>
        <v/>
      </c>
      <c r="B267" s="2" t="n">
        <v>43241.18322916667</v>
      </c>
      <c r="C267" t="n">
        <v>0</v>
      </c>
      <c r="D267" t="n">
        <v>11</v>
      </c>
      <c r="E267" t="s">
        <v>278</v>
      </c>
      <c r="F267" t="s"/>
      <c r="G267" t="s"/>
      <c r="H267" t="s"/>
      <c r="I267" t="s"/>
      <c r="J267" t="n">
        <v>0</v>
      </c>
      <c r="K267" t="n">
        <v>0</v>
      </c>
      <c r="L267" t="n">
        <v>1</v>
      </c>
      <c r="M267" t="n">
        <v>0</v>
      </c>
    </row>
    <row r="268" spans="1:13">
      <c r="A268" s="1">
        <f>HYPERLINK("http://www.twitter.com/NathanBLawrence/status/998418400341880832", "998418400341880832")</f>
        <v/>
      </c>
      <c r="B268" s="2" t="n">
        <v>43241.18137731482</v>
      </c>
      <c r="C268" t="n">
        <v>10</v>
      </c>
      <c r="D268" t="n">
        <v>9</v>
      </c>
      <c r="E268" t="s">
        <v>279</v>
      </c>
      <c r="F268" t="s"/>
      <c r="G268" t="s"/>
      <c r="H268" t="s"/>
      <c r="I268" t="s"/>
      <c r="J268" t="n">
        <v>0</v>
      </c>
      <c r="K268" t="n">
        <v>0</v>
      </c>
      <c r="L268" t="n">
        <v>1</v>
      </c>
      <c r="M268" t="n">
        <v>0</v>
      </c>
    </row>
    <row r="269" spans="1:13">
      <c r="A269" s="1">
        <f>HYPERLINK("http://www.twitter.com/NathanBLawrence/status/998418225854664704", "998418225854664704")</f>
        <v/>
      </c>
      <c r="B269" s="2" t="n">
        <v>43241.1808912037</v>
      </c>
      <c r="C269" t="n">
        <v>0</v>
      </c>
      <c r="D269" t="n">
        <v>65</v>
      </c>
      <c r="E269" t="s">
        <v>280</v>
      </c>
      <c r="F269">
        <f>HYPERLINK("http://pbs.twimg.com/media/DdsO14BU8AEASWM.jpg", "http://pbs.twimg.com/media/DdsO14BU8AEASWM.jpg")</f>
        <v/>
      </c>
      <c r="G269" t="s"/>
      <c r="H269" t="s"/>
      <c r="I269" t="s"/>
      <c r="J269" t="n">
        <v>0</v>
      </c>
      <c r="K269" t="n">
        <v>0</v>
      </c>
      <c r="L269" t="n">
        <v>1</v>
      </c>
      <c r="M269" t="n">
        <v>0</v>
      </c>
    </row>
    <row r="270" spans="1:13">
      <c r="A270" s="1">
        <f>HYPERLINK("http://www.twitter.com/NathanBLawrence/status/998417152226086913", "998417152226086913")</f>
        <v/>
      </c>
      <c r="B270" s="2" t="n">
        <v>43241.17792824074</v>
      </c>
      <c r="C270" t="n">
        <v>0</v>
      </c>
      <c r="D270" t="n">
        <v>1</v>
      </c>
      <c r="E270" t="s">
        <v>281</v>
      </c>
      <c r="F270" t="s"/>
      <c r="G270" t="s"/>
      <c r="H270" t="s"/>
      <c r="I270" t="s"/>
      <c r="J270" t="n">
        <v>-0.3182</v>
      </c>
      <c r="K270" t="n">
        <v>0.09</v>
      </c>
      <c r="L270" t="n">
        <v>0.865</v>
      </c>
      <c r="M270" t="n">
        <v>0.045</v>
      </c>
    </row>
    <row r="271" spans="1:13">
      <c r="A271" s="1">
        <f>HYPERLINK("http://www.twitter.com/NathanBLawrence/status/998416530021998592", "998416530021998592")</f>
        <v/>
      </c>
      <c r="B271" s="2" t="n">
        <v>43241.17621527778</v>
      </c>
      <c r="C271" t="n">
        <v>0</v>
      </c>
      <c r="D271" t="n">
        <v>361</v>
      </c>
      <c r="E271" t="s">
        <v>282</v>
      </c>
      <c r="F271" t="s"/>
      <c r="G271" t="s"/>
      <c r="H271" t="s"/>
      <c r="I271" t="s"/>
      <c r="J271" t="n">
        <v>-0.802</v>
      </c>
      <c r="K271" t="n">
        <v>0.369</v>
      </c>
      <c r="L271" t="n">
        <v>0.47</v>
      </c>
      <c r="M271" t="n">
        <v>0.161</v>
      </c>
    </row>
    <row r="272" spans="1:13">
      <c r="A272" s="1">
        <f>HYPERLINK("http://www.twitter.com/NathanBLawrence/status/998416223988867072", "998416223988867072")</f>
        <v/>
      </c>
      <c r="B272" s="2" t="n">
        <v>43241.17537037037</v>
      </c>
      <c r="C272" t="n">
        <v>0</v>
      </c>
      <c r="D272" t="n">
        <v>1020</v>
      </c>
      <c r="E272" t="s">
        <v>283</v>
      </c>
      <c r="F272">
        <f>HYPERLINK("https://video.twimg.com/ext_tw_video/998279780515500032/pu/vid/720x720/z2S1Vu1uOHzeOKFE.mp4?tag=3", "https://video.twimg.com/ext_tw_video/998279780515500032/pu/vid/720x720/z2S1Vu1uOHzeOKFE.mp4?tag=3")</f>
        <v/>
      </c>
      <c r="G272" t="s"/>
      <c r="H272" t="s"/>
      <c r="I272" t="s"/>
      <c r="J272" t="n">
        <v>0</v>
      </c>
      <c r="K272" t="n">
        <v>0</v>
      </c>
      <c r="L272" t="n">
        <v>1</v>
      </c>
      <c r="M272" t="n">
        <v>0</v>
      </c>
    </row>
    <row r="273" spans="1:13">
      <c r="A273" s="1">
        <f>HYPERLINK("http://www.twitter.com/NathanBLawrence/status/998416035396161536", "998416035396161536")</f>
        <v/>
      </c>
      <c r="B273" s="2" t="n">
        <v>43241.17484953703</v>
      </c>
      <c r="C273" t="n">
        <v>0</v>
      </c>
      <c r="D273" t="n">
        <v>6024</v>
      </c>
      <c r="E273" t="s">
        <v>284</v>
      </c>
      <c r="F273">
        <f>HYPERLINK("http://pbs.twimg.com/media/Ddq9-yoUQAAiZqc.jpg", "http://pbs.twimg.com/media/Ddq9-yoUQAAiZqc.jpg")</f>
        <v/>
      </c>
      <c r="G273" t="s"/>
      <c r="H273" t="s"/>
      <c r="I273" t="s"/>
      <c r="J273" t="n">
        <v>-0.7964</v>
      </c>
      <c r="K273" t="n">
        <v>0.323</v>
      </c>
      <c r="L273" t="n">
        <v>0.677</v>
      </c>
      <c r="M273" t="n">
        <v>0</v>
      </c>
    </row>
    <row r="274" spans="1:13">
      <c r="A274" s="1">
        <f>HYPERLINK("http://www.twitter.com/NathanBLawrence/status/998415862452416513", "998415862452416513")</f>
        <v/>
      </c>
      <c r="B274" s="2" t="n">
        <v>43241.17436342593</v>
      </c>
      <c r="C274" t="n">
        <v>0</v>
      </c>
      <c r="D274" t="n">
        <v>523</v>
      </c>
      <c r="E274" t="s">
        <v>285</v>
      </c>
      <c r="F274" t="s"/>
      <c r="G274" t="s"/>
      <c r="H274" t="s"/>
      <c r="I274" t="s"/>
      <c r="J274" t="n">
        <v>0.6486</v>
      </c>
      <c r="K274" t="n">
        <v>0</v>
      </c>
      <c r="L274" t="n">
        <v>0.739</v>
      </c>
      <c r="M274" t="n">
        <v>0.261</v>
      </c>
    </row>
    <row r="275" spans="1:13">
      <c r="A275" s="1">
        <f>HYPERLINK("http://www.twitter.com/NathanBLawrence/status/998415570793099265", "998415570793099265")</f>
        <v/>
      </c>
      <c r="B275" s="2" t="n">
        <v>43241.17356481482</v>
      </c>
      <c r="C275" t="n">
        <v>0</v>
      </c>
      <c r="D275" t="n">
        <v>152</v>
      </c>
      <c r="E275" t="s">
        <v>286</v>
      </c>
      <c r="F275" t="s"/>
      <c r="G275" t="s"/>
      <c r="H275" t="s"/>
      <c r="I275" t="s"/>
      <c r="J275" t="n">
        <v>0.3392</v>
      </c>
      <c r="K275" t="n">
        <v>0</v>
      </c>
      <c r="L275" t="n">
        <v>0.902</v>
      </c>
      <c r="M275" t="n">
        <v>0.098</v>
      </c>
    </row>
    <row r="276" spans="1:13">
      <c r="A276" s="1">
        <f>HYPERLINK("http://www.twitter.com/NathanBLawrence/status/998415277418340353", "998415277418340353")</f>
        <v/>
      </c>
      <c r="B276" s="2" t="n">
        <v>43241.17275462963</v>
      </c>
      <c r="C276" t="n">
        <v>0</v>
      </c>
      <c r="D276" t="n">
        <v>421</v>
      </c>
      <c r="E276" t="s">
        <v>287</v>
      </c>
      <c r="F276" t="s"/>
      <c r="G276" t="s"/>
      <c r="H276" t="s"/>
      <c r="I276" t="s"/>
      <c r="J276" t="n">
        <v>0</v>
      </c>
      <c r="K276" t="n">
        <v>0</v>
      </c>
      <c r="L276" t="n">
        <v>1</v>
      </c>
      <c r="M276" t="n">
        <v>0</v>
      </c>
    </row>
    <row r="277" spans="1:13">
      <c r="A277" s="1">
        <f>HYPERLINK("http://www.twitter.com/NathanBLawrence/status/998414958101782531", "998414958101782531")</f>
        <v/>
      </c>
      <c r="B277" s="2" t="n">
        <v>43241.171875</v>
      </c>
      <c r="C277" t="n">
        <v>0</v>
      </c>
      <c r="D277" t="n">
        <v>7666</v>
      </c>
      <c r="E277" t="s">
        <v>288</v>
      </c>
      <c r="F277" t="s"/>
      <c r="G277" t="s"/>
      <c r="H277" t="s"/>
      <c r="I277" t="s"/>
      <c r="J277" t="n">
        <v>-0.7644</v>
      </c>
      <c r="K277" t="n">
        <v>0.255</v>
      </c>
      <c r="L277" t="n">
        <v>0.68</v>
      </c>
      <c r="M277" t="n">
        <v>0.065</v>
      </c>
    </row>
    <row r="278" spans="1:13">
      <c r="A278" s="1">
        <f>HYPERLINK("http://www.twitter.com/NathanBLawrence/status/998414834399145989", "998414834399145989")</f>
        <v/>
      </c>
      <c r="B278" s="2" t="n">
        <v>43241.17152777778</v>
      </c>
      <c r="C278" t="n">
        <v>0</v>
      </c>
      <c r="D278" t="n">
        <v>830</v>
      </c>
      <c r="E278" t="s">
        <v>289</v>
      </c>
      <c r="F278" t="s"/>
      <c r="G278" t="s"/>
      <c r="H278" t="s"/>
      <c r="I278" t="s"/>
      <c r="J278" t="n">
        <v>0.4767</v>
      </c>
      <c r="K278" t="n">
        <v>0</v>
      </c>
      <c r="L278" t="n">
        <v>0.806</v>
      </c>
      <c r="M278" t="n">
        <v>0.194</v>
      </c>
    </row>
    <row r="279" spans="1:13">
      <c r="A279" s="1">
        <f>HYPERLINK("http://www.twitter.com/NathanBLawrence/status/998414400305410049", "998414400305410049")</f>
        <v/>
      </c>
      <c r="B279" s="2" t="n">
        <v>43241.17033564814</v>
      </c>
      <c r="C279" t="n">
        <v>0</v>
      </c>
      <c r="D279" t="n">
        <v>56</v>
      </c>
      <c r="E279" t="s">
        <v>290</v>
      </c>
      <c r="F279" t="s"/>
      <c r="G279" t="s"/>
      <c r="H279" t="s"/>
      <c r="I279" t="s"/>
      <c r="J279" t="n">
        <v>-0.5719</v>
      </c>
      <c r="K279" t="n">
        <v>0.134</v>
      </c>
      <c r="L279" t="n">
        <v>0.866</v>
      </c>
      <c r="M279" t="n">
        <v>0</v>
      </c>
    </row>
    <row r="280" spans="1:13">
      <c r="A280" s="1">
        <f>HYPERLINK("http://www.twitter.com/NathanBLawrence/status/998414013326381056", "998414013326381056")</f>
        <v/>
      </c>
      <c r="B280" s="2" t="n">
        <v>43241.16927083334</v>
      </c>
      <c r="C280" t="n">
        <v>0</v>
      </c>
      <c r="D280" t="n">
        <v>113</v>
      </c>
      <c r="E280" t="s">
        <v>291</v>
      </c>
      <c r="F280" t="s"/>
      <c r="G280" t="s"/>
      <c r="H280" t="s"/>
      <c r="I280" t="s"/>
      <c r="J280" t="n">
        <v>0</v>
      </c>
      <c r="K280" t="n">
        <v>0</v>
      </c>
      <c r="L280" t="n">
        <v>1</v>
      </c>
      <c r="M280" t="n">
        <v>0</v>
      </c>
    </row>
    <row r="281" spans="1:13">
      <c r="A281" s="1">
        <f>HYPERLINK("http://www.twitter.com/NathanBLawrence/status/998413739694153728", "998413739694153728")</f>
        <v/>
      </c>
      <c r="B281" s="2" t="n">
        <v>43241.16850694444</v>
      </c>
      <c r="C281" t="n">
        <v>0</v>
      </c>
      <c r="D281" t="n">
        <v>526</v>
      </c>
      <c r="E281" t="s">
        <v>292</v>
      </c>
      <c r="F281">
        <f>HYPERLINK("https://video.twimg.com/ext_tw_video/997570689375797250/pu/vid/720x720/VZDv66_ehalj9Ykj.mp4?tag=3", "https://video.twimg.com/ext_tw_video/997570689375797250/pu/vid/720x720/VZDv66_ehalj9Ykj.mp4?tag=3")</f>
        <v/>
      </c>
      <c r="G281" t="s"/>
      <c r="H281" t="s"/>
      <c r="I281" t="s"/>
      <c r="J281" t="n">
        <v>0.2732</v>
      </c>
      <c r="K281" t="n">
        <v>0</v>
      </c>
      <c r="L281" t="n">
        <v>0.913</v>
      </c>
      <c r="M281" t="n">
        <v>0.08699999999999999</v>
      </c>
    </row>
    <row r="282" spans="1:13">
      <c r="A282" s="1">
        <f>HYPERLINK("http://www.twitter.com/NathanBLawrence/status/998413633989365760", "998413633989365760")</f>
        <v/>
      </c>
      <c r="B282" s="2" t="n">
        <v>43241.1682175926</v>
      </c>
      <c r="C282" t="n">
        <v>0</v>
      </c>
      <c r="D282" t="n">
        <v>850</v>
      </c>
      <c r="E282" t="s">
        <v>293</v>
      </c>
      <c r="F282" t="s"/>
      <c r="G282" t="s"/>
      <c r="H282" t="s"/>
      <c r="I282" t="s"/>
      <c r="J282" t="n">
        <v>-0.5266999999999999</v>
      </c>
      <c r="K282" t="n">
        <v>0.18</v>
      </c>
      <c r="L282" t="n">
        <v>0.82</v>
      </c>
      <c r="M282" t="n">
        <v>0</v>
      </c>
    </row>
    <row r="283" spans="1:13">
      <c r="A283" s="1">
        <f>HYPERLINK("http://www.twitter.com/NathanBLawrence/status/998413455001563136", "998413455001563136")</f>
        <v/>
      </c>
      <c r="B283" s="2" t="n">
        <v>43241.1677199074</v>
      </c>
      <c r="C283" t="n">
        <v>0</v>
      </c>
      <c r="D283" t="n">
        <v>501</v>
      </c>
      <c r="E283" t="s">
        <v>294</v>
      </c>
      <c r="F283">
        <f>HYPERLINK("http://pbs.twimg.com/media/DdsEyCbUQAERPki.jpg", "http://pbs.twimg.com/media/DdsEyCbUQAERPki.jpg")</f>
        <v/>
      </c>
      <c r="G283" t="s"/>
      <c r="H283" t="s"/>
      <c r="I283" t="s"/>
      <c r="J283" t="n">
        <v>0.4404</v>
      </c>
      <c r="K283" t="n">
        <v>0</v>
      </c>
      <c r="L283" t="n">
        <v>0.707</v>
      </c>
      <c r="M283" t="n">
        <v>0.293</v>
      </c>
    </row>
    <row r="284" spans="1:13">
      <c r="A284" s="1">
        <f>HYPERLINK("http://www.twitter.com/NathanBLawrence/status/998413177342889985", "998413177342889985")</f>
        <v/>
      </c>
      <c r="B284" s="2" t="n">
        <v>43241.16695601852</v>
      </c>
      <c r="C284" t="n">
        <v>0</v>
      </c>
      <c r="D284" t="n">
        <v>658</v>
      </c>
      <c r="E284" t="s">
        <v>295</v>
      </c>
      <c r="F284" t="s"/>
      <c r="G284" t="s"/>
      <c r="H284" t="s"/>
      <c r="I284" t="s"/>
      <c r="J284" t="n">
        <v>0</v>
      </c>
      <c r="K284" t="n">
        <v>0</v>
      </c>
      <c r="L284" t="n">
        <v>1</v>
      </c>
      <c r="M284" t="n">
        <v>0</v>
      </c>
    </row>
    <row r="285" spans="1:13">
      <c r="A285" s="1">
        <f>HYPERLINK("http://www.twitter.com/NathanBLawrence/status/998413066529361920", "998413066529361920")</f>
        <v/>
      </c>
      <c r="B285" s="2" t="n">
        <v>43241.16665509259</v>
      </c>
      <c r="C285" t="n">
        <v>0</v>
      </c>
      <c r="D285" t="n">
        <v>220</v>
      </c>
      <c r="E285" t="s">
        <v>296</v>
      </c>
      <c r="F285" t="s"/>
      <c r="G285" t="s"/>
      <c r="H285" t="s"/>
      <c r="I285" t="s"/>
      <c r="J285" t="n">
        <v>0.0258</v>
      </c>
      <c r="K285" t="n">
        <v>0</v>
      </c>
      <c r="L285" t="n">
        <v>0.945</v>
      </c>
      <c r="M285" t="n">
        <v>0.055</v>
      </c>
    </row>
    <row r="286" spans="1:13">
      <c r="A286" s="1">
        <f>HYPERLINK("http://www.twitter.com/NathanBLawrence/status/998412831111499776", "998412831111499776")</f>
        <v/>
      </c>
      <c r="B286" s="2" t="n">
        <v>43241.16600694445</v>
      </c>
      <c r="C286" t="n">
        <v>0</v>
      </c>
      <c r="D286" t="n">
        <v>440</v>
      </c>
      <c r="E286" t="s">
        <v>297</v>
      </c>
      <c r="F286">
        <f>HYPERLINK("http://pbs.twimg.com/media/Ddr9LqsU8AA16-F.jpg", "http://pbs.twimg.com/media/Ddr9LqsU8AA16-F.jpg")</f>
        <v/>
      </c>
      <c r="G286" t="s"/>
      <c r="H286" t="s"/>
      <c r="I286" t="s"/>
      <c r="J286" t="n">
        <v>0.4767</v>
      </c>
      <c r="K286" t="n">
        <v>0.101</v>
      </c>
      <c r="L286" t="n">
        <v>0.6879999999999999</v>
      </c>
      <c r="M286" t="n">
        <v>0.212</v>
      </c>
    </row>
    <row r="287" spans="1:13">
      <c r="A287" s="1">
        <f>HYPERLINK("http://www.twitter.com/NathanBLawrence/status/998412656087371776", "998412656087371776")</f>
        <v/>
      </c>
      <c r="B287" s="2" t="n">
        <v>43241.16552083333</v>
      </c>
      <c r="C287" t="n">
        <v>7</v>
      </c>
      <c r="D287" t="n">
        <v>2</v>
      </c>
      <c r="E287" t="s">
        <v>298</v>
      </c>
      <c r="F287" t="s"/>
      <c r="G287" t="s"/>
      <c r="H287" t="s"/>
      <c r="I287" t="s"/>
      <c r="J287" t="n">
        <v>0</v>
      </c>
      <c r="K287" t="n">
        <v>0</v>
      </c>
      <c r="L287" t="n">
        <v>1</v>
      </c>
      <c r="M287" t="n">
        <v>0</v>
      </c>
    </row>
    <row r="288" spans="1:13">
      <c r="A288" s="1">
        <f>HYPERLINK("http://www.twitter.com/NathanBLawrence/status/998412475468042246", "998412475468042246")</f>
        <v/>
      </c>
      <c r="B288" s="2" t="n">
        <v>43241.16502314815</v>
      </c>
      <c r="C288" t="n">
        <v>0</v>
      </c>
      <c r="D288" t="n">
        <v>2044</v>
      </c>
      <c r="E288" t="s">
        <v>299</v>
      </c>
      <c r="F288" t="s"/>
      <c r="G288" t="s"/>
      <c r="H288" t="s"/>
      <c r="I288" t="s"/>
      <c r="J288" t="n">
        <v>-0.25</v>
      </c>
      <c r="K288" t="n">
        <v>0.121</v>
      </c>
      <c r="L288" t="n">
        <v>0.795</v>
      </c>
      <c r="M288" t="n">
        <v>0.083</v>
      </c>
    </row>
    <row r="289" spans="1:13">
      <c r="A289" s="1">
        <f>HYPERLINK("http://www.twitter.com/NathanBLawrence/status/998385924491931648", "998385924491931648")</f>
        <v/>
      </c>
      <c r="B289" s="2" t="n">
        <v>43241.09175925926</v>
      </c>
      <c r="C289" t="n">
        <v>10</v>
      </c>
      <c r="D289" t="n">
        <v>2</v>
      </c>
      <c r="E289" t="s">
        <v>300</v>
      </c>
      <c r="F289">
        <f>HYPERLINK("http://pbs.twimg.com/media/Ddr6tOhUQAAXC2U.jpg", "http://pbs.twimg.com/media/Ddr6tOhUQAAXC2U.jpg")</f>
        <v/>
      </c>
      <c r="G289" t="s"/>
      <c r="H289" t="s"/>
      <c r="I289" t="s"/>
      <c r="J289" t="n">
        <v>0</v>
      </c>
      <c r="K289" t="n">
        <v>0</v>
      </c>
      <c r="L289" t="n">
        <v>1</v>
      </c>
      <c r="M289" t="n">
        <v>0</v>
      </c>
    </row>
    <row r="290" spans="1:13">
      <c r="A290" s="1">
        <f>HYPERLINK("http://www.twitter.com/NathanBLawrence/status/998033809571483649", "998033809571483649")</f>
        <v/>
      </c>
      <c r="B290" s="2" t="n">
        <v>43240.12010416666</v>
      </c>
      <c r="C290" t="n">
        <v>0</v>
      </c>
      <c r="D290" t="n">
        <v>661</v>
      </c>
      <c r="E290" t="s">
        <v>301</v>
      </c>
      <c r="F290">
        <f>HYPERLINK("http://pbs.twimg.com/media/Dda6KylVwAApKdA.jpg", "http://pbs.twimg.com/media/Dda6KylVwAApKdA.jpg")</f>
        <v/>
      </c>
      <c r="G290" t="s"/>
      <c r="H290" t="s"/>
      <c r="I290" t="s"/>
      <c r="J290" t="n">
        <v>0.25</v>
      </c>
      <c r="K290" t="n">
        <v>0.053</v>
      </c>
      <c r="L290" t="n">
        <v>0.854</v>
      </c>
      <c r="M290" t="n">
        <v>0.093</v>
      </c>
    </row>
    <row r="291" spans="1:13">
      <c r="A291" s="1">
        <f>HYPERLINK("http://www.twitter.com/NathanBLawrence/status/998031771865419777", "998031771865419777")</f>
        <v/>
      </c>
      <c r="B291" s="2" t="n">
        <v>43240.11447916667</v>
      </c>
      <c r="C291" t="n">
        <v>0</v>
      </c>
      <c r="D291" t="n">
        <v>11722</v>
      </c>
      <c r="E291" t="s">
        <v>302</v>
      </c>
      <c r="F291">
        <f>HYPERLINK("http://pbs.twimg.com/media/Ddha7IEU0AEKqtF.jpg", "http://pbs.twimg.com/media/Ddha7IEU0AEKqtF.jpg")</f>
        <v/>
      </c>
      <c r="G291">
        <f>HYPERLINK("http://pbs.twimg.com/media/Ddha7HGVMAAujZv.jpg", "http://pbs.twimg.com/media/Ddha7HGVMAAujZv.jpg")</f>
        <v/>
      </c>
      <c r="H291" t="s"/>
      <c r="I291" t="s"/>
      <c r="J291" t="n">
        <v>0.836</v>
      </c>
      <c r="K291" t="n">
        <v>0.063</v>
      </c>
      <c r="L291" t="n">
        <v>0.634</v>
      </c>
      <c r="M291" t="n">
        <v>0.302</v>
      </c>
    </row>
    <row r="292" spans="1:13">
      <c r="A292" s="1">
        <f>HYPERLINK("http://www.twitter.com/NathanBLawrence/status/998031383372226560", "998031383372226560")</f>
        <v/>
      </c>
      <c r="B292" s="2" t="n">
        <v>43240.11340277778</v>
      </c>
      <c r="C292" t="n">
        <v>0</v>
      </c>
      <c r="D292" t="n">
        <v>75</v>
      </c>
      <c r="E292" t="s">
        <v>303</v>
      </c>
      <c r="F292">
        <f>HYPERLINK("http://pbs.twimg.com/media/DTx2u2JVMAAjwde.jpg", "http://pbs.twimg.com/media/DTx2u2JVMAAjwde.jpg")</f>
        <v/>
      </c>
      <c r="G292" t="s"/>
      <c r="H292" t="s"/>
      <c r="I292" t="s"/>
      <c r="J292" t="n">
        <v>-0.6731</v>
      </c>
      <c r="K292" t="n">
        <v>0.393</v>
      </c>
      <c r="L292" t="n">
        <v>0.607</v>
      </c>
      <c r="M292" t="n">
        <v>0</v>
      </c>
    </row>
    <row r="293" spans="1:13">
      <c r="A293" s="1">
        <f>HYPERLINK("http://www.twitter.com/NathanBLawrence/status/998030913031335936", "998030913031335936")</f>
        <v/>
      </c>
      <c r="B293" s="2" t="n">
        <v>43240.11210648148</v>
      </c>
      <c r="C293" t="n">
        <v>0</v>
      </c>
      <c r="D293" t="n">
        <v>1454</v>
      </c>
      <c r="E293" t="s">
        <v>304</v>
      </c>
      <c r="F293" t="s"/>
      <c r="G293" t="s"/>
      <c r="H293" t="s"/>
      <c r="I293" t="s"/>
      <c r="J293" t="n">
        <v>0.4199</v>
      </c>
      <c r="K293" t="n">
        <v>0</v>
      </c>
      <c r="L293" t="n">
        <v>0.896</v>
      </c>
      <c r="M293" t="n">
        <v>0.104</v>
      </c>
    </row>
    <row r="294" spans="1:13">
      <c r="A294" s="1">
        <f>HYPERLINK("http://www.twitter.com/NathanBLawrence/status/997995639836422144", "997995639836422144")</f>
        <v/>
      </c>
      <c r="B294" s="2" t="n">
        <v>43240.01478009259</v>
      </c>
      <c r="C294" t="n">
        <v>9</v>
      </c>
      <c r="D294" t="n">
        <v>3</v>
      </c>
      <c r="E294" t="s">
        <v>305</v>
      </c>
      <c r="F294" t="s"/>
      <c r="G294" t="s"/>
      <c r="H294" t="s"/>
      <c r="I294" t="s"/>
      <c r="J294" t="n">
        <v>0.128</v>
      </c>
      <c r="K294" t="n">
        <v>0</v>
      </c>
      <c r="L294" t="n">
        <v>0.919</v>
      </c>
      <c r="M294" t="n">
        <v>0.081</v>
      </c>
    </row>
    <row r="295" spans="1:13">
      <c r="A295" s="1">
        <f>HYPERLINK("http://www.twitter.com/NathanBLawrence/status/997994514504650752", "997994514504650752")</f>
        <v/>
      </c>
      <c r="B295" s="2" t="n">
        <v>43240.01166666667</v>
      </c>
      <c r="C295" t="n">
        <v>13</v>
      </c>
      <c r="D295" t="n">
        <v>12</v>
      </c>
      <c r="E295" t="s">
        <v>306</v>
      </c>
      <c r="F295" t="s"/>
      <c r="G295" t="s"/>
      <c r="H295" t="s"/>
      <c r="I295" t="s"/>
      <c r="J295" t="n">
        <v>0</v>
      </c>
      <c r="K295" t="n">
        <v>0</v>
      </c>
      <c r="L295" t="n">
        <v>1</v>
      </c>
      <c r="M295" t="n">
        <v>0</v>
      </c>
    </row>
    <row r="296" spans="1:13">
      <c r="A296" s="1">
        <f>HYPERLINK("http://www.twitter.com/NathanBLawrence/status/997991534367854592", "997991534367854592")</f>
        <v/>
      </c>
      <c r="B296" s="2" t="n">
        <v>43240.00344907407</v>
      </c>
      <c r="C296" t="n">
        <v>0</v>
      </c>
      <c r="D296" t="n">
        <v>3396</v>
      </c>
      <c r="E296" t="s">
        <v>307</v>
      </c>
      <c r="F296">
        <f>HYPERLINK("http://pbs.twimg.com/media/Ddi1wNsU8AAaLES.jpg", "http://pbs.twimg.com/media/Ddi1wNsU8AAaLES.jpg")</f>
        <v/>
      </c>
      <c r="G296" t="s"/>
      <c r="H296" t="s"/>
      <c r="I296" t="s"/>
      <c r="J296" t="n">
        <v>0.4019</v>
      </c>
      <c r="K296" t="n">
        <v>0</v>
      </c>
      <c r="L296" t="n">
        <v>0.891</v>
      </c>
      <c r="M296" t="n">
        <v>0.109</v>
      </c>
    </row>
    <row r="297" spans="1:13">
      <c r="A297" s="1">
        <f>HYPERLINK("http://www.twitter.com/NathanBLawrence/status/997991296663982081", "997991296663982081")</f>
        <v/>
      </c>
      <c r="B297" s="2" t="n">
        <v>43240.00278935185</v>
      </c>
      <c r="C297" t="n">
        <v>0</v>
      </c>
      <c r="D297" t="n">
        <v>3336</v>
      </c>
      <c r="E297" t="s">
        <v>308</v>
      </c>
      <c r="F297" t="s"/>
      <c r="G297" t="s"/>
      <c r="H297" t="s"/>
      <c r="I297" t="s"/>
      <c r="J297" t="n">
        <v>-0.6597</v>
      </c>
      <c r="K297" t="n">
        <v>0.318</v>
      </c>
      <c r="L297" t="n">
        <v>0.551</v>
      </c>
      <c r="M297" t="n">
        <v>0.131</v>
      </c>
    </row>
    <row r="298" spans="1:13">
      <c r="A298" s="1">
        <f>HYPERLINK("http://www.twitter.com/NathanBLawrence/status/997986466600046592", "997986466600046592")</f>
        <v/>
      </c>
      <c r="B298" s="2" t="n">
        <v>43239.98945601852</v>
      </c>
      <c r="C298" t="n">
        <v>0</v>
      </c>
      <c r="D298" t="n">
        <v>4369</v>
      </c>
      <c r="E298" t="s">
        <v>309</v>
      </c>
      <c r="F298" t="s"/>
      <c r="G298" t="s"/>
      <c r="H298" t="s"/>
      <c r="I298" t="s"/>
      <c r="J298" t="n">
        <v>0</v>
      </c>
      <c r="K298" t="n">
        <v>0</v>
      </c>
      <c r="L298" t="n">
        <v>1</v>
      </c>
      <c r="M298" t="n">
        <v>0</v>
      </c>
    </row>
    <row r="299" spans="1:13">
      <c r="A299" s="1">
        <f>HYPERLINK("http://www.twitter.com/NathanBLawrence/status/997986391282855936", "997986391282855936")</f>
        <v/>
      </c>
      <c r="B299" s="2" t="n">
        <v>43239.98925925926</v>
      </c>
      <c r="C299" t="n">
        <v>0</v>
      </c>
      <c r="D299" t="n">
        <v>1770</v>
      </c>
      <c r="E299" t="s">
        <v>310</v>
      </c>
      <c r="F299" t="s"/>
      <c r="G299" t="s"/>
      <c r="H299" t="s"/>
      <c r="I299" t="s"/>
      <c r="J299" t="n">
        <v>-0.3595</v>
      </c>
      <c r="K299" t="n">
        <v>0.098</v>
      </c>
      <c r="L299" t="n">
        <v>0.902</v>
      </c>
      <c r="M299" t="n">
        <v>0</v>
      </c>
    </row>
    <row r="300" spans="1:13">
      <c r="A300" s="1">
        <f>HYPERLINK("http://www.twitter.com/NathanBLawrence/status/997985905775468544", "997985905775468544")</f>
        <v/>
      </c>
      <c r="B300" s="2" t="n">
        <v>43239.98791666667</v>
      </c>
      <c r="C300" t="n">
        <v>0</v>
      </c>
      <c r="D300" t="n">
        <v>2720</v>
      </c>
      <c r="E300" t="s">
        <v>311</v>
      </c>
      <c r="F300">
        <f>HYPERLINK("https://video.twimg.com/ext_tw_video/997541939590316032/pu/vid/480x480/_GuLLiAR9Ow-otvY.mp4?tag=3", "https://video.twimg.com/ext_tw_video/997541939590316032/pu/vid/480x480/_GuLLiAR9Ow-otvY.mp4?tag=3")</f>
        <v/>
      </c>
      <c r="G300" t="s"/>
      <c r="H300" t="s"/>
      <c r="I300" t="s"/>
      <c r="J300" t="n">
        <v>0.8728</v>
      </c>
      <c r="K300" t="n">
        <v>0</v>
      </c>
      <c r="L300" t="n">
        <v>0.711</v>
      </c>
      <c r="M300" t="n">
        <v>0.289</v>
      </c>
    </row>
    <row r="301" spans="1:13">
      <c r="A301" s="1">
        <f>HYPERLINK("http://www.twitter.com/NathanBLawrence/status/997985783947694081", "997985783947694081")</f>
        <v/>
      </c>
      <c r="B301" s="2" t="n">
        <v>43239.98758101852</v>
      </c>
      <c r="C301" t="n">
        <v>0</v>
      </c>
      <c r="D301" t="n">
        <v>6238</v>
      </c>
      <c r="E301" t="s">
        <v>312</v>
      </c>
      <c r="F301">
        <f>HYPERLINK("https://video.twimg.com/amplify_video/997569450068103170/vid/1280x720/5WauE9VUnkTf7o86.mp4?tag=2", "https://video.twimg.com/amplify_video/997569450068103170/vid/1280x720/5WauE9VUnkTf7o86.mp4?tag=2")</f>
        <v/>
      </c>
      <c r="G301" t="s"/>
      <c r="H301" t="s"/>
      <c r="I301" t="s"/>
      <c r="J301" t="n">
        <v>-0.4215</v>
      </c>
      <c r="K301" t="n">
        <v>0.188</v>
      </c>
      <c r="L301" t="n">
        <v>0.719</v>
      </c>
      <c r="M301" t="n">
        <v>0.092</v>
      </c>
    </row>
    <row r="302" spans="1:13">
      <c r="A302" s="1">
        <f>HYPERLINK("http://www.twitter.com/NathanBLawrence/status/997985604691521536", "997985604691521536")</f>
        <v/>
      </c>
      <c r="B302" s="2" t="n">
        <v>43239.98708333333</v>
      </c>
      <c r="C302" t="n">
        <v>0</v>
      </c>
      <c r="D302" t="n">
        <v>1112</v>
      </c>
      <c r="E302" t="s">
        <v>313</v>
      </c>
      <c r="F302" t="s"/>
      <c r="G302" t="s"/>
      <c r="H302" t="s"/>
      <c r="I302" t="s"/>
      <c r="J302" t="n">
        <v>-0.5574</v>
      </c>
      <c r="K302" t="n">
        <v>0.146</v>
      </c>
      <c r="L302" t="n">
        <v>0.854</v>
      </c>
      <c r="M302" t="n">
        <v>0</v>
      </c>
    </row>
    <row r="303" spans="1:13">
      <c r="A303" s="1">
        <f>HYPERLINK("http://www.twitter.com/NathanBLawrence/status/997985351946956801", "997985351946956801")</f>
        <v/>
      </c>
      <c r="B303" s="2" t="n">
        <v>43239.98638888889</v>
      </c>
      <c r="C303" t="n">
        <v>0</v>
      </c>
      <c r="D303" t="n">
        <v>8450</v>
      </c>
      <c r="E303" t="s">
        <v>314</v>
      </c>
      <c r="F303">
        <f>HYPERLINK("http://pbs.twimg.com/media/DdhDiwkU0AA5mZu.jpg", "http://pbs.twimg.com/media/DdhDiwkU0AA5mZu.jpg")</f>
        <v/>
      </c>
      <c r="G303" t="s"/>
      <c r="H303" t="s"/>
      <c r="I303" t="s"/>
      <c r="J303" t="n">
        <v>0</v>
      </c>
      <c r="K303" t="n">
        <v>0</v>
      </c>
      <c r="L303" t="n">
        <v>1</v>
      </c>
      <c r="M303" t="n">
        <v>0</v>
      </c>
    </row>
    <row r="304" spans="1:13">
      <c r="A304" s="1">
        <f>HYPERLINK("http://www.twitter.com/NathanBLawrence/status/997985252684509184", "997985252684509184")</f>
        <v/>
      </c>
      <c r="B304" s="2" t="n">
        <v>43239.98611111111</v>
      </c>
      <c r="C304" t="n">
        <v>0</v>
      </c>
      <c r="D304" t="n">
        <v>2</v>
      </c>
      <c r="E304" t="s">
        <v>315</v>
      </c>
      <c r="F304" t="s"/>
      <c r="G304" t="s"/>
      <c r="H304" t="s"/>
      <c r="I304" t="s"/>
      <c r="J304" t="n">
        <v>-0.875</v>
      </c>
      <c r="K304" t="n">
        <v>0.357</v>
      </c>
      <c r="L304" t="n">
        <v>0.643</v>
      </c>
      <c r="M304" t="n">
        <v>0</v>
      </c>
    </row>
    <row r="305" spans="1:13">
      <c r="A305" s="1">
        <f>HYPERLINK("http://www.twitter.com/NathanBLawrence/status/997985142525349893", "997985142525349893")</f>
        <v/>
      </c>
      <c r="B305" s="2" t="n">
        <v>43239.98581018519</v>
      </c>
      <c r="C305" t="n">
        <v>0</v>
      </c>
      <c r="D305" t="n">
        <v>258</v>
      </c>
      <c r="E305" t="s">
        <v>316</v>
      </c>
      <c r="F305">
        <f>HYPERLINK("https://video.twimg.com/amplify_video/997873522667073539/vid/1280x720/pQerXznGKGGjTi7b.mp4?tag=2", "https://video.twimg.com/amplify_video/997873522667073539/vid/1280x720/pQerXznGKGGjTi7b.mp4?tag=2")</f>
        <v/>
      </c>
      <c r="G305" t="s"/>
      <c r="H305" t="s"/>
      <c r="I305" t="s"/>
      <c r="J305" t="n">
        <v>0.5994</v>
      </c>
      <c r="K305" t="n">
        <v>0</v>
      </c>
      <c r="L305" t="n">
        <v>0.795</v>
      </c>
      <c r="M305" t="n">
        <v>0.205</v>
      </c>
    </row>
    <row r="306" spans="1:13">
      <c r="A306" s="1">
        <f>HYPERLINK("http://www.twitter.com/NathanBLawrence/status/997984795614466048", "997984795614466048")</f>
        <v/>
      </c>
      <c r="B306" s="2" t="n">
        <v>43239.98484953704</v>
      </c>
      <c r="C306" t="n">
        <v>0</v>
      </c>
      <c r="D306" t="n">
        <v>177</v>
      </c>
      <c r="E306" t="s">
        <v>317</v>
      </c>
      <c r="F306">
        <f>HYPERLINK("http://pbs.twimg.com/media/DdmAQOCV0AAQF0-.jpg", "http://pbs.twimg.com/media/DdmAQOCV0AAQF0-.jpg")</f>
        <v/>
      </c>
      <c r="G306" t="s"/>
      <c r="H306" t="s"/>
      <c r="I306" t="s"/>
      <c r="J306" t="n">
        <v>0.8705000000000001</v>
      </c>
      <c r="K306" t="n">
        <v>0</v>
      </c>
      <c r="L306" t="n">
        <v>0.67</v>
      </c>
      <c r="M306" t="n">
        <v>0.33</v>
      </c>
    </row>
    <row r="307" spans="1:13">
      <c r="A307" s="1">
        <f>HYPERLINK("http://www.twitter.com/NathanBLawrence/status/997984674449420289", "997984674449420289")</f>
        <v/>
      </c>
      <c r="B307" s="2" t="n">
        <v>43239.98451388889</v>
      </c>
      <c r="C307" t="n">
        <v>0</v>
      </c>
      <c r="D307" t="n">
        <v>7505</v>
      </c>
      <c r="E307" t="s">
        <v>318</v>
      </c>
      <c r="F307" t="s"/>
      <c r="G307" t="s"/>
      <c r="H307" t="s"/>
      <c r="I307" t="s"/>
      <c r="J307" t="n">
        <v>-0.7783</v>
      </c>
      <c r="K307" t="n">
        <v>0.307</v>
      </c>
      <c r="L307" t="n">
        <v>0.644</v>
      </c>
      <c r="M307" t="n">
        <v>0.049</v>
      </c>
    </row>
    <row r="308" spans="1:13">
      <c r="A308" s="1">
        <f>HYPERLINK("http://www.twitter.com/NathanBLawrence/status/997982349769011200", "997982349769011200")</f>
        <v/>
      </c>
      <c r="B308" s="2" t="n">
        <v>43239.97810185186</v>
      </c>
      <c r="C308" t="n">
        <v>0</v>
      </c>
      <c r="D308" t="n">
        <v>36128</v>
      </c>
      <c r="E308" t="s">
        <v>319</v>
      </c>
      <c r="F308" t="s"/>
      <c r="G308" t="s"/>
      <c r="H308" t="s"/>
      <c r="I308" t="s"/>
      <c r="J308" t="n">
        <v>0.4588</v>
      </c>
      <c r="K308" t="n">
        <v>0</v>
      </c>
      <c r="L308" t="n">
        <v>0.88</v>
      </c>
      <c r="M308" t="n">
        <v>0.12</v>
      </c>
    </row>
    <row r="309" spans="1:13">
      <c r="A309" s="1">
        <f>HYPERLINK("http://www.twitter.com/NathanBLawrence/status/997982260115726336", "997982260115726336")</f>
        <v/>
      </c>
      <c r="B309" s="2" t="n">
        <v>43239.97785879629</v>
      </c>
      <c r="C309" t="n">
        <v>2</v>
      </c>
      <c r="D309" t="n">
        <v>2</v>
      </c>
      <c r="E309" t="s">
        <v>320</v>
      </c>
      <c r="F309" t="s"/>
      <c r="G309" t="s"/>
      <c r="H309" t="s"/>
      <c r="I309" t="s"/>
      <c r="J309" t="n">
        <v>-0.875</v>
      </c>
      <c r="K309" t="n">
        <v>0.385</v>
      </c>
      <c r="L309" t="n">
        <v>0.615</v>
      </c>
      <c r="M309" t="n">
        <v>0</v>
      </c>
    </row>
    <row r="310" spans="1:13">
      <c r="A310" s="1">
        <f>HYPERLINK("http://www.twitter.com/NathanBLawrence/status/997981439500193794", "997981439500193794")</f>
        <v/>
      </c>
      <c r="B310" s="2" t="n">
        <v>43239.97559027778</v>
      </c>
      <c r="C310" t="n">
        <v>0</v>
      </c>
      <c r="D310" t="n">
        <v>19</v>
      </c>
      <c r="E310" t="s">
        <v>321</v>
      </c>
      <c r="F310">
        <f>HYPERLINK("http://pbs.twimg.com/media/DdfVQVgVAAEGY-r.jpg", "http://pbs.twimg.com/media/DdfVQVgVAAEGY-r.jpg")</f>
        <v/>
      </c>
      <c r="G310" t="s"/>
      <c r="H310" t="s"/>
      <c r="I310" t="s"/>
      <c r="J310" t="n">
        <v>0.5994</v>
      </c>
      <c r="K310" t="n">
        <v>0</v>
      </c>
      <c r="L310" t="n">
        <v>0.435</v>
      </c>
      <c r="M310" t="n">
        <v>0.5649999999999999</v>
      </c>
    </row>
    <row r="311" spans="1:13">
      <c r="A311" s="1">
        <f>HYPERLINK("http://www.twitter.com/NathanBLawrence/status/997981245396209665", "997981245396209665")</f>
        <v/>
      </c>
      <c r="B311" s="2" t="n">
        <v>43239.97505787037</v>
      </c>
      <c r="C311" t="n">
        <v>0</v>
      </c>
      <c r="D311" t="n">
        <v>1225</v>
      </c>
      <c r="E311" t="s">
        <v>322</v>
      </c>
      <c r="F311">
        <f>HYPERLINK("https://video.twimg.com/ext_tw_video/992559122813014017/pu/vid/178x320/UKpqUAEDsq_xWMt0.mp4?tag=3", "https://video.twimg.com/ext_tw_video/992559122813014017/pu/vid/178x320/UKpqUAEDsq_xWMt0.mp4?tag=3")</f>
        <v/>
      </c>
      <c r="G311" t="s"/>
      <c r="H311" t="s"/>
      <c r="I311" t="s"/>
      <c r="J311" t="n">
        <v>-0.296</v>
      </c>
      <c r="K311" t="n">
        <v>0.138</v>
      </c>
      <c r="L311" t="n">
        <v>0.862</v>
      </c>
      <c r="M311" t="n">
        <v>0</v>
      </c>
    </row>
    <row r="312" spans="1:13">
      <c r="A312" s="1">
        <f>HYPERLINK("http://www.twitter.com/NathanBLawrence/status/997981070162300928", "997981070162300928")</f>
        <v/>
      </c>
      <c r="B312" s="2" t="n">
        <v>43239.97457175926</v>
      </c>
      <c r="C312" t="n">
        <v>0</v>
      </c>
      <c r="D312" t="n">
        <v>2072</v>
      </c>
      <c r="E312" t="s">
        <v>323</v>
      </c>
      <c r="F312">
        <f>HYPERLINK("http://pbs.twimg.com/media/Ddl1U-_VAAAqZbM.jpg", "http://pbs.twimg.com/media/Ddl1U-_VAAAqZbM.jpg")</f>
        <v/>
      </c>
      <c r="G312" t="s"/>
      <c r="H312" t="s"/>
      <c r="I312" t="s"/>
      <c r="J312" t="n">
        <v>0</v>
      </c>
      <c r="K312" t="n">
        <v>0</v>
      </c>
      <c r="L312" t="n">
        <v>1</v>
      </c>
      <c r="M312" t="n">
        <v>0</v>
      </c>
    </row>
    <row r="313" spans="1:13">
      <c r="A313" s="1">
        <f>HYPERLINK("http://www.twitter.com/NathanBLawrence/status/997981005632991238", "997981005632991238")</f>
        <v/>
      </c>
      <c r="B313" s="2" t="n">
        <v>43239.97438657407</v>
      </c>
      <c r="C313" t="n">
        <v>0</v>
      </c>
      <c r="D313" t="n">
        <v>23724</v>
      </c>
      <c r="E313" t="s">
        <v>324</v>
      </c>
      <c r="F313" t="s"/>
      <c r="G313" t="s"/>
      <c r="H313" t="s"/>
      <c r="I313" t="s"/>
      <c r="J313" t="n">
        <v>0.7902</v>
      </c>
      <c r="K313" t="n">
        <v>0</v>
      </c>
      <c r="L313" t="n">
        <v>0.714</v>
      </c>
      <c r="M313" t="n">
        <v>0.286</v>
      </c>
    </row>
    <row r="314" spans="1:13">
      <c r="A314" s="1">
        <f>HYPERLINK("http://www.twitter.com/NathanBLawrence/status/997980962154864640", "997980962154864640")</f>
        <v/>
      </c>
      <c r="B314" s="2" t="n">
        <v>43239.97427083334</v>
      </c>
      <c r="C314" t="n">
        <v>0</v>
      </c>
      <c r="D314" t="n">
        <v>2384</v>
      </c>
      <c r="E314" t="s">
        <v>325</v>
      </c>
      <c r="F314" t="s"/>
      <c r="G314" t="s"/>
      <c r="H314" t="s"/>
      <c r="I314" t="s"/>
      <c r="J314" t="n">
        <v>-0.6222</v>
      </c>
      <c r="K314" t="n">
        <v>0.188</v>
      </c>
      <c r="L314" t="n">
        <v>0.8120000000000001</v>
      </c>
      <c r="M314" t="n">
        <v>0</v>
      </c>
    </row>
    <row r="315" spans="1:13">
      <c r="A315" s="1">
        <f>HYPERLINK("http://www.twitter.com/NathanBLawrence/status/997979237092155392", "997979237092155392")</f>
        <v/>
      </c>
      <c r="B315" s="2" t="n">
        <v>43239.96951388889</v>
      </c>
      <c r="C315" t="n">
        <v>6</v>
      </c>
      <c r="D315" t="n">
        <v>2</v>
      </c>
      <c r="E315" t="s">
        <v>326</v>
      </c>
      <c r="F315" t="s"/>
      <c r="G315" t="s"/>
      <c r="H315" t="s"/>
      <c r="I315" t="s"/>
      <c r="J315" t="n">
        <v>0</v>
      </c>
      <c r="K315" t="n">
        <v>0</v>
      </c>
      <c r="L315" t="n">
        <v>1</v>
      </c>
      <c r="M315" t="n">
        <v>0</v>
      </c>
    </row>
    <row r="316" spans="1:13">
      <c r="A316" s="1">
        <f>HYPERLINK("http://www.twitter.com/NathanBLawrence/status/997894595240431616", "997894595240431616")</f>
        <v/>
      </c>
      <c r="B316" s="2" t="n">
        <v>43239.73594907407</v>
      </c>
      <c r="C316" t="n">
        <v>15</v>
      </c>
      <c r="D316" t="n">
        <v>7</v>
      </c>
      <c r="E316" t="s">
        <v>327</v>
      </c>
      <c r="F316" t="s"/>
      <c r="G316" t="s"/>
      <c r="H316" t="s"/>
      <c r="I316" t="s"/>
      <c r="J316" t="n">
        <v>-0.7345</v>
      </c>
      <c r="K316" t="n">
        <v>0.276</v>
      </c>
      <c r="L316" t="n">
        <v>0.665</v>
      </c>
      <c r="M316" t="n">
        <v>0.059</v>
      </c>
    </row>
    <row r="317" spans="1:13">
      <c r="A317" s="1">
        <f>HYPERLINK("http://www.twitter.com/NathanBLawrence/status/997894176632115207", "997894176632115207")</f>
        <v/>
      </c>
      <c r="B317" s="2" t="n">
        <v>43239.73479166667</v>
      </c>
      <c r="C317" t="n">
        <v>0</v>
      </c>
      <c r="D317" t="n">
        <v>440</v>
      </c>
      <c r="E317" t="s">
        <v>328</v>
      </c>
      <c r="F317" t="s"/>
      <c r="G317" t="s"/>
      <c r="H317" t="s"/>
      <c r="I317" t="s"/>
      <c r="J317" t="n">
        <v>-0.6901</v>
      </c>
      <c r="K317" t="n">
        <v>0.198</v>
      </c>
      <c r="L317" t="n">
        <v>0.802</v>
      </c>
      <c r="M317" t="n">
        <v>0</v>
      </c>
    </row>
    <row r="318" spans="1:13">
      <c r="A318" s="1">
        <f>HYPERLINK("http://www.twitter.com/NathanBLawrence/status/997894044897464321", "997894044897464321")</f>
        <v/>
      </c>
      <c r="B318" s="2" t="n">
        <v>43239.7344212963</v>
      </c>
      <c r="C318" t="n">
        <v>0</v>
      </c>
      <c r="D318" t="n">
        <v>4300</v>
      </c>
      <c r="E318" t="s">
        <v>329</v>
      </c>
      <c r="F318" t="s"/>
      <c r="G318" t="s"/>
      <c r="H318" t="s"/>
      <c r="I318" t="s"/>
      <c r="J318" t="n">
        <v>-0.7351</v>
      </c>
      <c r="K318" t="n">
        <v>0.237</v>
      </c>
      <c r="L318" t="n">
        <v>0.763</v>
      </c>
      <c r="M318" t="n">
        <v>0</v>
      </c>
    </row>
    <row r="319" spans="1:13">
      <c r="A319" s="1">
        <f>HYPERLINK("http://www.twitter.com/NathanBLawrence/status/997863252079054849", "997863252079054849")</f>
        <v/>
      </c>
      <c r="B319" s="2" t="n">
        <v>43239.64945601852</v>
      </c>
      <c r="C319" t="n">
        <v>0</v>
      </c>
      <c r="D319" t="n">
        <v>20201</v>
      </c>
      <c r="E319" t="s">
        <v>330</v>
      </c>
      <c r="F319" t="s"/>
      <c r="G319" t="s"/>
      <c r="H319" t="s"/>
      <c r="I319" t="s"/>
      <c r="J319" t="n">
        <v>0.926</v>
      </c>
      <c r="K319" t="n">
        <v>0</v>
      </c>
      <c r="L319" t="n">
        <v>0.508</v>
      </c>
      <c r="M319" t="n">
        <v>0.492</v>
      </c>
    </row>
    <row r="320" spans="1:13">
      <c r="A320" s="1">
        <f>HYPERLINK("http://www.twitter.com/NathanBLawrence/status/997863179790188544", "997863179790188544")</f>
        <v/>
      </c>
      <c r="B320" s="2" t="n">
        <v>43239.64925925926</v>
      </c>
      <c r="C320" t="n">
        <v>0</v>
      </c>
      <c r="D320" t="n">
        <v>7263</v>
      </c>
      <c r="E320" t="s">
        <v>331</v>
      </c>
      <c r="F320" t="s"/>
      <c r="G320" t="s"/>
      <c r="H320" t="s"/>
      <c r="I320" t="s"/>
      <c r="J320" t="n">
        <v>0</v>
      </c>
      <c r="K320" t="n">
        <v>0</v>
      </c>
      <c r="L320" t="n">
        <v>1</v>
      </c>
      <c r="M320" t="n">
        <v>0</v>
      </c>
    </row>
    <row r="321" spans="1:13">
      <c r="A321" s="1">
        <f>HYPERLINK("http://www.twitter.com/NathanBLawrence/status/997743741199929344", "997743741199929344")</f>
        <v/>
      </c>
      <c r="B321" s="2" t="n">
        <v>43239.31966435185</v>
      </c>
      <c r="C321" t="n">
        <v>0</v>
      </c>
      <c r="D321" t="n">
        <v>19</v>
      </c>
      <c r="E321" t="s">
        <v>332</v>
      </c>
      <c r="F321">
        <f>HYPERLINK("http://pbs.twimg.com/media/Dc47g7qX0AIESeO.jpg", "http://pbs.twimg.com/media/Dc47g7qX0AIESeO.jpg")</f>
        <v/>
      </c>
      <c r="G321" t="s"/>
      <c r="H321" t="s"/>
      <c r="I321" t="s"/>
      <c r="J321" t="n">
        <v>0.3612</v>
      </c>
      <c r="K321" t="n">
        <v>0</v>
      </c>
      <c r="L321" t="n">
        <v>0.872</v>
      </c>
      <c r="M321" t="n">
        <v>0.128</v>
      </c>
    </row>
    <row r="322" spans="1:13">
      <c r="A322" s="1">
        <f>HYPERLINK("http://www.twitter.com/NathanBLawrence/status/997743588648931328", "997743588648931328")</f>
        <v/>
      </c>
      <c r="B322" s="2" t="n">
        <v>43239.31924768518</v>
      </c>
      <c r="C322" t="n">
        <v>0</v>
      </c>
      <c r="D322" t="n">
        <v>1</v>
      </c>
      <c r="E322" t="s">
        <v>333</v>
      </c>
      <c r="F322" t="s"/>
      <c r="G322" t="s"/>
      <c r="H322" t="s"/>
      <c r="I322" t="s"/>
      <c r="J322" t="n">
        <v>0</v>
      </c>
      <c r="K322" t="n">
        <v>0</v>
      </c>
      <c r="L322" t="n">
        <v>1</v>
      </c>
      <c r="M322" t="n">
        <v>0</v>
      </c>
    </row>
    <row r="323" spans="1:13">
      <c r="A323" s="1">
        <f>HYPERLINK("http://www.twitter.com/NathanBLawrence/status/997743499557601280", "997743499557601280")</f>
        <v/>
      </c>
      <c r="B323" s="2" t="n">
        <v>43239.31900462963</v>
      </c>
      <c r="C323" t="n">
        <v>0</v>
      </c>
      <c r="D323" t="n">
        <v>363</v>
      </c>
      <c r="E323" t="s">
        <v>334</v>
      </c>
      <c r="F323" t="s"/>
      <c r="G323" t="s"/>
      <c r="H323" t="s"/>
      <c r="I323" t="s"/>
      <c r="J323" t="n">
        <v>0.3885</v>
      </c>
      <c r="K323" t="n">
        <v>0.048</v>
      </c>
      <c r="L323" t="n">
        <v>0.849</v>
      </c>
      <c r="M323" t="n">
        <v>0.103</v>
      </c>
    </row>
    <row r="324" spans="1:13">
      <c r="A324" s="1">
        <f>HYPERLINK("http://www.twitter.com/NathanBLawrence/status/997743435431010304", "997743435431010304")</f>
        <v/>
      </c>
      <c r="B324" s="2" t="n">
        <v>43239.31881944444</v>
      </c>
      <c r="C324" t="n">
        <v>0</v>
      </c>
      <c r="D324" t="n">
        <v>38</v>
      </c>
      <c r="E324" t="s">
        <v>335</v>
      </c>
      <c r="F324">
        <f>HYPERLINK("http://pbs.twimg.com/media/Dc2LSgqWsAAwgA2.jpg", "http://pbs.twimg.com/media/Dc2LSgqWsAAwgA2.jpg")</f>
        <v/>
      </c>
      <c r="G324" t="s"/>
      <c r="H324" t="s"/>
      <c r="I324" t="s"/>
      <c r="J324" t="n">
        <v>-0.5719</v>
      </c>
      <c r="K324" t="n">
        <v>0.217</v>
      </c>
      <c r="L324" t="n">
        <v>0.783</v>
      </c>
      <c r="M324" t="n">
        <v>0</v>
      </c>
    </row>
    <row r="325" spans="1:13">
      <c r="A325" s="1">
        <f>HYPERLINK("http://www.twitter.com/NathanBLawrence/status/997527486778019840", "997527486778019840")</f>
        <v/>
      </c>
      <c r="B325" s="2" t="n">
        <v>43238.72291666667</v>
      </c>
      <c r="C325" t="n">
        <v>0</v>
      </c>
      <c r="D325" t="n">
        <v>29</v>
      </c>
      <c r="E325" t="s">
        <v>336</v>
      </c>
      <c r="F325" t="s"/>
      <c r="G325" t="s"/>
      <c r="H325" t="s"/>
      <c r="I325" t="s"/>
      <c r="J325" t="n">
        <v>0</v>
      </c>
      <c r="K325" t="n">
        <v>0</v>
      </c>
      <c r="L325" t="n">
        <v>1</v>
      </c>
      <c r="M325" t="n">
        <v>0</v>
      </c>
    </row>
    <row r="326" spans="1:13">
      <c r="A326" s="1">
        <f>HYPERLINK("http://www.twitter.com/NathanBLawrence/status/997527284834762754", "997527284834762754")</f>
        <v/>
      </c>
      <c r="B326" s="2" t="n">
        <v>43238.72236111111</v>
      </c>
      <c r="C326" t="n">
        <v>14</v>
      </c>
      <c r="D326" t="n">
        <v>4</v>
      </c>
      <c r="E326" t="s">
        <v>337</v>
      </c>
      <c r="F326" t="s"/>
      <c r="G326" t="s"/>
      <c r="H326" t="s"/>
      <c r="I326" t="s"/>
      <c r="J326" t="n">
        <v>-0.8741</v>
      </c>
      <c r="K326" t="n">
        <v>0.202</v>
      </c>
      <c r="L326" t="n">
        <v>0.749</v>
      </c>
      <c r="M326" t="n">
        <v>0.049</v>
      </c>
    </row>
    <row r="327" spans="1:13">
      <c r="A327" s="1">
        <f>HYPERLINK("http://www.twitter.com/NathanBLawrence/status/997525875280306177", "997525875280306177")</f>
        <v/>
      </c>
      <c r="B327" s="2" t="n">
        <v>43238.71847222222</v>
      </c>
      <c r="C327" t="n">
        <v>0</v>
      </c>
      <c r="D327" t="n">
        <v>933</v>
      </c>
      <c r="E327" t="s">
        <v>338</v>
      </c>
      <c r="F327" t="s"/>
      <c r="G327" t="s"/>
      <c r="H327" t="s"/>
      <c r="I327" t="s"/>
      <c r="J327" t="n">
        <v>0</v>
      </c>
      <c r="K327" t="n">
        <v>0</v>
      </c>
      <c r="L327" t="n">
        <v>1</v>
      </c>
      <c r="M327" t="n">
        <v>0</v>
      </c>
    </row>
    <row r="328" spans="1:13">
      <c r="A328" s="1">
        <f>HYPERLINK("http://www.twitter.com/NathanBLawrence/status/997525266791587840", "997525266791587840")</f>
        <v/>
      </c>
      <c r="B328" s="2" t="n">
        <v>43238.71679398148</v>
      </c>
      <c r="C328" t="n">
        <v>0</v>
      </c>
      <c r="D328" t="n">
        <v>7894</v>
      </c>
      <c r="E328" t="s">
        <v>339</v>
      </c>
      <c r="F328">
        <f>HYPERLINK("http://pbs.twimg.com/media/DdcTDrSWAAAgNcv.jpg", "http://pbs.twimg.com/media/DdcTDrSWAAAgNcv.jpg")</f>
        <v/>
      </c>
      <c r="G328" t="s"/>
      <c r="H328" t="s"/>
      <c r="I328" t="s"/>
      <c r="J328" t="n">
        <v>-0.9001</v>
      </c>
      <c r="K328" t="n">
        <v>0.379</v>
      </c>
      <c r="L328" t="n">
        <v>0.545</v>
      </c>
      <c r="M328" t="n">
        <v>0.076</v>
      </c>
    </row>
    <row r="329" spans="1:13">
      <c r="A329" s="1">
        <f>HYPERLINK("http://www.twitter.com/NathanBLawrence/status/997525149816672256", "997525149816672256")</f>
        <v/>
      </c>
      <c r="B329" s="2" t="n">
        <v>43238.71646990741</v>
      </c>
      <c r="C329" t="n">
        <v>0</v>
      </c>
      <c r="D329" t="n">
        <v>306</v>
      </c>
      <c r="E329" t="s">
        <v>340</v>
      </c>
      <c r="F329">
        <f>HYPERLINK("http://pbs.twimg.com/media/DddN5yRX4AEgMHZ.jpg", "http://pbs.twimg.com/media/DddN5yRX4AEgMHZ.jpg")</f>
        <v/>
      </c>
      <c r="G329" t="s"/>
      <c r="H329" t="s"/>
      <c r="I329" t="s"/>
      <c r="J329" t="n">
        <v>0</v>
      </c>
      <c r="K329" t="n">
        <v>0</v>
      </c>
      <c r="L329" t="n">
        <v>1</v>
      </c>
      <c r="M329" t="n">
        <v>0</v>
      </c>
    </row>
    <row r="330" spans="1:13">
      <c r="A330" s="1">
        <f>HYPERLINK("http://www.twitter.com/NathanBLawrence/status/997524365603409922", "997524365603409922")</f>
        <v/>
      </c>
      <c r="B330" s="2" t="n">
        <v>43238.71430555556</v>
      </c>
      <c r="C330" t="n">
        <v>0</v>
      </c>
      <c r="D330" t="n">
        <v>3049</v>
      </c>
      <c r="E330" t="s">
        <v>341</v>
      </c>
      <c r="F330">
        <f>HYPERLINK("http://pbs.twimg.com/media/Dde4--hVQAIkE2k.jpg", "http://pbs.twimg.com/media/Dde4--hVQAIkE2k.jpg")</f>
        <v/>
      </c>
      <c r="G330" t="s"/>
      <c r="H330" t="s"/>
      <c r="I330" t="s"/>
      <c r="J330" t="n">
        <v>0.5908</v>
      </c>
      <c r="K330" t="n">
        <v>0</v>
      </c>
      <c r="L330" t="n">
        <v>0.843</v>
      </c>
      <c r="M330" t="n">
        <v>0.157</v>
      </c>
    </row>
    <row r="331" spans="1:13">
      <c r="A331" s="1">
        <f>HYPERLINK("http://www.twitter.com/NathanBLawrence/status/997524255049953280", "997524255049953280")</f>
        <v/>
      </c>
      <c r="B331" s="2" t="n">
        <v>43238.71400462963</v>
      </c>
      <c r="C331" t="n">
        <v>0</v>
      </c>
      <c r="D331" t="n">
        <v>7437</v>
      </c>
      <c r="E331" t="s">
        <v>342</v>
      </c>
      <c r="F331" t="s"/>
      <c r="G331" t="s"/>
      <c r="H331" t="s"/>
      <c r="I331" t="s"/>
      <c r="J331" t="n">
        <v>0.5859</v>
      </c>
      <c r="K331" t="n">
        <v>0</v>
      </c>
      <c r="L331" t="n">
        <v>0.758</v>
      </c>
      <c r="M331" t="n">
        <v>0.242</v>
      </c>
    </row>
    <row r="332" spans="1:13">
      <c r="A332" s="1">
        <f>HYPERLINK("http://www.twitter.com/NathanBLawrence/status/997523627871481857", "997523627871481857")</f>
        <v/>
      </c>
      <c r="B332" s="2" t="n">
        <v>43238.71226851852</v>
      </c>
      <c r="C332" t="n">
        <v>6</v>
      </c>
      <c r="D332" t="n">
        <v>2</v>
      </c>
      <c r="E332" t="s">
        <v>343</v>
      </c>
      <c r="F332" t="s"/>
      <c r="G332" t="s"/>
      <c r="H332" t="s"/>
      <c r="I332" t="s"/>
      <c r="J332" t="n">
        <v>-0.784</v>
      </c>
      <c r="K332" t="n">
        <v>0.317</v>
      </c>
      <c r="L332" t="n">
        <v>0.6830000000000001</v>
      </c>
      <c r="M332" t="n">
        <v>0</v>
      </c>
    </row>
    <row r="333" spans="1:13">
      <c r="A333" s="1">
        <f>HYPERLINK("http://www.twitter.com/NathanBLawrence/status/997522816986681344", "997522816986681344")</f>
        <v/>
      </c>
      <c r="B333" s="2" t="n">
        <v>43238.71003472222</v>
      </c>
      <c r="C333" t="n">
        <v>0</v>
      </c>
      <c r="D333" t="n">
        <v>17597</v>
      </c>
      <c r="E333" t="s">
        <v>344</v>
      </c>
      <c r="F333" t="s"/>
      <c r="G333" t="s"/>
      <c r="H333" t="s"/>
      <c r="I333" t="s"/>
      <c r="J333" t="n">
        <v>-0.1808</v>
      </c>
      <c r="K333" t="n">
        <v>0.246</v>
      </c>
      <c r="L333" t="n">
        <v>0.601</v>
      </c>
      <c r="M333" t="n">
        <v>0.153</v>
      </c>
    </row>
    <row r="334" spans="1:13">
      <c r="A334" s="1">
        <f>HYPERLINK("http://www.twitter.com/NathanBLawrence/status/997521948203724801", "997521948203724801")</f>
        <v/>
      </c>
      <c r="B334" s="2" t="n">
        <v>43238.70763888889</v>
      </c>
      <c r="C334" t="n">
        <v>0</v>
      </c>
      <c r="D334" t="n">
        <v>4954</v>
      </c>
      <c r="E334" t="s">
        <v>345</v>
      </c>
      <c r="F334" t="s"/>
      <c r="G334" t="s"/>
      <c r="H334" t="s"/>
      <c r="I334" t="s"/>
      <c r="J334" t="n">
        <v>-0.2263</v>
      </c>
      <c r="K334" t="n">
        <v>0.163</v>
      </c>
      <c r="L334" t="n">
        <v>0.718</v>
      </c>
      <c r="M334" t="n">
        <v>0.12</v>
      </c>
    </row>
    <row r="335" spans="1:13">
      <c r="A335" s="1">
        <f>HYPERLINK("http://www.twitter.com/NathanBLawrence/status/997521860798623745", "997521860798623745")</f>
        <v/>
      </c>
      <c r="B335" s="2" t="n">
        <v>43238.70739583333</v>
      </c>
      <c r="C335" t="n">
        <v>0</v>
      </c>
      <c r="D335" t="n">
        <v>2267</v>
      </c>
      <c r="E335" t="s">
        <v>346</v>
      </c>
      <c r="F335" t="s"/>
      <c r="G335" t="s"/>
      <c r="H335" t="s"/>
      <c r="I335" t="s"/>
      <c r="J335" t="n">
        <v>0</v>
      </c>
      <c r="K335" t="n">
        <v>0</v>
      </c>
      <c r="L335" t="n">
        <v>1</v>
      </c>
      <c r="M335" t="n">
        <v>0</v>
      </c>
    </row>
    <row r="336" spans="1:13">
      <c r="A336" s="1">
        <f>HYPERLINK("http://www.twitter.com/NathanBLawrence/status/997521624042786816", "997521624042786816")</f>
        <v/>
      </c>
      <c r="B336" s="2" t="n">
        <v>43238.70673611111</v>
      </c>
      <c r="C336" t="n">
        <v>0</v>
      </c>
      <c r="D336" t="n">
        <v>2137</v>
      </c>
      <c r="E336" t="s">
        <v>347</v>
      </c>
      <c r="F336">
        <f>HYPERLINK("https://video.twimg.com/ext_tw_video/997295712390950913/pu/vid/640x360/wWP2p8HdHdEXDwTC.mp4?tag=3", "https://video.twimg.com/ext_tw_video/997295712390950913/pu/vid/640x360/wWP2p8HdHdEXDwTC.mp4?tag=3")</f>
        <v/>
      </c>
      <c r="G336" t="s"/>
      <c r="H336" t="s"/>
      <c r="I336" t="s"/>
      <c r="J336" t="n">
        <v>0.0772</v>
      </c>
      <c r="K336" t="n">
        <v>0</v>
      </c>
      <c r="L336" t="n">
        <v>0.949</v>
      </c>
      <c r="M336" t="n">
        <v>0.051</v>
      </c>
    </row>
    <row r="337" spans="1:13">
      <c r="A337" s="1">
        <f>HYPERLINK("http://www.twitter.com/NathanBLawrence/status/997521577746030592", "997521577746030592")</f>
        <v/>
      </c>
      <c r="B337" s="2" t="n">
        <v>43238.7066087963</v>
      </c>
      <c r="C337" t="n">
        <v>0</v>
      </c>
      <c r="D337" t="n">
        <v>2304</v>
      </c>
      <c r="E337" t="s">
        <v>348</v>
      </c>
      <c r="F337">
        <f>HYPERLINK("http://pbs.twimg.com/media/DdcuT-kXkAAB4GL.jpg", "http://pbs.twimg.com/media/DdcuT-kXkAAB4GL.jpg")</f>
        <v/>
      </c>
      <c r="G337" t="s"/>
      <c r="H337" t="s"/>
      <c r="I337" t="s"/>
      <c r="J337" t="n">
        <v>-0.2263</v>
      </c>
      <c r="K337" t="n">
        <v>0.083</v>
      </c>
      <c r="L337" t="n">
        <v>0.917</v>
      </c>
      <c r="M337" t="n">
        <v>0</v>
      </c>
    </row>
    <row r="338" spans="1:13">
      <c r="A338" s="1">
        <f>HYPERLINK("http://www.twitter.com/NathanBLawrence/status/997521470086680576", "997521470086680576")</f>
        <v/>
      </c>
      <c r="B338" s="2" t="n">
        <v>43238.70631944444</v>
      </c>
      <c r="C338" t="n">
        <v>0</v>
      </c>
      <c r="D338" t="n">
        <v>43</v>
      </c>
      <c r="E338" t="s">
        <v>349</v>
      </c>
      <c r="F338" t="s"/>
      <c r="G338" t="s"/>
      <c r="H338" t="s"/>
      <c r="I338" t="s"/>
      <c r="J338" t="n">
        <v>0</v>
      </c>
      <c r="K338" t="n">
        <v>0</v>
      </c>
      <c r="L338" t="n">
        <v>1</v>
      </c>
      <c r="M338" t="n">
        <v>0</v>
      </c>
    </row>
    <row r="339" spans="1:13">
      <c r="A339" s="1">
        <f>HYPERLINK("http://www.twitter.com/NathanBLawrence/status/997521409365733381", "997521409365733381")</f>
        <v/>
      </c>
      <c r="B339" s="2" t="n">
        <v>43238.70614583333</v>
      </c>
      <c r="C339" t="n">
        <v>0</v>
      </c>
      <c r="D339" t="n">
        <v>1322</v>
      </c>
      <c r="E339" t="s">
        <v>350</v>
      </c>
      <c r="F339" t="s"/>
      <c r="G339" t="s"/>
      <c r="H339" t="s"/>
      <c r="I339" t="s"/>
      <c r="J339" t="n">
        <v>-0.6908</v>
      </c>
      <c r="K339" t="n">
        <v>0.241</v>
      </c>
      <c r="L339" t="n">
        <v>0.759</v>
      </c>
      <c r="M339" t="n">
        <v>0</v>
      </c>
    </row>
    <row r="340" spans="1:13">
      <c r="A340" s="1">
        <f>HYPERLINK("http://www.twitter.com/NathanBLawrence/status/997470271358558209", "997470271358558209")</f>
        <v/>
      </c>
      <c r="B340" s="2" t="n">
        <v>43238.56503472223</v>
      </c>
      <c r="C340" t="n">
        <v>0</v>
      </c>
      <c r="D340" t="n">
        <v>354</v>
      </c>
      <c r="E340" t="s">
        <v>351</v>
      </c>
      <c r="F340">
        <f>HYPERLINK("http://pbs.twimg.com/media/DdeUCpJV4AApSIO.jpg", "http://pbs.twimg.com/media/DdeUCpJV4AApSIO.jpg")</f>
        <v/>
      </c>
      <c r="G340" t="s"/>
      <c r="H340" t="s"/>
      <c r="I340" t="s"/>
      <c r="J340" t="n">
        <v>-0.4767</v>
      </c>
      <c r="K340" t="n">
        <v>0.143</v>
      </c>
      <c r="L340" t="n">
        <v>0.802</v>
      </c>
      <c r="M340" t="n">
        <v>0.055</v>
      </c>
    </row>
    <row r="341" spans="1:13">
      <c r="A341" s="1">
        <f>HYPERLINK("http://www.twitter.com/NathanBLawrence/status/997470222092251136", "997470222092251136")</f>
        <v/>
      </c>
      <c r="B341" s="2" t="n">
        <v>43238.56489583333</v>
      </c>
      <c r="C341" t="n">
        <v>0</v>
      </c>
      <c r="D341" t="n">
        <v>115</v>
      </c>
      <c r="E341" t="s">
        <v>352</v>
      </c>
      <c r="F341" t="s"/>
      <c r="G341" t="s"/>
      <c r="H341" t="s"/>
      <c r="I341" t="s"/>
      <c r="J341" t="n">
        <v>0.1695</v>
      </c>
      <c r="K341" t="n">
        <v>0.08799999999999999</v>
      </c>
      <c r="L341" t="n">
        <v>0.795</v>
      </c>
      <c r="M341" t="n">
        <v>0.116</v>
      </c>
    </row>
    <row r="342" spans="1:13">
      <c r="A342" s="1">
        <f>HYPERLINK("http://www.twitter.com/NathanBLawrence/status/997470071953002496", "997470071953002496")</f>
        <v/>
      </c>
      <c r="B342" s="2" t="n">
        <v>43238.56447916666</v>
      </c>
      <c r="C342" t="n">
        <v>0</v>
      </c>
      <c r="D342" t="n">
        <v>890</v>
      </c>
      <c r="E342" t="s">
        <v>353</v>
      </c>
      <c r="F342" t="s"/>
      <c r="G342" t="s"/>
      <c r="H342" t="s"/>
      <c r="I342" t="s"/>
      <c r="J342" t="n">
        <v>0.7324000000000001</v>
      </c>
      <c r="K342" t="n">
        <v>0</v>
      </c>
      <c r="L342" t="n">
        <v>0.734</v>
      </c>
      <c r="M342" t="n">
        <v>0.266</v>
      </c>
    </row>
    <row r="343" spans="1:13">
      <c r="A343" s="1">
        <f>HYPERLINK("http://www.twitter.com/NathanBLawrence/status/997469986225643520", "997469986225643520")</f>
        <v/>
      </c>
      <c r="B343" s="2" t="n">
        <v>43238.56424768519</v>
      </c>
      <c r="C343" t="n">
        <v>0</v>
      </c>
      <c r="D343" t="n">
        <v>696</v>
      </c>
      <c r="E343" t="s">
        <v>354</v>
      </c>
      <c r="F343" t="s"/>
      <c r="G343" t="s"/>
      <c r="H343" t="s"/>
      <c r="I343" t="s"/>
      <c r="J343" t="n">
        <v>-0.6124000000000001</v>
      </c>
      <c r="K343" t="n">
        <v>0.185</v>
      </c>
      <c r="L343" t="n">
        <v>0.8149999999999999</v>
      </c>
      <c r="M343" t="n">
        <v>0</v>
      </c>
    </row>
    <row r="344" spans="1:13">
      <c r="A344" s="1">
        <f>HYPERLINK("http://www.twitter.com/NathanBLawrence/status/997469907364253696", "997469907364253696")</f>
        <v/>
      </c>
      <c r="B344" s="2" t="n">
        <v>43238.56402777778</v>
      </c>
      <c r="C344" t="n">
        <v>0</v>
      </c>
      <c r="D344" t="n">
        <v>242</v>
      </c>
      <c r="E344" t="s">
        <v>355</v>
      </c>
      <c r="F344" t="s"/>
      <c r="G344" t="s"/>
      <c r="H344" t="s"/>
      <c r="I344" t="s"/>
      <c r="J344" t="n">
        <v>0.5093</v>
      </c>
      <c r="K344" t="n">
        <v>0</v>
      </c>
      <c r="L344" t="n">
        <v>0.864</v>
      </c>
      <c r="M344" t="n">
        <v>0.136</v>
      </c>
    </row>
    <row r="345" spans="1:13">
      <c r="A345" s="1">
        <f>HYPERLINK("http://www.twitter.com/NathanBLawrence/status/997469812933656577", "997469812933656577")</f>
        <v/>
      </c>
      <c r="B345" s="2" t="n">
        <v>43238.56377314815</v>
      </c>
      <c r="C345" t="n">
        <v>0</v>
      </c>
      <c r="D345" t="n">
        <v>7727</v>
      </c>
      <c r="E345" t="s">
        <v>356</v>
      </c>
      <c r="F345" t="s"/>
      <c r="G345" t="s"/>
      <c r="H345" t="s"/>
      <c r="I345" t="s"/>
      <c r="J345" t="n">
        <v>0</v>
      </c>
      <c r="K345" t="n">
        <v>0</v>
      </c>
      <c r="L345" t="n">
        <v>1</v>
      </c>
      <c r="M345" t="n">
        <v>0</v>
      </c>
    </row>
    <row r="346" spans="1:13">
      <c r="A346" s="1">
        <f>HYPERLINK("http://www.twitter.com/NathanBLawrence/status/997469763935854592", "997469763935854592")</f>
        <v/>
      </c>
      <c r="B346" s="2" t="n">
        <v>43238.56363425926</v>
      </c>
      <c r="C346" t="n">
        <v>0</v>
      </c>
      <c r="D346" t="n">
        <v>21454</v>
      </c>
      <c r="E346" t="s">
        <v>357</v>
      </c>
      <c r="F346" t="s"/>
      <c r="G346" t="s"/>
      <c r="H346" t="s"/>
      <c r="I346" t="s"/>
      <c r="J346" t="n">
        <v>0</v>
      </c>
      <c r="K346" t="n">
        <v>0</v>
      </c>
      <c r="L346" t="n">
        <v>1</v>
      </c>
      <c r="M346" t="n">
        <v>0</v>
      </c>
    </row>
    <row r="347" spans="1:13">
      <c r="A347" s="1">
        <f>HYPERLINK("http://www.twitter.com/NathanBLawrence/status/997469720478736384", "997469720478736384")</f>
        <v/>
      </c>
      <c r="B347" s="2" t="n">
        <v>43238.56351851852</v>
      </c>
      <c r="C347" t="n">
        <v>0</v>
      </c>
      <c r="D347" t="n">
        <v>43385</v>
      </c>
      <c r="E347" t="s">
        <v>358</v>
      </c>
      <c r="F347" t="s"/>
      <c r="G347" t="s"/>
      <c r="H347" t="s"/>
      <c r="I347" t="s"/>
      <c r="J347" t="n">
        <v>-0.92</v>
      </c>
      <c r="K347" t="n">
        <v>0.45</v>
      </c>
      <c r="L347" t="n">
        <v>0.55</v>
      </c>
      <c r="M347" t="n">
        <v>0</v>
      </c>
    </row>
    <row r="348" spans="1:13">
      <c r="A348" s="1">
        <f>HYPERLINK("http://www.twitter.com/NathanBLawrence/status/997335201452908544", "997335201452908544")</f>
        <v/>
      </c>
      <c r="B348" s="2" t="n">
        <v>43238.19231481481</v>
      </c>
      <c r="C348" t="n">
        <v>0</v>
      </c>
      <c r="D348" t="n">
        <v>388</v>
      </c>
      <c r="E348" t="s">
        <v>359</v>
      </c>
      <c r="F348" t="s"/>
      <c r="G348" t="s"/>
      <c r="H348" t="s"/>
      <c r="I348" t="s"/>
      <c r="J348" t="n">
        <v>0.5093</v>
      </c>
      <c r="K348" t="n">
        <v>0</v>
      </c>
      <c r="L348" t="n">
        <v>0.864</v>
      </c>
      <c r="M348" t="n">
        <v>0.136</v>
      </c>
    </row>
    <row r="349" spans="1:13">
      <c r="A349" s="1">
        <f>HYPERLINK("http://www.twitter.com/NathanBLawrence/status/996952298378100737", "996952298378100737")</f>
        <v/>
      </c>
      <c r="B349" s="2" t="n">
        <v>43237.13570601852</v>
      </c>
      <c r="C349" t="n">
        <v>0</v>
      </c>
      <c r="D349" t="n">
        <v>1</v>
      </c>
      <c r="E349" t="s">
        <v>360</v>
      </c>
      <c r="F349" t="s"/>
      <c r="G349" t="s"/>
      <c r="H349" t="s"/>
      <c r="I349" t="s"/>
      <c r="J349" t="n">
        <v>0</v>
      </c>
      <c r="K349" t="n">
        <v>0</v>
      </c>
      <c r="L349" t="n">
        <v>1</v>
      </c>
      <c r="M349" t="n">
        <v>0</v>
      </c>
    </row>
    <row r="350" spans="1:13">
      <c r="A350" s="1">
        <f>HYPERLINK("http://www.twitter.com/NathanBLawrence/status/996952194523025408", "996952194523025408")</f>
        <v/>
      </c>
      <c r="B350" s="2" t="n">
        <v>43237.13541666666</v>
      </c>
      <c r="C350" t="n">
        <v>0</v>
      </c>
      <c r="D350" t="n">
        <v>274</v>
      </c>
      <c r="E350" t="s">
        <v>361</v>
      </c>
      <c r="F350" t="s"/>
      <c r="G350" t="s"/>
      <c r="H350" t="s"/>
      <c r="I350" t="s"/>
      <c r="J350" t="n">
        <v>0</v>
      </c>
      <c r="K350" t="n">
        <v>0</v>
      </c>
      <c r="L350" t="n">
        <v>1</v>
      </c>
      <c r="M350" t="n">
        <v>0</v>
      </c>
    </row>
    <row r="351" spans="1:13">
      <c r="A351" s="1">
        <f>HYPERLINK("http://www.twitter.com/NathanBLawrence/status/996951710638727169", "996951710638727169")</f>
        <v/>
      </c>
      <c r="B351" s="2" t="n">
        <v>43237.13407407407</v>
      </c>
      <c r="C351" t="n">
        <v>0</v>
      </c>
      <c r="D351" t="n">
        <v>28</v>
      </c>
      <c r="E351" t="s">
        <v>362</v>
      </c>
      <c r="F351">
        <f>HYPERLINK("http://pbs.twimg.com/media/DdXfjSFV4AA5e-Y.jpg", "http://pbs.twimg.com/media/DdXfjSFV4AA5e-Y.jpg")</f>
        <v/>
      </c>
      <c r="G351" t="s"/>
      <c r="H351" t="s"/>
      <c r="I351" t="s"/>
      <c r="J351" t="n">
        <v>0.4404</v>
      </c>
      <c r="K351" t="n">
        <v>0</v>
      </c>
      <c r="L351" t="n">
        <v>0.775</v>
      </c>
      <c r="M351" t="n">
        <v>0.225</v>
      </c>
    </row>
    <row r="352" spans="1:13">
      <c r="A352" s="1">
        <f>HYPERLINK("http://www.twitter.com/NathanBLawrence/status/996951618863140864", "996951618863140864")</f>
        <v/>
      </c>
      <c r="B352" s="2" t="n">
        <v>43237.13383101852</v>
      </c>
      <c r="C352" t="n">
        <v>0</v>
      </c>
      <c r="D352" t="n">
        <v>388</v>
      </c>
      <c r="E352" t="s">
        <v>363</v>
      </c>
      <c r="F352" t="s"/>
      <c r="G352" t="s"/>
      <c r="H352" t="s"/>
      <c r="I352" t="s"/>
      <c r="J352" t="n">
        <v>0</v>
      </c>
      <c r="K352" t="n">
        <v>0</v>
      </c>
      <c r="L352" t="n">
        <v>1</v>
      </c>
      <c r="M352" t="n">
        <v>0</v>
      </c>
    </row>
    <row r="353" spans="1:13">
      <c r="A353" s="1">
        <f>HYPERLINK("http://www.twitter.com/NathanBLawrence/status/996951422859141121", "996951422859141121")</f>
        <v/>
      </c>
      <c r="B353" s="2" t="n">
        <v>43237.13328703704</v>
      </c>
      <c r="C353" t="n">
        <v>0</v>
      </c>
      <c r="D353" t="n">
        <v>1898</v>
      </c>
      <c r="E353" t="s">
        <v>364</v>
      </c>
      <c r="F353" t="s"/>
      <c r="G353" t="s"/>
      <c r="H353" t="s"/>
      <c r="I353" t="s"/>
      <c r="J353" t="n">
        <v>0.6369</v>
      </c>
      <c r="K353" t="n">
        <v>0</v>
      </c>
      <c r="L353" t="n">
        <v>0.819</v>
      </c>
      <c r="M353" t="n">
        <v>0.181</v>
      </c>
    </row>
    <row r="354" spans="1:13">
      <c r="A354" s="1">
        <f>HYPERLINK("http://www.twitter.com/NathanBLawrence/status/996951185205743616", "996951185205743616")</f>
        <v/>
      </c>
      <c r="B354" s="2" t="n">
        <v>43237.13262731482</v>
      </c>
      <c r="C354" t="n">
        <v>0</v>
      </c>
      <c r="D354" t="n">
        <v>2912</v>
      </c>
      <c r="E354" t="s">
        <v>365</v>
      </c>
      <c r="F354" t="s"/>
      <c r="G354" t="s"/>
      <c r="H354" t="s"/>
      <c r="I354" t="s"/>
      <c r="J354" t="n">
        <v>0.536</v>
      </c>
      <c r="K354" t="n">
        <v>0.07199999999999999</v>
      </c>
      <c r="L354" t="n">
        <v>0.762</v>
      </c>
      <c r="M354" t="n">
        <v>0.166</v>
      </c>
    </row>
    <row r="355" spans="1:13">
      <c r="A355" s="1">
        <f>HYPERLINK("http://www.twitter.com/NathanBLawrence/status/996948830892544000", "996948830892544000")</f>
        <v/>
      </c>
      <c r="B355" s="2" t="n">
        <v>43237.12613425926</v>
      </c>
      <c r="C355" t="n">
        <v>0</v>
      </c>
      <c r="D355" t="n">
        <v>4753</v>
      </c>
      <c r="E355" t="s">
        <v>366</v>
      </c>
      <c r="F355" t="s"/>
      <c r="G355" t="s"/>
      <c r="H355" t="s"/>
      <c r="I355" t="s"/>
      <c r="J355" t="n">
        <v>0.2023</v>
      </c>
      <c r="K355" t="n">
        <v>0</v>
      </c>
      <c r="L355" t="n">
        <v>0.924</v>
      </c>
      <c r="M355" t="n">
        <v>0.076</v>
      </c>
    </row>
    <row r="356" spans="1:13">
      <c r="A356" s="1">
        <f>HYPERLINK("http://www.twitter.com/NathanBLawrence/status/996948711967264768", "996948711967264768")</f>
        <v/>
      </c>
      <c r="B356" s="2" t="n">
        <v>43237.12581018519</v>
      </c>
      <c r="C356" t="n">
        <v>0</v>
      </c>
      <c r="D356" t="n">
        <v>14123</v>
      </c>
      <c r="E356" t="s">
        <v>367</v>
      </c>
      <c r="F356" t="s"/>
      <c r="G356" t="s"/>
      <c r="H356" t="s"/>
      <c r="I356" t="s"/>
      <c r="J356" t="n">
        <v>0</v>
      </c>
      <c r="K356" t="n">
        <v>0</v>
      </c>
      <c r="L356" t="n">
        <v>1</v>
      </c>
      <c r="M356" t="n">
        <v>0</v>
      </c>
    </row>
    <row r="357" spans="1:13">
      <c r="A357" s="1">
        <f>HYPERLINK("http://www.twitter.com/NathanBLawrence/status/996948326955343872", "996948326955343872")</f>
        <v/>
      </c>
      <c r="B357" s="2" t="n">
        <v>43237.12474537037</v>
      </c>
      <c r="C357" t="n">
        <v>0</v>
      </c>
      <c r="D357" t="n">
        <v>466</v>
      </c>
      <c r="E357" t="s">
        <v>368</v>
      </c>
      <c r="F357" t="s"/>
      <c r="G357" t="s"/>
      <c r="H357" t="s"/>
      <c r="I357" t="s"/>
      <c r="J357" t="n">
        <v>0.5754</v>
      </c>
      <c r="K357" t="n">
        <v>0</v>
      </c>
      <c r="L357" t="n">
        <v>0.801</v>
      </c>
      <c r="M357" t="n">
        <v>0.199</v>
      </c>
    </row>
    <row r="358" spans="1:13">
      <c r="A358" s="1">
        <f>HYPERLINK("http://www.twitter.com/NathanBLawrence/status/996948246730813441", "996948246730813441")</f>
        <v/>
      </c>
      <c r="B358" s="2" t="n">
        <v>43237.12452546296</v>
      </c>
      <c r="C358" t="n">
        <v>0</v>
      </c>
      <c r="D358" t="n">
        <v>12661</v>
      </c>
      <c r="E358" t="s">
        <v>369</v>
      </c>
      <c r="F358">
        <f>HYPERLINK("http://pbs.twimg.com/media/DAtTzazXoAkGfC4.jpg", "http://pbs.twimg.com/media/DAtTzazXoAkGfC4.jpg")</f>
        <v/>
      </c>
      <c r="G358" t="s"/>
      <c r="H358" t="s"/>
      <c r="I358" t="s"/>
      <c r="J358" t="n">
        <v>-0.0521</v>
      </c>
      <c r="K358" t="n">
        <v>0.157</v>
      </c>
      <c r="L358" t="n">
        <v>0.698</v>
      </c>
      <c r="M358" t="n">
        <v>0.145</v>
      </c>
    </row>
    <row r="359" spans="1:13">
      <c r="A359" s="1">
        <f>HYPERLINK("http://www.twitter.com/NathanBLawrence/status/996948192901173248", "996948192901173248")</f>
        <v/>
      </c>
      <c r="B359" s="2" t="n">
        <v>43237.124375</v>
      </c>
      <c r="C359" t="n">
        <v>0</v>
      </c>
      <c r="D359" t="n">
        <v>1352</v>
      </c>
      <c r="E359" t="s">
        <v>370</v>
      </c>
      <c r="F359">
        <f>HYPERLINK("http://pbs.twimg.com/media/DdXaSoXU0AAtWhx.jpg", "http://pbs.twimg.com/media/DdXaSoXU0AAtWhx.jpg")</f>
        <v/>
      </c>
      <c r="G359" t="s"/>
      <c r="H359" t="s"/>
      <c r="I359" t="s"/>
      <c r="J359" t="n">
        <v>0</v>
      </c>
      <c r="K359" t="n">
        <v>0</v>
      </c>
      <c r="L359" t="n">
        <v>1</v>
      </c>
      <c r="M359" t="n">
        <v>0</v>
      </c>
    </row>
    <row r="360" spans="1:13">
      <c r="A360" s="1">
        <f>HYPERLINK("http://www.twitter.com/NathanBLawrence/status/996948085728268294", "996948085728268294")</f>
        <v/>
      </c>
      <c r="B360" s="2" t="n">
        <v>43237.12407407408</v>
      </c>
      <c r="C360" t="n">
        <v>0</v>
      </c>
      <c r="D360" t="n">
        <v>1318</v>
      </c>
      <c r="E360" t="s">
        <v>371</v>
      </c>
      <c r="F360" t="s"/>
      <c r="G360" t="s"/>
      <c r="H360" t="s"/>
      <c r="I360" t="s"/>
      <c r="J360" t="n">
        <v>0.7717000000000001</v>
      </c>
      <c r="K360" t="n">
        <v>0</v>
      </c>
      <c r="L360" t="n">
        <v>0.7</v>
      </c>
      <c r="M360" t="n">
        <v>0.3</v>
      </c>
    </row>
    <row r="361" spans="1:13">
      <c r="A361" s="1">
        <f>HYPERLINK("http://www.twitter.com/NathanBLawrence/status/996948002823725057", "996948002823725057")</f>
        <v/>
      </c>
      <c r="B361" s="2" t="n">
        <v>43237.12384259259</v>
      </c>
      <c r="C361" t="n">
        <v>0</v>
      </c>
      <c r="D361" t="n">
        <v>56</v>
      </c>
      <c r="E361" t="s">
        <v>372</v>
      </c>
      <c r="F361">
        <f>HYPERLINK("http://pbs.twimg.com/media/DdW_MvfWAAAIVYq.jpg", "http://pbs.twimg.com/media/DdW_MvfWAAAIVYq.jpg")</f>
        <v/>
      </c>
      <c r="G361" t="s"/>
      <c r="H361" t="s"/>
      <c r="I361" t="s"/>
      <c r="J361" t="n">
        <v>0</v>
      </c>
      <c r="K361" t="n">
        <v>0</v>
      </c>
      <c r="L361" t="n">
        <v>1</v>
      </c>
      <c r="M361" t="n">
        <v>0</v>
      </c>
    </row>
    <row r="362" spans="1:13">
      <c r="A362" s="1">
        <f>HYPERLINK("http://www.twitter.com/NathanBLawrence/status/996947893859835904", "996947893859835904")</f>
        <v/>
      </c>
      <c r="B362" s="2" t="n">
        <v>43237.12354166667</v>
      </c>
      <c r="C362" t="n">
        <v>0</v>
      </c>
      <c r="D362" t="n">
        <v>107</v>
      </c>
      <c r="E362" t="s">
        <v>373</v>
      </c>
      <c r="F362" t="s"/>
      <c r="G362" t="s"/>
      <c r="H362" t="s"/>
      <c r="I362" t="s"/>
      <c r="J362" t="n">
        <v>0</v>
      </c>
      <c r="K362" t="n">
        <v>0</v>
      </c>
      <c r="L362" t="n">
        <v>1</v>
      </c>
      <c r="M362" t="n">
        <v>0</v>
      </c>
    </row>
    <row r="363" spans="1:13">
      <c r="A363" s="1">
        <f>HYPERLINK("http://www.twitter.com/NathanBLawrence/status/996947078193532929", "996947078193532929")</f>
        <v/>
      </c>
      <c r="B363" s="2" t="n">
        <v>43237.1212962963</v>
      </c>
      <c r="C363" t="n">
        <v>0</v>
      </c>
      <c r="D363" t="n">
        <v>178</v>
      </c>
      <c r="E363" t="s">
        <v>374</v>
      </c>
      <c r="F363">
        <f>HYPERLINK("http://pbs.twimg.com/media/DdXdglkX4AESHQN.jpg", "http://pbs.twimg.com/media/DdXdglkX4AESHQN.jpg")</f>
        <v/>
      </c>
      <c r="G363" t="s"/>
      <c r="H363" t="s"/>
      <c r="I363" t="s"/>
      <c r="J363" t="n">
        <v>0.636</v>
      </c>
      <c r="K363" t="n">
        <v>0</v>
      </c>
      <c r="L363" t="n">
        <v>0.794</v>
      </c>
      <c r="M363" t="n">
        <v>0.206</v>
      </c>
    </row>
    <row r="364" spans="1:13">
      <c r="A364" s="1">
        <f>HYPERLINK("http://www.twitter.com/NathanBLawrence/status/996945975330656261", "996945975330656261")</f>
        <v/>
      </c>
      <c r="B364" s="2" t="n">
        <v>43237.11825231482</v>
      </c>
      <c r="C364" t="n">
        <v>0</v>
      </c>
      <c r="D364" t="n">
        <v>142</v>
      </c>
      <c r="E364" t="s">
        <v>375</v>
      </c>
      <c r="F364">
        <f>HYPERLINK("https://video.twimg.com/ext_tw_video/996873289036267520/pu/vid/480x480/WuhlxoTQYwSaCJ0d.mp4?tag=3", "https://video.twimg.com/ext_tw_video/996873289036267520/pu/vid/480x480/WuhlxoTQYwSaCJ0d.mp4?tag=3")</f>
        <v/>
      </c>
      <c r="G364" t="s"/>
      <c r="H364" t="s"/>
      <c r="I364" t="s"/>
      <c r="J364" t="n">
        <v>0.5134</v>
      </c>
      <c r="K364" t="n">
        <v>0</v>
      </c>
      <c r="L364" t="n">
        <v>0.851</v>
      </c>
      <c r="M364" t="n">
        <v>0.149</v>
      </c>
    </row>
    <row r="365" spans="1:13">
      <c r="A365" s="1">
        <f>HYPERLINK("http://www.twitter.com/NathanBLawrence/status/996945716512780288", "996945716512780288")</f>
        <v/>
      </c>
      <c r="B365" s="2" t="n">
        <v>43237.11753472222</v>
      </c>
      <c r="C365" t="n">
        <v>0</v>
      </c>
      <c r="D365" t="n">
        <v>418</v>
      </c>
      <c r="E365" t="s">
        <v>376</v>
      </c>
      <c r="F365" t="s"/>
      <c r="G365" t="s"/>
      <c r="H365" t="s"/>
      <c r="I365" t="s"/>
      <c r="J365" t="n">
        <v>0</v>
      </c>
      <c r="K365" t="n">
        <v>0</v>
      </c>
      <c r="L365" t="n">
        <v>1</v>
      </c>
      <c r="M365" t="n">
        <v>0</v>
      </c>
    </row>
    <row r="366" spans="1:13">
      <c r="A366" s="1">
        <f>HYPERLINK("http://www.twitter.com/NathanBLawrence/status/996945362790371328", "996945362790371328")</f>
        <v/>
      </c>
      <c r="B366" s="2" t="n">
        <v>43237.1165625</v>
      </c>
      <c r="C366" t="n">
        <v>0</v>
      </c>
      <c r="D366" t="n">
        <v>1982</v>
      </c>
      <c r="E366" t="s">
        <v>377</v>
      </c>
      <c r="F366">
        <f>HYPERLINK("https://video.twimg.com/ext_tw_video/996874728194297856/pu/vid/240x180/ErHEy9H0Qa_5KMLe.mp4?tag=3", "https://video.twimg.com/ext_tw_video/996874728194297856/pu/vid/240x180/ErHEy9H0Qa_5KMLe.mp4?tag=3")</f>
        <v/>
      </c>
      <c r="G366" t="s"/>
      <c r="H366" t="s"/>
      <c r="I366" t="s"/>
      <c r="J366" t="n">
        <v>0</v>
      </c>
      <c r="K366" t="n">
        <v>0</v>
      </c>
      <c r="L366" t="n">
        <v>1</v>
      </c>
      <c r="M366" t="n">
        <v>0</v>
      </c>
    </row>
    <row r="367" spans="1:13">
      <c r="A367" s="1">
        <f>HYPERLINK("http://www.twitter.com/NathanBLawrence/status/996945266241691648", "996945266241691648")</f>
        <v/>
      </c>
      <c r="B367" s="2" t="n">
        <v>43237.1162962963</v>
      </c>
      <c r="C367" t="n">
        <v>0</v>
      </c>
      <c r="D367" t="n">
        <v>86</v>
      </c>
      <c r="E367" t="s">
        <v>378</v>
      </c>
      <c r="F367" t="s"/>
      <c r="G367" t="s"/>
      <c r="H367" t="s"/>
      <c r="I367" t="s"/>
      <c r="J367" t="n">
        <v>0</v>
      </c>
      <c r="K367" t="n">
        <v>0</v>
      </c>
      <c r="L367" t="n">
        <v>1</v>
      </c>
      <c r="M367" t="n">
        <v>0</v>
      </c>
    </row>
    <row r="368" spans="1:13">
      <c r="A368" s="1">
        <f>HYPERLINK("http://www.twitter.com/NathanBLawrence/status/996935705459818497", "996935705459818497")</f>
        <v/>
      </c>
      <c r="B368" s="2" t="n">
        <v>43237.08991898148</v>
      </c>
      <c r="C368" t="n">
        <v>0</v>
      </c>
      <c r="D368" t="n">
        <v>1509</v>
      </c>
      <c r="E368" t="s">
        <v>379</v>
      </c>
      <c r="F368" t="s"/>
      <c r="G368" t="s"/>
      <c r="H368" t="s"/>
      <c r="I368" t="s"/>
      <c r="J368" t="n">
        <v>-0.6486</v>
      </c>
      <c r="K368" t="n">
        <v>0.194</v>
      </c>
      <c r="L368" t="n">
        <v>0.806</v>
      </c>
      <c r="M368" t="n">
        <v>0</v>
      </c>
    </row>
    <row r="369" spans="1:13">
      <c r="A369" s="1">
        <f>HYPERLINK("http://www.twitter.com/NathanBLawrence/status/996935622311989248", "996935622311989248")</f>
        <v/>
      </c>
      <c r="B369" s="2" t="n">
        <v>43237.0896875</v>
      </c>
      <c r="C369" t="n">
        <v>0</v>
      </c>
      <c r="D369" t="n">
        <v>14447</v>
      </c>
      <c r="E369" t="s">
        <v>380</v>
      </c>
      <c r="F369" t="s"/>
      <c r="G369" t="s"/>
      <c r="H369" t="s"/>
      <c r="I369" t="s"/>
      <c r="J369" t="n">
        <v>0.4767</v>
      </c>
      <c r="K369" t="n">
        <v>0</v>
      </c>
      <c r="L369" t="n">
        <v>0.86</v>
      </c>
      <c r="M369" t="n">
        <v>0.14</v>
      </c>
    </row>
    <row r="370" spans="1:13">
      <c r="A370" s="1">
        <f>HYPERLINK("http://www.twitter.com/NathanBLawrence/status/996935485397372928", "996935485397372928")</f>
        <v/>
      </c>
      <c r="B370" s="2" t="n">
        <v>43237.08930555556</v>
      </c>
      <c r="C370" t="n">
        <v>0</v>
      </c>
      <c r="D370" t="n">
        <v>17146</v>
      </c>
      <c r="E370" t="s">
        <v>381</v>
      </c>
      <c r="F370" t="s"/>
      <c r="G370" t="s"/>
      <c r="H370" t="s"/>
      <c r="I370" t="s"/>
      <c r="J370" t="n">
        <v>0.5266999999999999</v>
      </c>
      <c r="K370" t="n">
        <v>0</v>
      </c>
      <c r="L370" t="n">
        <v>0.876</v>
      </c>
      <c r="M370" t="n">
        <v>0.124</v>
      </c>
    </row>
    <row r="371" spans="1:13">
      <c r="A371" s="1">
        <f>HYPERLINK("http://www.twitter.com/NathanBLawrence/status/996814874889027585", "996814874889027585")</f>
        <v/>
      </c>
      <c r="B371" s="2" t="n">
        <v>43236.75648148148</v>
      </c>
      <c r="C371" t="n">
        <v>0</v>
      </c>
      <c r="D371" t="n">
        <v>2770</v>
      </c>
      <c r="E371" t="s">
        <v>382</v>
      </c>
      <c r="F371">
        <f>HYPERLINK("http://pbs.twimg.com/media/DdVcsyBX4AYoD1R.jpg", "http://pbs.twimg.com/media/DdVcsyBX4AYoD1R.jpg")</f>
        <v/>
      </c>
      <c r="G371" t="s"/>
      <c r="H371" t="s"/>
      <c r="I371" t="s"/>
      <c r="J371" t="n">
        <v>0.6249</v>
      </c>
      <c r="K371" t="n">
        <v>0</v>
      </c>
      <c r="L371" t="n">
        <v>0.823</v>
      </c>
      <c r="M371" t="n">
        <v>0.177</v>
      </c>
    </row>
    <row r="372" spans="1:13">
      <c r="A372" s="1">
        <f>HYPERLINK("http://www.twitter.com/NathanBLawrence/status/996814798745751553", "996814798745751553")</f>
        <v/>
      </c>
      <c r="B372" s="2" t="n">
        <v>43236.75627314814</v>
      </c>
      <c r="C372" t="n">
        <v>0</v>
      </c>
      <c r="D372" t="n">
        <v>224</v>
      </c>
      <c r="E372" t="s">
        <v>383</v>
      </c>
      <c r="F372" t="s"/>
      <c r="G372" t="s"/>
      <c r="H372" t="s"/>
      <c r="I372" t="s"/>
      <c r="J372" t="n">
        <v>0</v>
      </c>
      <c r="K372" t="n">
        <v>0</v>
      </c>
      <c r="L372" t="n">
        <v>1</v>
      </c>
      <c r="M372" t="n">
        <v>0</v>
      </c>
    </row>
    <row r="373" spans="1:13">
      <c r="A373" s="1">
        <f>HYPERLINK("http://www.twitter.com/NathanBLawrence/status/996548562166206464", "996548562166206464")</f>
        <v/>
      </c>
      <c r="B373" s="2" t="n">
        <v>43236.02159722222</v>
      </c>
      <c r="C373" t="n">
        <v>0</v>
      </c>
      <c r="D373" t="n">
        <v>76</v>
      </c>
      <c r="E373" t="s">
        <v>384</v>
      </c>
      <c r="F373">
        <f>HYPERLINK("http://pbs.twimg.com/media/DdQwsO1U0AAwGi4.jpg", "http://pbs.twimg.com/media/DdQwsO1U0AAwGi4.jpg")</f>
        <v/>
      </c>
      <c r="G373" t="s"/>
      <c r="H373" t="s"/>
      <c r="I373" t="s"/>
      <c r="J373" t="n">
        <v>0</v>
      </c>
      <c r="K373" t="n">
        <v>0</v>
      </c>
      <c r="L373" t="n">
        <v>1</v>
      </c>
      <c r="M373" t="n">
        <v>0</v>
      </c>
    </row>
    <row r="374" spans="1:13">
      <c r="A374" s="1">
        <f>HYPERLINK("http://www.twitter.com/NathanBLawrence/status/996132539864682496", "996132539864682496")</f>
        <v/>
      </c>
      <c r="B374" s="2" t="n">
        <v>43234.87359953704</v>
      </c>
      <c r="C374" t="n">
        <v>0</v>
      </c>
      <c r="D374" t="n">
        <v>29</v>
      </c>
      <c r="E374" t="s">
        <v>385</v>
      </c>
      <c r="F374" t="s"/>
      <c r="G374" t="s"/>
      <c r="H374" t="s"/>
      <c r="I374" t="s"/>
      <c r="J374" t="n">
        <v>0.3919</v>
      </c>
      <c r="K374" t="n">
        <v>0</v>
      </c>
      <c r="L374" t="n">
        <v>0.897</v>
      </c>
      <c r="M374" t="n">
        <v>0.103</v>
      </c>
    </row>
    <row r="375" spans="1:13">
      <c r="A375" s="1">
        <f>HYPERLINK("http://www.twitter.com/NathanBLawrence/status/996132439083880454", "996132439083880454")</f>
        <v/>
      </c>
      <c r="B375" s="2" t="n">
        <v>43234.87332175926</v>
      </c>
      <c r="C375" t="n">
        <v>0</v>
      </c>
      <c r="D375" t="n">
        <v>38</v>
      </c>
      <c r="E375" t="s">
        <v>386</v>
      </c>
      <c r="F375" t="s"/>
      <c r="G375" t="s"/>
      <c r="H375" t="s"/>
      <c r="I375" t="s"/>
      <c r="J375" t="n">
        <v>0</v>
      </c>
      <c r="K375" t="n">
        <v>0</v>
      </c>
      <c r="L375" t="n">
        <v>1</v>
      </c>
      <c r="M375" t="n">
        <v>0</v>
      </c>
    </row>
    <row r="376" spans="1:13">
      <c r="A376" s="1">
        <f>HYPERLINK("http://www.twitter.com/NathanBLawrence/status/996131608347533313", "996131608347533313")</f>
        <v/>
      </c>
      <c r="B376" s="2" t="n">
        <v>43234.8710300926</v>
      </c>
      <c r="C376" t="n">
        <v>0</v>
      </c>
      <c r="D376" t="n">
        <v>26537</v>
      </c>
      <c r="E376" t="s">
        <v>387</v>
      </c>
      <c r="F376" t="s"/>
      <c r="G376" t="s"/>
      <c r="H376" t="s"/>
      <c r="I376" t="s"/>
      <c r="J376" t="n">
        <v>-0.4767</v>
      </c>
      <c r="K376" t="n">
        <v>0.119</v>
      </c>
      <c r="L376" t="n">
        <v>0.881</v>
      </c>
      <c r="M376" t="n">
        <v>0</v>
      </c>
    </row>
    <row r="377" spans="1:13">
      <c r="A377" s="1">
        <f>HYPERLINK("http://www.twitter.com/NathanBLawrence/status/996131494518312960", "996131494518312960")</f>
        <v/>
      </c>
      <c r="B377" s="2" t="n">
        <v>43234.8707175926</v>
      </c>
      <c r="C377" t="n">
        <v>0</v>
      </c>
      <c r="D377" t="n">
        <v>440</v>
      </c>
      <c r="E377" t="s">
        <v>388</v>
      </c>
      <c r="F377" t="s"/>
      <c r="G377" t="s"/>
      <c r="H377" t="s"/>
      <c r="I377" t="s"/>
      <c r="J377" t="n">
        <v>0.4019</v>
      </c>
      <c r="K377" t="n">
        <v>0</v>
      </c>
      <c r="L377" t="n">
        <v>0.881</v>
      </c>
      <c r="M377" t="n">
        <v>0.119</v>
      </c>
    </row>
    <row r="378" spans="1:13">
      <c r="A378" s="1">
        <f>HYPERLINK("http://www.twitter.com/NathanBLawrence/status/996131337714139136", "996131337714139136")</f>
        <v/>
      </c>
      <c r="B378" s="2" t="n">
        <v>43234.87027777778</v>
      </c>
      <c r="C378" t="n">
        <v>0</v>
      </c>
      <c r="D378" t="n">
        <v>226</v>
      </c>
      <c r="E378" t="s">
        <v>389</v>
      </c>
      <c r="F378" t="s"/>
      <c r="G378" t="s"/>
      <c r="H378" t="s"/>
      <c r="I378" t="s"/>
      <c r="J378" t="n">
        <v>0.5106000000000001</v>
      </c>
      <c r="K378" t="n">
        <v>0</v>
      </c>
      <c r="L378" t="n">
        <v>0.68</v>
      </c>
      <c r="M378" t="n">
        <v>0.32</v>
      </c>
    </row>
    <row r="379" spans="1:13">
      <c r="A379" s="1">
        <f>HYPERLINK("http://www.twitter.com/NathanBLawrence/status/996130347883560973", "996130347883560973")</f>
        <v/>
      </c>
      <c r="B379" s="2" t="n">
        <v>43234.86754629629</v>
      </c>
      <c r="C379" t="n">
        <v>0</v>
      </c>
      <c r="D379" t="n">
        <v>17406</v>
      </c>
      <c r="E379" t="s">
        <v>390</v>
      </c>
      <c r="F379" t="s"/>
      <c r="G379" t="s"/>
      <c r="H379" t="s"/>
      <c r="I379" t="s"/>
      <c r="J379" t="n">
        <v>0</v>
      </c>
      <c r="K379" t="n">
        <v>0</v>
      </c>
      <c r="L379" t="n">
        <v>1</v>
      </c>
      <c r="M379" t="n">
        <v>0</v>
      </c>
    </row>
    <row r="380" spans="1:13">
      <c r="A380" s="1">
        <f>HYPERLINK("http://www.twitter.com/NathanBLawrence/status/995849226478288896", "995849226478288896")</f>
        <v/>
      </c>
      <c r="B380" s="2" t="n">
        <v>43234.09180555555</v>
      </c>
      <c r="C380" t="n">
        <v>11</v>
      </c>
      <c r="D380" t="n">
        <v>1</v>
      </c>
      <c r="E380" t="s">
        <v>391</v>
      </c>
      <c r="F380">
        <f>HYPERLINK("http://pbs.twimg.com/media/DdH3l_aWkAE9uke.jpg", "http://pbs.twimg.com/media/DdH3l_aWkAE9uke.jpg")</f>
        <v/>
      </c>
      <c r="G380" t="s"/>
      <c r="H380" t="s"/>
      <c r="I380" t="s"/>
      <c r="J380" t="n">
        <v>0</v>
      </c>
      <c r="K380" t="n">
        <v>0</v>
      </c>
      <c r="L380" t="n">
        <v>1</v>
      </c>
      <c r="M380" t="n">
        <v>0</v>
      </c>
    </row>
    <row r="381" spans="1:13">
      <c r="A381" s="1">
        <f>HYPERLINK("http://www.twitter.com/NathanBLawrence/status/995762943617880066", "995762943617880066")</f>
        <v/>
      </c>
      <c r="B381" s="2" t="n">
        <v>43233.8537037037</v>
      </c>
      <c r="C381" t="n">
        <v>0</v>
      </c>
      <c r="D381" t="n">
        <v>4</v>
      </c>
      <c r="E381" t="s">
        <v>392</v>
      </c>
      <c r="F381" t="s"/>
      <c r="G381" t="s"/>
      <c r="H381" t="s"/>
      <c r="I381" t="s"/>
      <c r="J381" t="n">
        <v>-0.1386</v>
      </c>
      <c r="K381" t="n">
        <v>0.128</v>
      </c>
      <c r="L381" t="n">
        <v>0.701</v>
      </c>
      <c r="M381" t="n">
        <v>0.171</v>
      </c>
    </row>
    <row r="382" spans="1:13">
      <c r="A382" s="1">
        <f>HYPERLINK("http://www.twitter.com/NathanBLawrence/status/995761420762574848", "995761420762574848")</f>
        <v/>
      </c>
      <c r="B382" s="2" t="n">
        <v>43233.84950231481</v>
      </c>
      <c r="C382" t="n">
        <v>0</v>
      </c>
      <c r="D382" t="n">
        <v>92</v>
      </c>
      <c r="E382" t="s">
        <v>393</v>
      </c>
      <c r="F382" t="s"/>
      <c r="G382" t="s"/>
      <c r="H382" t="s"/>
      <c r="I382" t="s"/>
      <c r="J382" t="n">
        <v>0</v>
      </c>
      <c r="K382" t="n">
        <v>0</v>
      </c>
      <c r="L382" t="n">
        <v>1</v>
      </c>
      <c r="M382" t="n">
        <v>0</v>
      </c>
    </row>
    <row r="383" spans="1:13">
      <c r="A383" s="1">
        <f>HYPERLINK("http://www.twitter.com/NathanBLawrence/status/995761311266074625", "995761311266074625")</f>
        <v/>
      </c>
      <c r="B383" s="2" t="n">
        <v>43233.84920138889</v>
      </c>
      <c r="C383" t="n">
        <v>0</v>
      </c>
      <c r="D383" t="n">
        <v>27858</v>
      </c>
      <c r="E383" t="s">
        <v>394</v>
      </c>
      <c r="F383" t="s"/>
      <c r="G383" t="s"/>
      <c r="H383" t="s"/>
      <c r="I383" t="s"/>
      <c r="J383" t="n">
        <v>-0.4767</v>
      </c>
      <c r="K383" t="n">
        <v>0.114</v>
      </c>
      <c r="L383" t="n">
        <v>0.886</v>
      </c>
      <c r="M383" t="n">
        <v>0</v>
      </c>
    </row>
    <row r="384" spans="1:13">
      <c r="A384" s="1">
        <f>HYPERLINK("http://www.twitter.com/NathanBLawrence/status/995729111250292736", "995729111250292736")</f>
        <v/>
      </c>
      <c r="B384" s="2" t="n">
        <v>43233.76034722223</v>
      </c>
      <c r="C384" t="n">
        <v>0</v>
      </c>
      <c r="D384" t="n">
        <v>11</v>
      </c>
      <c r="E384" t="s">
        <v>395</v>
      </c>
      <c r="F384">
        <f>HYPERLINK("http://pbs.twimg.com/media/DdGKC7CV4AAJFL4.jpg", "http://pbs.twimg.com/media/DdGKC7CV4AAJFL4.jpg")</f>
        <v/>
      </c>
      <c r="G384" t="s"/>
      <c r="H384" t="s"/>
      <c r="I384" t="s"/>
      <c r="J384" t="n">
        <v>0.6249</v>
      </c>
      <c r="K384" t="n">
        <v>0</v>
      </c>
      <c r="L384" t="n">
        <v>0.631</v>
      </c>
      <c r="M384" t="n">
        <v>0.369</v>
      </c>
    </row>
    <row r="385" spans="1:13">
      <c r="A385" s="1">
        <f>HYPERLINK("http://www.twitter.com/NathanBLawrence/status/995728252152008704", "995728252152008704")</f>
        <v/>
      </c>
      <c r="B385" s="2" t="n">
        <v>43233.75797453704</v>
      </c>
      <c r="C385" t="n">
        <v>0</v>
      </c>
      <c r="D385" t="n">
        <v>102</v>
      </c>
      <c r="E385" t="s">
        <v>396</v>
      </c>
      <c r="F385" t="s"/>
      <c r="G385" t="s"/>
      <c r="H385" t="s"/>
      <c r="I385" t="s"/>
      <c r="J385" t="n">
        <v>0.2481</v>
      </c>
      <c r="K385" t="n">
        <v>0.111</v>
      </c>
      <c r="L385" t="n">
        <v>0.704</v>
      </c>
      <c r="M385" t="n">
        <v>0.185</v>
      </c>
    </row>
    <row r="386" spans="1:13">
      <c r="A386" s="1">
        <f>HYPERLINK("http://www.twitter.com/NathanBLawrence/status/995719601395814406", "995719601395814406")</f>
        <v/>
      </c>
      <c r="B386" s="2" t="n">
        <v>43233.7341087963</v>
      </c>
      <c r="C386" t="n">
        <v>17</v>
      </c>
      <c r="D386" t="n">
        <v>4</v>
      </c>
      <c r="E386" t="s">
        <v>397</v>
      </c>
      <c r="F386" t="s"/>
      <c r="G386" t="s"/>
      <c r="H386" t="s"/>
      <c r="I386" t="s"/>
      <c r="J386" t="n">
        <v>0.6717</v>
      </c>
      <c r="K386" t="n">
        <v>0.101</v>
      </c>
      <c r="L386" t="n">
        <v>0.619</v>
      </c>
      <c r="M386" t="n">
        <v>0.28</v>
      </c>
    </row>
    <row r="387" spans="1:13">
      <c r="A387" s="1">
        <f>HYPERLINK("http://www.twitter.com/NathanBLawrence/status/995180824621404160", "995180824621404160")</f>
        <v/>
      </c>
      <c r="B387" s="2" t="n">
        <v>43232.24736111111</v>
      </c>
      <c r="C387" t="n">
        <v>0</v>
      </c>
      <c r="D387" t="n">
        <v>16363</v>
      </c>
      <c r="E387" t="s">
        <v>398</v>
      </c>
      <c r="F387" t="s"/>
      <c r="G387" t="s"/>
      <c r="H387" t="s"/>
      <c r="I387" t="s"/>
      <c r="J387" t="n">
        <v>0.8316</v>
      </c>
      <c r="K387" t="n">
        <v>0</v>
      </c>
      <c r="L387" t="n">
        <v>0.6850000000000001</v>
      </c>
      <c r="M387" t="n">
        <v>0.315</v>
      </c>
    </row>
    <row r="388" spans="1:13">
      <c r="A388" s="1">
        <f>HYPERLINK("http://www.twitter.com/NathanBLawrence/status/995180683315286016", "995180683315286016")</f>
        <v/>
      </c>
      <c r="B388" s="2" t="n">
        <v>43232.24697916667</v>
      </c>
      <c r="C388" t="n">
        <v>0</v>
      </c>
      <c r="D388" t="n">
        <v>2263</v>
      </c>
      <c r="E388" t="s">
        <v>399</v>
      </c>
      <c r="F388" t="s"/>
      <c r="G388" t="s"/>
      <c r="H388" t="s"/>
      <c r="I388" t="s"/>
      <c r="J388" t="n">
        <v>-0.4939</v>
      </c>
      <c r="K388" t="n">
        <v>0.122</v>
      </c>
      <c r="L388" t="n">
        <v>0.878</v>
      </c>
      <c r="M388" t="n">
        <v>0</v>
      </c>
    </row>
    <row r="389" spans="1:13">
      <c r="A389" s="1">
        <f>HYPERLINK("http://www.twitter.com/NathanBLawrence/status/995180630915911680", "995180630915911680")</f>
        <v/>
      </c>
      <c r="B389" s="2" t="n">
        <v>43232.2468287037</v>
      </c>
      <c r="C389" t="n">
        <v>0</v>
      </c>
      <c r="D389" t="n">
        <v>792</v>
      </c>
      <c r="E389" t="s">
        <v>400</v>
      </c>
      <c r="F389" t="s"/>
      <c r="G389" t="s"/>
      <c r="H389" t="s"/>
      <c r="I389" t="s"/>
      <c r="J389" t="n">
        <v>0.8065</v>
      </c>
      <c r="K389" t="n">
        <v>0.116</v>
      </c>
      <c r="L389" t="n">
        <v>0.551</v>
      </c>
      <c r="M389" t="n">
        <v>0.333</v>
      </c>
    </row>
    <row r="390" spans="1:13">
      <c r="A390" s="1">
        <f>HYPERLINK("http://www.twitter.com/NathanBLawrence/status/995179945050689537", "995179945050689537")</f>
        <v/>
      </c>
      <c r="B390" s="2" t="n">
        <v>43232.24494212963</v>
      </c>
      <c r="C390" t="n">
        <v>0</v>
      </c>
      <c r="D390" t="n">
        <v>4733</v>
      </c>
      <c r="E390" t="s">
        <v>401</v>
      </c>
      <c r="F390">
        <f>HYPERLINK("http://pbs.twimg.com/media/Dc4IycuVAAAau1V.jpg", "http://pbs.twimg.com/media/Dc4IycuVAAAau1V.jpg")</f>
        <v/>
      </c>
      <c r="G390" t="s"/>
      <c r="H390" t="s"/>
      <c r="I390" t="s"/>
      <c r="J390" t="n">
        <v>-0.1531</v>
      </c>
      <c r="K390" t="n">
        <v>0.07099999999999999</v>
      </c>
      <c r="L390" t="n">
        <v>0.929</v>
      </c>
      <c r="M390" t="n">
        <v>0</v>
      </c>
    </row>
    <row r="391" spans="1:13">
      <c r="A391" s="1">
        <f>HYPERLINK("http://www.twitter.com/NathanBLawrence/status/995002808679239681", "995002808679239681")</f>
        <v/>
      </c>
      <c r="B391" s="2" t="n">
        <v>43231.75613425926</v>
      </c>
      <c r="C391" t="n">
        <v>0</v>
      </c>
      <c r="D391" t="n">
        <v>12583</v>
      </c>
      <c r="E391" t="s">
        <v>402</v>
      </c>
      <c r="F391" t="s"/>
      <c r="G391" t="s"/>
      <c r="H391" t="s"/>
      <c r="I391" t="s"/>
      <c r="J391" t="n">
        <v>-0.6705</v>
      </c>
      <c r="K391" t="n">
        <v>0.184</v>
      </c>
      <c r="L391" t="n">
        <v>0.8159999999999999</v>
      </c>
      <c r="M391" t="n">
        <v>0</v>
      </c>
    </row>
    <row r="392" spans="1:13">
      <c r="A392" s="1">
        <f>HYPERLINK("http://www.twitter.com/NathanBLawrence/status/994941423836332032", "994941423836332032")</f>
        <v/>
      </c>
      <c r="B392" s="2" t="n">
        <v>43231.58674768519</v>
      </c>
      <c r="C392" t="n">
        <v>0</v>
      </c>
      <c r="D392" t="n">
        <v>413</v>
      </c>
      <c r="E392" t="s">
        <v>403</v>
      </c>
      <c r="F392" t="s"/>
      <c r="G392" t="s"/>
      <c r="H392" t="s"/>
      <c r="I392" t="s"/>
      <c r="J392" t="n">
        <v>-0.7755</v>
      </c>
      <c r="K392" t="n">
        <v>0.301</v>
      </c>
      <c r="L392" t="n">
        <v>0.699</v>
      </c>
      <c r="M392" t="n">
        <v>0</v>
      </c>
    </row>
    <row r="393" spans="1:13">
      <c r="A393" s="1">
        <f>HYPERLINK("http://www.twitter.com/NathanBLawrence/status/994941190746320896", "994941190746320896")</f>
        <v/>
      </c>
      <c r="B393" s="2" t="n">
        <v>43231.58609953704</v>
      </c>
      <c r="C393" t="n">
        <v>0</v>
      </c>
      <c r="D393" t="n">
        <v>1140</v>
      </c>
      <c r="E393" t="s">
        <v>404</v>
      </c>
      <c r="F393" t="s"/>
      <c r="G393" t="s"/>
      <c r="H393" t="s"/>
      <c r="I393" t="s"/>
      <c r="J393" t="n">
        <v>0.857</v>
      </c>
      <c r="K393" t="n">
        <v>0</v>
      </c>
      <c r="L393" t="n">
        <v>0.679</v>
      </c>
      <c r="M393" t="n">
        <v>0.321</v>
      </c>
    </row>
    <row r="394" spans="1:13">
      <c r="A394" s="1">
        <f>HYPERLINK("http://www.twitter.com/NathanBLawrence/status/994941071980294145", "994941071980294145")</f>
        <v/>
      </c>
      <c r="B394" s="2" t="n">
        <v>43231.58577546296</v>
      </c>
      <c r="C394" t="n">
        <v>0</v>
      </c>
      <c r="D394" t="n">
        <v>424</v>
      </c>
      <c r="E394" t="s">
        <v>405</v>
      </c>
      <c r="F394">
        <f>HYPERLINK("http://pbs.twimg.com/media/Dc5BqAVX0AAQNzQ.jpg", "http://pbs.twimg.com/media/Dc5BqAVX0AAQNzQ.jpg")</f>
        <v/>
      </c>
      <c r="G394" t="s"/>
      <c r="H394" t="s"/>
      <c r="I394" t="s"/>
      <c r="J394" t="n">
        <v>0</v>
      </c>
      <c r="K394" t="n">
        <v>0</v>
      </c>
      <c r="L394" t="n">
        <v>1</v>
      </c>
      <c r="M394" t="n">
        <v>0</v>
      </c>
    </row>
    <row r="395" spans="1:13">
      <c r="A395" s="1">
        <f>HYPERLINK("http://www.twitter.com/NathanBLawrence/status/994940971992408065", "994940971992408065")</f>
        <v/>
      </c>
      <c r="B395" s="2" t="n">
        <v>43231.58549768518</v>
      </c>
      <c r="C395" t="n">
        <v>0</v>
      </c>
      <c r="D395" t="n">
        <v>211</v>
      </c>
      <c r="E395" t="s">
        <v>406</v>
      </c>
      <c r="F395" t="s"/>
      <c r="G395" t="s"/>
      <c r="H395" t="s"/>
      <c r="I395" t="s"/>
      <c r="J395" t="n">
        <v>0.3595</v>
      </c>
      <c r="K395" t="n">
        <v>0</v>
      </c>
      <c r="L395" t="n">
        <v>0.801</v>
      </c>
      <c r="M395" t="n">
        <v>0.199</v>
      </c>
    </row>
    <row r="396" spans="1:13">
      <c r="A396" s="1">
        <f>HYPERLINK("http://www.twitter.com/NathanBLawrence/status/994940906313797633", "994940906313797633")</f>
        <v/>
      </c>
      <c r="B396" s="2" t="n">
        <v>43231.5853125</v>
      </c>
      <c r="C396" t="n">
        <v>48</v>
      </c>
      <c r="D396" t="n">
        <v>20</v>
      </c>
      <c r="E396" t="s">
        <v>407</v>
      </c>
      <c r="F396" t="s"/>
      <c r="G396" t="s"/>
      <c r="H396" t="s"/>
      <c r="I396" t="s"/>
      <c r="J396" t="n">
        <v>-0.6588000000000001</v>
      </c>
      <c r="K396" t="n">
        <v>0.239</v>
      </c>
      <c r="L396" t="n">
        <v>0.761</v>
      </c>
      <c r="M396" t="n">
        <v>0</v>
      </c>
    </row>
    <row r="397" spans="1:13">
      <c r="A397" s="1">
        <f>HYPERLINK("http://www.twitter.com/NathanBLawrence/status/994824836353593344", "994824836353593344")</f>
        <v/>
      </c>
      <c r="B397" s="2" t="n">
        <v>43231.26502314815</v>
      </c>
      <c r="C397" t="n">
        <v>0</v>
      </c>
      <c r="D397" t="n">
        <v>159</v>
      </c>
      <c r="E397" t="s">
        <v>408</v>
      </c>
      <c r="F397">
        <f>HYPERLINK("http://pbs.twimg.com/media/Dc4HZctW4AAxtgm.jpg", "http://pbs.twimg.com/media/Dc4HZctW4AAxtgm.jpg")</f>
        <v/>
      </c>
      <c r="G397" t="s"/>
      <c r="H397" t="s"/>
      <c r="I397" t="s"/>
      <c r="J397" t="n">
        <v>0</v>
      </c>
      <c r="K397" t="n">
        <v>0</v>
      </c>
      <c r="L397" t="n">
        <v>1</v>
      </c>
      <c r="M397" t="n">
        <v>0</v>
      </c>
    </row>
    <row r="398" spans="1:13">
      <c r="A398" s="1">
        <f>HYPERLINK("http://www.twitter.com/NathanBLawrence/status/994824558044766208", "994824558044766208")</f>
        <v/>
      </c>
      <c r="B398" s="2" t="n">
        <v>43231.26425925926</v>
      </c>
      <c r="C398" t="n">
        <v>0</v>
      </c>
      <c r="D398" t="n">
        <v>14</v>
      </c>
      <c r="E398" t="s">
        <v>409</v>
      </c>
      <c r="F398">
        <f>HYPERLINK("http://pbs.twimg.com/media/Dc4bQeNVwAAj7lJ.jpg", "http://pbs.twimg.com/media/Dc4bQeNVwAAj7lJ.jpg")</f>
        <v/>
      </c>
      <c r="G398" t="s"/>
      <c r="H398" t="s"/>
      <c r="I398" t="s"/>
      <c r="J398" t="n">
        <v>0</v>
      </c>
      <c r="K398" t="n">
        <v>0</v>
      </c>
      <c r="L398" t="n">
        <v>1</v>
      </c>
      <c r="M398" t="n">
        <v>0</v>
      </c>
    </row>
    <row r="399" spans="1:13">
      <c r="A399" s="1">
        <f>HYPERLINK("http://www.twitter.com/NathanBLawrence/status/994824513845170177", "994824513845170177")</f>
        <v/>
      </c>
      <c r="B399" s="2" t="n">
        <v>43231.26413194444</v>
      </c>
      <c r="C399" t="n">
        <v>0</v>
      </c>
      <c r="D399" t="n">
        <v>2</v>
      </c>
      <c r="E399" t="s">
        <v>410</v>
      </c>
      <c r="F399">
        <f>HYPERLINK("http://pbs.twimg.com/media/Dc5TH3pXUAECutS.jpg", "http://pbs.twimg.com/media/Dc5TH3pXUAECutS.jpg")</f>
        <v/>
      </c>
      <c r="G399" t="s"/>
      <c r="H399" t="s"/>
      <c r="I399" t="s"/>
      <c r="J399" t="n">
        <v>-0.1027</v>
      </c>
      <c r="K399" t="n">
        <v>0.062</v>
      </c>
      <c r="L399" t="n">
        <v>0.9379999999999999</v>
      </c>
      <c r="M399" t="n">
        <v>0</v>
      </c>
    </row>
    <row r="400" spans="1:13">
      <c r="A400" s="1">
        <f>HYPERLINK("http://www.twitter.com/NathanBLawrence/status/994823079842009088", "994823079842009088")</f>
        <v/>
      </c>
      <c r="B400" s="2" t="n">
        <v>43231.26017361111</v>
      </c>
      <c r="C400" t="n">
        <v>0</v>
      </c>
      <c r="D400" t="n">
        <v>2822</v>
      </c>
      <c r="E400" t="s">
        <v>411</v>
      </c>
      <c r="F400" t="s"/>
      <c r="G400" t="s"/>
      <c r="H400" t="s"/>
      <c r="I400" t="s"/>
      <c r="J400" t="n">
        <v>0.1531</v>
      </c>
      <c r="K400" t="n">
        <v>0.112</v>
      </c>
      <c r="L400" t="n">
        <v>0.756</v>
      </c>
      <c r="M400" t="n">
        <v>0.132</v>
      </c>
    </row>
    <row r="401" spans="1:13">
      <c r="A401" s="1">
        <f>HYPERLINK("http://www.twitter.com/NathanBLawrence/status/994822986413805568", "994822986413805568")</f>
        <v/>
      </c>
      <c r="B401" s="2" t="n">
        <v>43231.25991898148</v>
      </c>
      <c r="C401" t="n">
        <v>0</v>
      </c>
      <c r="D401" t="n">
        <v>96</v>
      </c>
      <c r="E401" t="s">
        <v>412</v>
      </c>
      <c r="F401">
        <f>HYPERLINK("http://pbs.twimg.com/media/Dc4iS53X4AEayy2.jpg", "http://pbs.twimg.com/media/Dc4iS53X4AEayy2.jpg")</f>
        <v/>
      </c>
      <c r="G401" t="s"/>
      <c r="H401" t="s"/>
      <c r="I401" t="s"/>
      <c r="J401" t="n">
        <v>0</v>
      </c>
      <c r="K401" t="n">
        <v>0</v>
      </c>
      <c r="L401" t="n">
        <v>1</v>
      </c>
      <c r="M401" t="n">
        <v>0</v>
      </c>
    </row>
    <row r="402" spans="1:13">
      <c r="A402" s="1">
        <f>HYPERLINK("http://www.twitter.com/NathanBLawrence/status/994822788388216832", "994822788388216832")</f>
        <v/>
      </c>
      <c r="B402" s="2" t="n">
        <v>43231.259375</v>
      </c>
      <c r="C402" t="n">
        <v>0</v>
      </c>
      <c r="D402" t="n">
        <v>7</v>
      </c>
      <c r="E402" t="s">
        <v>413</v>
      </c>
      <c r="F402">
        <f>HYPERLINK("http://pbs.twimg.com/media/Dc5KHGYWAAA91fU.jpg", "http://pbs.twimg.com/media/Dc5KHGYWAAA91fU.jpg")</f>
        <v/>
      </c>
      <c r="G402" t="s"/>
      <c r="H402" t="s"/>
      <c r="I402" t="s"/>
      <c r="J402" t="n">
        <v>-0.296</v>
      </c>
      <c r="K402" t="n">
        <v>0.18</v>
      </c>
      <c r="L402" t="n">
        <v>0.82</v>
      </c>
      <c r="M402" t="n">
        <v>0</v>
      </c>
    </row>
    <row r="403" spans="1:13">
      <c r="A403" s="1">
        <f>HYPERLINK("http://www.twitter.com/NathanBLawrence/status/994822504697954304", "994822504697954304")</f>
        <v/>
      </c>
      <c r="B403" s="2" t="n">
        <v>43231.25858796296</v>
      </c>
      <c r="C403" t="n">
        <v>0</v>
      </c>
      <c r="D403" t="n">
        <v>683</v>
      </c>
      <c r="E403" t="s">
        <v>414</v>
      </c>
      <c r="F403" t="s"/>
      <c r="G403" t="s"/>
      <c r="H403" t="s"/>
      <c r="I403" t="s"/>
      <c r="J403" t="n">
        <v>0.6989</v>
      </c>
      <c r="K403" t="n">
        <v>0</v>
      </c>
      <c r="L403" t="n">
        <v>0.828</v>
      </c>
      <c r="M403" t="n">
        <v>0.172</v>
      </c>
    </row>
    <row r="404" spans="1:13">
      <c r="A404" s="1">
        <f>HYPERLINK("http://www.twitter.com/NathanBLawrence/status/994821955487494148", "994821955487494148")</f>
        <v/>
      </c>
      <c r="B404" s="2" t="n">
        <v>43231.25707175926</v>
      </c>
      <c r="C404" t="n">
        <v>0</v>
      </c>
      <c r="D404" t="n">
        <v>978</v>
      </c>
      <c r="E404" t="s">
        <v>415</v>
      </c>
      <c r="F404">
        <f>HYPERLINK("https://video.twimg.com/ext_tw_video/994722395704430592/pu/vid/1280x720/vNJRAUwEKYRYOwcl.mp4?tag=3", "https://video.twimg.com/ext_tw_video/994722395704430592/pu/vid/1280x720/vNJRAUwEKYRYOwcl.mp4?tag=3")</f>
        <v/>
      </c>
      <c r="G404" t="s"/>
      <c r="H404" t="s"/>
      <c r="I404" t="s"/>
      <c r="J404" t="n">
        <v>0.8481</v>
      </c>
      <c r="K404" t="n">
        <v>0</v>
      </c>
      <c r="L404" t="n">
        <v>0.695</v>
      </c>
      <c r="M404" t="n">
        <v>0.305</v>
      </c>
    </row>
    <row r="405" spans="1:13">
      <c r="A405" s="1">
        <f>HYPERLINK("http://www.twitter.com/NathanBLawrence/status/994821729410322433", "994821729410322433")</f>
        <v/>
      </c>
      <c r="B405" s="2" t="n">
        <v>43231.25644675926</v>
      </c>
      <c r="C405" t="n">
        <v>25</v>
      </c>
      <c r="D405" t="n">
        <v>4</v>
      </c>
      <c r="E405" t="s">
        <v>416</v>
      </c>
      <c r="F405" t="s"/>
      <c r="G405" t="s"/>
      <c r="H405" t="s"/>
      <c r="I405" t="s"/>
      <c r="J405" t="n">
        <v>0.3111</v>
      </c>
      <c r="K405" t="n">
        <v>0.06900000000000001</v>
      </c>
      <c r="L405" t="n">
        <v>0.827</v>
      </c>
      <c r="M405" t="n">
        <v>0.103</v>
      </c>
    </row>
    <row r="406" spans="1:13">
      <c r="A406" s="1">
        <f>HYPERLINK("http://www.twitter.com/NathanBLawrence/status/994820836354920450", "994820836354920450")</f>
        <v/>
      </c>
      <c r="B406" s="2" t="n">
        <v>43231.25398148148</v>
      </c>
      <c r="C406" t="n">
        <v>0</v>
      </c>
      <c r="D406" t="n">
        <v>52</v>
      </c>
      <c r="E406" t="s">
        <v>417</v>
      </c>
      <c r="F406" t="s"/>
      <c r="G406" t="s"/>
      <c r="H406" t="s"/>
      <c r="I406" t="s"/>
      <c r="J406" t="n">
        <v>-0.1119</v>
      </c>
      <c r="K406" t="n">
        <v>0.089</v>
      </c>
      <c r="L406" t="n">
        <v>0.842</v>
      </c>
      <c r="M406" t="n">
        <v>0.06900000000000001</v>
      </c>
    </row>
    <row r="407" spans="1:13">
      <c r="A407" s="1">
        <f>HYPERLINK("http://www.twitter.com/NathanBLawrence/status/994820710571921408", "994820710571921408")</f>
        <v/>
      </c>
      <c r="B407" s="2" t="n">
        <v>43231.25363425926</v>
      </c>
      <c r="C407" t="n">
        <v>0</v>
      </c>
      <c r="D407" t="n">
        <v>383</v>
      </c>
      <c r="E407" t="s">
        <v>418</v>
      </c>
      <c r="F407">
        <f>HYPERLINK("http://pbs.twimg.com/media/Dc5MyYkWAAARhOY.jpg", "http://pbs.twimg.com/media/Dc5MyYkWAAARhOY.jpg")</f>
        <v/>
      </c>
      <c r="G407" t="s"/>
      <c r="H407" t="s"/>
      <c r="I407" t="s"/>
      <c r="J407" t="n">
        <v>-0.4404</v>
      </c>
      <c r="K407" t="n">
        <v>0.127</v>
      </c>
      <c r="L407" t="n">
        <v>0.873</v>
      </c>
      <c r="M407" t="n">
        <v>0</v>
      </c>
    </row>
    <row r="408" spans="1:13">
      <c r="A408" s="1">
        <f>HYPERLINK("http://www.twitter.com/NathanBLawrence/status/994820584042369024", "994820584042369024")</f>
        <v/>
      </c>
      <c r="B408" s="2" t="n">
        <v>43231.25328703703</v>
      </c>
      <c r="C408" t="n">
        <v>0</v>
      </c>
      <c r="D408" t="n">
        <v>1414</v>
      </c>
      <c r="E408" t="s">
        <v>419</v>
      </c>
      <c r="F408">
        <f>HYPERLINK("http://pbs.twimg.com/media/Dc28gvMUwAUaEdo.jpg", "http://pbs.twimg.com/media/Dc28gvMUwAUaEdo.jpg")</f>
        <v/>
      </c>
      <c r="G408" t="s"/>
      <c r="H408" t="s"/>
      <c r="I408" t="s"/>
      <c r="J408" t="n">
        <v>0.5106000000000001</v>
      </c>
      <c r="K408" t="n">
        <v>0.117</v>
      </c>
      <c r="L408" t="n">
        <v>0.628</v>
      </c>
      <c r="M408" t="n">
        <v>0.255</v>
      </c>
    </row>
    <row r="409" spans="1:13">
      <c r="A409" s="1">
        <f>HYPERLINK("http://www.twitter.com/NathanBLawrence/status/994820479797137410", "994820479797137410")</f>
        <v/>
      </c>
      <c r="B409" s="2" t="n">
        <v>43231.25299768519</v>
      </c>
      <c r="C409" t="n">
        <v>0</v>
      </c>
      <c r="D409" t="n">
        <v>532</v>
      </c>
      <c r="E409" t="s">
        <v>420</v>
      </c>
      <c r="F409">
        <f>HYPERLINK("http://pbs.twimg.com/media/Dc4S1tRXcAE06kO.jpg", "http://pbs.twimg.com/media/Dc4S1tRXcAE06kO.jpg")</f>
        <v/>
      </c>
      <c r="G409" t="s"/>
      <c r="H409" t="s"/>
      <c r="I409" t="s"/>
      <c r="J409" t="n">
        <v>0.7845</v>
      </c>
      <c r="K409" t="n">
        <v>0</v>
      </c>
      <c r="L409" t="n">
        <v>0.753</v>
      </c>
      <c r="M409" t="n">
        <v>0.247</v>
      </c>
    </row>
    <row r="410" spans="1:13">
      <c r="A410" s="1">
        <f>HYPERLINK("http://www.twitter.com/NathanBLawrence/status/994820436566380544", "994820436566380544")</f>
        <v/>
      </c>
      <c r="B410" s="2" t="n">
        <v>43231.25288194444</v>
      </c>
      <c r="C410" t="n">
        <v>0</v>
      </c>
      <c r="D410" t="n">
        <v>1230</v>
      </c>
      <c r="E410" t="s">
        <v>421</v>
      </c>
      <c r="F410">
        <f>HYPERLINK("http://pbs.twimg.com/media/Dc4HbHHU8AAXYQY.jpg", "http://pbs.twimg.com/media/Dc4HbHHU8AAXYQY.jpg")</f>
        <v/>
      </c>
      <c r="G410" t="s"/>
      <c r="H410" t="s"/>
      <c r="I410" t="s"/>
      <c r="J410" t="n">
        <v>0.4574</v>
      </c>
      <c r="K410" t="n">
        <v>0.132</v>
      </c>
      <c r="L410" t="n">
        <v>0.698</v>
      </c>
      <c r="M410" t="n">
        <v>0.17</v>
      </c>
    </row>
    <row r="411" spans="1:13">
      <c r="A411" s="1">
        <f>HYPERLINK("http://www.twitter.com/NathanBLawrence/status/994820362935390208", "994820362935390208")</f>
        <v/>
      </c>
      <c r="B411" s="2" t="n">
        <v>43231.25268518519</v>
      </c>
      <c r="C411" t="n">
        <v>0</v>
      </c>
      <c r="D411" t="n">
        <v>1107</v>
      </c>
      <c r="E411" t="s">
        <v>422</v>
      </c>
      <c r="F411">
        <f>HYPERLINK("https://video.twimg.com/amplify_video/994736580073058304/vid/1280x720/HK-xh_9piyhf_brf.mp4?tag=2", "https://video.twimg.com/amplify_video/994736580073058304/vid/1280x720/HK-xh_9piyhf_brf.mp4?tag=2")</f>
        <v/>
      </c>
      <c r="G411" t="s"/>
      <c r="H411" t="s"/>
      <c r="I411" t="s"/>
      <c r="J411" t="n">
        <v>0</v>
      </c>
      <c r="K411" t="n">
        <v>0</v>
      </c>
      <c r="L411" t="n">
        <v>1</v>
      </c>
      <c r="M411" t="n">
        <v>0</v>
      </c>
    </row>
    <row r="412" spans="1:13">
      <c r="A412" s="1">
        <f>HYPERLINK("http://www.twitter.com/NathanBLawrence/status/994820308875038726", "994820308875038726")</f>
        <v/>
      </c>
      <c r="B412" s="2" t="n">
        <v>43231.25253472223</v>
      </c>
      <c r="C412" t="n">
        <v>0</v>
      </c>
      <c r="D412" t="n">
        <v>539</v>
      </c>
      <c r="E412" t="s">
        <v>423</v>
      </c>
      <c r="F412" t="s"/>
      <c r="G412" t="s"/>
      <c r="H412" t="s"/>
      <c r="I412" t="s"/>
      <c r="J412" t="n">
        <v>0.3612</v>
      </c>
      <c r="K412" t="n">
        <v>0</v>
      </c>
      <c r="L412" t="n">
        <v>0.884</v>
      </c>
      <c r="M412" t="n">
        <v>0.116</v>
      </c>
    </row>
    <row r="413" spans="1:13">
      <c r="A413" s="1">
        <f>HYPERLINK("http://www.twitter.com/NathanBLawrence/status/994813389955313665", "994813389955313665")</f>
        <v/>
      </c>
      <c r="B413" s="2" t="n">
        <v>43231.2334375</v>
      </c>
      <c r="C413" t="n">
        <v>0</v>
      </c>
      <c r="D413" t="n">
        <v>108</v>
      </c>
      <c r="E413" t="s">
        <v>424</v>
      </c>
      <c r="F413" t="s"/>
      <c r="G413" t="s"/>
      <c r="H413" t="s"/>
      <c r="I413" t="s"/>
      <c r="J413" t="n">
        <v>-0.3612</v>
      </c>
      <c r="K413" t="n">
        <v>0.131</v>
      </c>
      <c r="L413" t="n">
        <v>0.797</v>
      </c>
      <c r="M413" t="n">
        <v>0.07199999999999999</v>
      </c>
    </row>
    <row r="414" spans="1:13">
      <c r="A414" s="1">
        <f>HYPERLINK("http://www.twitter.com/NathanBLawrence/status/994812688298643460", "994812688298643460")</f>
        <v/>
      </c>
      <c r="B414" s="2" t="n">
        <v>43231.23150462963</v>
      </c>
      <c r="C414" t="n">
        <v>0</v>
      </c>
      <c r="D414" t="n">
        <v>193</v>
      </c>
      <c r="E414" t="s">
        <v>425</v>
      </c>
      <c r="F414">
        <f>HYPERLINK("http://pbs.twimg.com/media/Dc48fn7X0AAoGYe.jpg", "http://pbs.twimg.com/media/Dc48fn7X0AAoGYe.jpg")</f>
        <v/>
      </c>
      <c r="G414" t="s"/>
      <c r="H414" t="s"/>
      <c r="I414" t="s"/>
      <c r="J414" t="n">
        <v>0</v>
      </c>
      <c r="K414" t="n">
        <v>0</v>
      </c>
      <c r="L414" t="n">
        <v>1</v>
      </c>
      <c r="M414" t="n">
        <v>0</v>
      </c>
    </row>
    <row r="415" spans="1:13">
      <c r="A415" s="1">
        <f>HYPERLINK("http://www.twitter.com/NathanBLawrence/status/994812524389388288", "994812524389388288")</f>
        <v/>
      </c>
      <c r="B415" s="2" t="n">
        <v>43231.23105324074</v>
      </c>
      <c r="C415" t="n">
        <v>0</v>
      </c>
      <c r="D415" t="n">
        <v>68775</v>
      </c>
      <c r="E415" t="s">
        <v>426</v>
      </c>
      <c r="F415" t="s"/>
      <c r="G415" t="s"/>
      <c r="H415" t="s"/>
      <c r="I415" t="s"/>
      <c r="J415" t="n">
        <v>0</v>
      </c>
      <c r="K415" t="n">
        <v>0</v>
      </c>
      <c r="L415" t="n">
        <v>1</v>
      </c>
      <c r="M415" t="n">
        <v>0</v>
      </c>
    </row>
    <row r="416" spans="1:13">
      <c r="A416" s="1">
        <f>HYPERLINK("http://www.twitter.com/NathanBLawrence/status/994812482421215232", "994812482421215232")</f>
        <v/>
      </c>
      <c r="B416" s="2" t="n">
        <v>43231.2309375</v>
      </c>
      <c r="C416" t="n">
        <v>0</v>
      </c>
      <c r="D416" t="n">
        <v>825</v>
      </c>
      <c r="E416" t="s">
        <v>427</v>
      </c>
      <c r="F416">
        <f>HYPERLINK("http://pbs.twimg.com/media/Dc2eo8MWAAUF_Vv.jpg", "http://pbs.twimg.com/media/Dc2eo8MWAAUF_Vv.jpg")</f>
        <v/>
      </c>
      <c r="G416" t="s"/>
      <c r="H416" t="s"/>
      <c r="I416" t="s"/>
      <c r="J416" t="n">
        <v>-0.5423</v>
      </c>
      <c r="K416" t="n">
        <v>0.189</v>
      </c>
      <c r="L416" t="n">
        <v>0.8110000000000001</v>
      </c>
      <c r="M416" t="n">
        <v>0</v>
      </c>
    </row>
    <row r="417" spans="1:13">
      <c r="A417" s="1">
        <f>HYPERLINK("http://www.twitter.com/NathanBLawrence/status/994811635566039042", "994811635566039042")</f>
        <v/>
      </c>
      <c r="B417" s="2" t="n">
        <v>43231.22859953704</v>
      </c>
      <c r="C417" t="n">
        <v>0</v>
      </c>
      <c r="D417" t="n">
        <v>15</v>
      </c>
      <c r="E417" t="s">
        <v>428</v>
      </c>
      <c r="F417" t="s"/>
      <c r="G417" t="s"/>
      <c r="H417" t="s"/>
      <c r="I417" t="s"/>
      <c r="J417" t="n">
        <v>-0.8761</v>
      </c>
      <c r="K417" t="n">
        <v>0.334</v>
      </c>
      <c r="L417" t="n">
        <v>0.666</v>
      </c>
      <c r="M417" t="n">
        <v>0</v>
      </c>
    </row>
    <row r="418" spans="1:13">
      <c r="A418" s="1">
        <f>HYPERLINK("http://www.twitter.com/NathanBLawrence/status/994811506356375552", "994811506356375552")</f>
        <v/>
      </c>
      <c r="B418" s="2" t="n">
        <v>43231.22824074074</v>
      </c>
      <c r="C418" t="n">
        <v>0</v>
      </c>
      <c r="D418" t="n">
        <v>2513</v>
      </c>
      <c r="E418" t="s">
        <v>429</v>
      </c>
      <c r="F418">
        <f>HYPERLINK("http://pbs.twimg.com/media/Dc16wyXUQAACUah.jpg", "http://pbs.twimg.com/media/Dc16wyXUQAACUah.jpg")</f>
        <v/>
      </c>
      <c r="G418">
        <f>HYPERLINK("http://pbs.twimg.com/media/Dc16xBgVAAA2Qcp.jpg", "http://pbs.twimg.com/media/Dc16xBgVAAA2Qcp.jpg")</f>
        <v/>
      </c>
      <c r="H418" t="s"/>
      <c r="I418" t="s"/>
      <c r="J418" t="n">
        <v>-0.1139</v>
      </c>
      <c r="K418" t="n">
        <v>0.126</v>
      </c>
      <c r="L418" t="n">
        <v>0.874</v>
      </c>
      <c r="M418" t="n">
        <v>0</v>
      </c>
    </row>
    <row r="419" spans="1:13">
      <c r="A419" s="1">
        <f>HYPERLINK("http://www.twitter.com/NathanBLawrence/status/994811300105670656", "994811300105670656")</f>
        <v/>
      </c>
      <c r="B419" s="2" t="n">
        <v>43231.22767361111</v>
      </c>
      <c r="C419" t="n">
        <v>0</v>
      </c>
      <c r="D419" t="n">
        <v>78</v>
      </c>
      <c r="E419" t="s">
        <v>430</v>
      </c>
      <c r="F419">
        <f>HYPERLINK("http://pbs.twimg.com/media/Dcyc-XfW0AIZyA4.jpg", "http://pbs.twimg.com/media/Dcyc-XfW0AIZyA4.jpg")</f>
        <v/>
      </c>
      <c r="G419">
        <f>HYPERLINK("http://pbs.twimg.com/media/DcydDRrXkAA59s2.jpg", "http://pbs.twimg.com/media/DcydDRrXkAA59s2.jpg")</f>
        <v/>
      </c>
      <c r="H419" t="s"/>
      <c r="I419" t="s"/>
      <c r="J419" t="n">
        <v>-0.0772</v>
      </c>
      <c r="K419" t="n">
        <v>0.053</v>
      </c>
      <c r="L419" t="n">
        <v>0.947</v>
      </c>
      <c r="M419" t="n">
        <v>0</v>
      </c>
    </row>
    <row r="420" spans="1:13">
      <c r="A420" s="1">
        <f>HYPERLINK("http://www.twitter.com/NathanBLawrence/status/994808219775258629", "994808219775258629")</f>
        <v/>
      </c>
      <c r="B420" s="2" t="n">
        <v>43231.21916666667</v>
      </c>
      <c r="C420" t="n">
        <v>0</v>
      </c>
      <c r="D420" t="n">
        <v>58</v>
      </c>
      <c r="E420" t="s">
        <v>431</v>
      </c>
      <c r="F420">
        <f>HYPERLINK("http://pbs.twimg.com/media/DHIwUW4V0AAgmu-.jpg", "http://pbs.twimg.com/media/DHIwUW4V0AAgmu-.jpg")</f>
        <v/>
      </c>
      <c r="G420" t="s"/>
      <c r="H420" t="s"/>
      <c r="I420" t="s"/>
      <c r="J420" t="n">
        <v>0</v>
      </c>
      <c r="K420" t="n">
        <v>0</v>
      </c>
      <c r="L420" t="n">
        <v>1</v>
      </c>
      <c r="M420" t="n">
        <v>0</v>
      </c>
    </row>
    <row r="421" spans="1:13">
      <c r="A421" s="1">
        <f>HYPERLINK("http://www.twitter.com/NathanBLawrence/status/994774094515195905", "994774094515195905")</f>
        <v/>
      </c>
      <c r="B421" s="2" t="n">
        <v>43231.125</v>
      </c>
      <c r="C421" t="n">
        <v>0</v>
      </c>
      <c r="D421" t="n">
        <v>1094</v>
      </c>
      <c r="E421" t="s">
        <v>432</v>
      </c>
      <c r="F421">
        <f>HYPERLINK("https://video.twimg.com/amplify_video/994735374894321666/vid/1280x720/EWql4tNdIREYDSsJ.mp4?tag=2", "https://video.twimg.com/amplify_video/994735374894321666/vid/1280x720/EWql4tNdIREYDSsJ.mp4?tag=2")</f>
        <v/>
      </c>
      <c r="G421" t="s"/>
      <c r="H421" t="s"/>
      <c r="I421" t="s"/>
      <c r="J421" t="n">
        <v>0.7876</v>
      </c>
      <c r="K421" t="n">
        <v>0</v>
      </c>
      <c r="L421" t="n">
        <v>0.732</v>
      </c>
      <c r="M421" t="n">
        <v>0.268</v>
      </c>
    </row>
    <row r="422" spans="1:13">
      <c r="A422" s="1">
        <f>HYPERLINK("http://www.twitter.com/NathanBLawrence/status/994773832979361793", "994773832979361793")</f>
        <v/>
      </c>
      <c r="B422" s="2" t="n">
        <v>43231.12428240741</v>
      </c>
      <c r="C422" t="n">
        <v>0</v>
      </c>
      <c r="D422" t="n">
        <v>49958</v>
      </c>
      <c r="E422" t="s">
        <v>433</v>
      </c>
      <c r="F422">
        <f>HYPERLINK("https://video.twimg.com/ext_tw_video/994517769415774209/pu/vid/1280x720/sDk6OuUUNEAVPSmH.mp4?tag=3", "https://video.twimg.com/ext_tw_video/994517769415774209/pu/vid/1280x720/sDk6OuUUNEAVPSmH.mp4?tag=3")</f>
        <v/>
      </c>
      <c r="G422" t="s"/>
      <c r="H422" t="s"/>
      <c r="I422" t="s"/>
      <c r="J422" t="n">
        <v>0.6155</v>
      </c>
      <c r="K422" t="n">
        <v>0</v>
      </c>
      <c r="L422" t="n">
        <v>0.713</v>
      </c>
      <c r="M422" t="n">
        <v>0.287</v>
      </c>
    </row>
    <row r="423" spans="1:13">
      <c r="A423" s="1">
        <f>HYPERLINK("http://www.twitter.com/NathanBLawrence/status/994772480668684290", "994772480668684290")</f>
        <v/>
      </c>
      <c r="B423" s="2" t="n">
        <v>43231.12055555556</v>
      </c>
      <c r="C423" t="n">
        <v>0</v>
      </c>
      <c r="D423" t="n">
        <v>1642</v>
      </c>
      <c r="E423" t="s">
        <v>434</v>
      </c>
      <c r="F423">
        <f>HYPERLINK("https://video.twimg.com/ext_tw_video/994694066557235200/pu/vid/1280x720/eS7G6gw4nav-9-gq.mp4?tag=3", "https://video.twimg.com/ext_tw_video/994694066557235200/pu/vid/1280x720/eS7G6gw4nav-9-gq.mp4?tag=3")</f>
        <v/>
      </c>
      <c r="G423" t="s"/>
      <c r="H423" t="s"/>
      <c r="I423" t="s"/>
      <c r="J423" t="n">
        <v>0</v>
      </c>
      <c r="K423" t="n">
        <v>0</v>
      </c>
      <c r="L423" t="n">
        <v>1</v>
      </c>
      <c r="M423" t="n">
        <v>0</v>
      </c>
    </row>
    <row r="424" spans="1:13">
      <c r="A424" s="1">
        <f>HYPERLINK("http://www.twitter.com/NathanBLawrence/status/994771733138825217", "994771733138825217")</f>
        <v/>
      </c>
      <c r="B424" s="2" t="n">
        <v>43231.11848379629</v>
      </c>
      <c r="C424" t="n">
        <v>0</v>
      </c>
      <c r="D424" t="n">
        <v>9191</v>
      </c>
      <c r="E424" t="s">
        <v>435</v>
      </c>
      <c r="F424">
        <f>HYPERLINK("http://pbs.twimg.com/media/Dc4ZWXUWkAI3VX8.jpg", "http://pbs.twimg.com/media/Dc4ZWXUWkAI3VX8.jpg")</f>
        <v/>
      </c>
      <c r="G424" t="s"/>
      <c r="H424" t="s"/>
      <c r="I424" t="s"/>
      <c r="J424" t="n">
        <v>0.5574</v>
      </c>
      <c r="K424" t="n">
        <v>0</v>
      </c>
      <c r="L424" t="n">
        <v>0.865</v>
      </c>
      <c r="M424" t="n">
        <v>0.135</v>
      </c>
    </row>
    <row r="425" spans="1:13">
      <c r="A425" s="1">
        <f>HYPERLINK("http://www.twitter.com/NathanBLawrence/status/994771655724601352", "994771655724601352")</f>
        <v/>
      </c>
      <c r="B425" s="2" t="n">
        <v>43231.11827546296</v>
      </c>
      <c r="C425" t="n">
        <v>0</v>
      </c>
      <c r="D425" t="n">
        <v>207</v>
      </c>
      <c r="E425" t="s">
        <v>436</v>
      </c>
      <c r="F425" t="s"/>
      <c r="G425" t="s"/>
      <c r="H425" t="s"/>
      <c r="I425" t="s"/>
      <c r="J425" t="n">
        <v>-0.0343</v>
      </c>
      <c r="K425" t="n">
        <v>0.111</v>
      </c>
      <c r="L425" t="n">
        <v>0.783</v>
      </c>
      <c r="M425" t="n">
        <v>0.106</v>
      </c>
    </row>
    <row r="426" spans="1:13">
      <c r="A426" s="1">
        <f>HYPERLINK("http://www.twitter.com/NathanBLawrence/status/994771333442613248", "994771333442613248")</f>
        <v/>
      </c>
      <c r="B426" s="2" t="n">
        <v>43231.11738425926</v>
      </c>
      <c r="C426" t="n">
        <v>4</v>
      </c>
      <c r="D426" t="n">
        <v>4</v>
      </c>
      <c r="E426" t="s">
        <v>437</v>
      </c>
      <c r="F426" t="s"/>
      <c r="G426" t="s"/>
      <c r="H426" t="s"/>
      <c r="I426" t="s"/>
      <c r="J426" t="n">
        <v>0.4019</v>
      </c>
      <c r="K426" t="n">
        <v>0.041</v>
      </c>
      <c r="L426" t="n">
        <v>0.8179999999999999</v>
      </c>
      <c r="M426" t="n">
        <v>0.141</v>
      </c>
    </row>
    <row r="427" spans="1:13">
      <c r="A427" s="1">
        <f>HYPERLINK("http://www.twitter.com/NathanBLawrence/status/994666900834734080", "994666900834734080")</f>
        <v/>
      </c>
      <c r="B427" s="2" t="n">
        <v>43230.82920138889</v>
      </c>
      <c r="C427" t="n">
        <v>0</v>
      </c>
      <c r="D427" t="n">
        <v>548</v>
      </c>
      <c r="E427" t="s">
        <v>438</v>
      </c>
      <c r="F427" t="s"/>
      <c r="G427" t="s"/>
      <c r="H427" t="s"/>
      <c r="I427" t="s"/>
      <c r="J427" t="n">
        <v>-0.296</v>
      </c>
      <c r="K427" t="n">
        <v>0.099</v>
      </c>
      <c r="L427" t="n">
        <v>0.901</v>
      </c>
      <c r="M427" t="n">
        <v>0</v>
      </c>
    </row>
    <row r="428" spans="1:13">
      <c r="A428" s="1">
        <f>HYPERLINK("http://www.twitter.com/NathanBLawrence/status/994666848410132485", "994666848410132485")</f>
        <v/>
      </c>
      <c r="B428" s="2" t="n">
        <v>43230.8290625</v>
      </c>
      <c r="C428" t="n">
        <v>9</v>
      </c>
      <c r="D428" t="n">
        <v>1</v>
      </c>
      <c r="E428" t="s">
        <v>439</v>
      </c>
      <c r="F428" t="s"/>
      <c r="G428" t="s"/>
      <c r="H428" t="s"/>
      <c r="I428" t="s"/>
      <c r="J428" t="n">
        <v>0.496</v>
      </c>
      <c r="K428" t="n">
        <v>0.082</v>
      </c>
      <c r="L428" t="n">
        <v>0.741</v>
      </c>
      <c r="M428" t="n">
        <v>0.177</v>
      </c>
    </row>
    <row r="429" spans="1:13">
      <c r="A429" s="1">
        <f>HYPERLINK("http://www.twitter.com/NathanBLawrence/status/994665383553585153", "994665383553585153")</f>
        <v/>
      </c>
      <c r="B429" s="2" t="n">
        <v>43230.82502314815</v>
      </c>
      <c r="C429" t="n">
        <v>0</v>
      </c>
      <c r="D429" t="n">
        <v>1287</v>
      </c>
      <c r="E429" t="s">
        <v>440</v>
      </c>
      <c r="F429" t="s"/>
      <c r="G429" t="s"/>
      <c r="H429" t="s"/>
      <c r="I429" t="s"/>
      <c r="J429" t="n">
        <v>0.0086</v>
      </c>
      <c r="K429" t="n">
        <v>0.141</v>
      </c>
      <c r="L429" t="n">
        <v>0.6820000000000001</v>
      </c>
      <c r="M429" t="n">
        <v>0.178</v>
      </c>
    </row>
    <row r="430" spans="1:13">
      <c r="A430" s="1">
        <f>HYPERLINK("http://www.twitter.com/NathanBLawrence/status/994642118328180736", "994642118328180736")</f>
        <v/>
      </c>
      <c r="B430" s="2" t="n">
        <v>43230.76082175926</v>
      </c>
      <c r="C430" t="n">
        <v>0</v>
      </c>
      <c r="D430" t="n">
        <v>105</v>
      </c>
      <c r="E430" t="s">
        <v>441</v>
      </c>
      <c r="F430">
        <f>HYPERLINK("http://pbs.twimg.com/media/Dczb-3kW0AAyeC7.jpg", "http://pbs.twimg.com/media/Dczb-3kW0AAyeC7.jpg")</f>
        <v/>
      </c>
      <c r="G430" t="s"/>
      <c r="H430" t="s"/>
      <c r="I430" t="s"/>
      <c r="J430" t="n">
        <v>0</v>
      </c>
      <c r="K430" t="n">
        <v>0</v>
      </c>
      <c r="L430" t="n">
        <v>1</v>
      </c>
      <c r="M430" t="n">
        <v>0</v>
      </c>
    </row>
    <row r="431" spans="1:13">
      <c r="A431" s="1">
        <f>HYPERLINK("http://www.twitter.com/NathanBLawrence/status/994591071144501248", "994591071144501248")</f>
        <v/>
      </c>
      <c r="B431" s="2" t="n">
        <v>43230.6199537037</v>
      </c>
      <c r="C431" t="n">
        <v>35</v>
      </c>
      <c r="D431" t="n">
        <v>15</v>
      </c>
      <c r="E431" t="s">
        <v>442</v>
      </c>
      <c r="F431" t="s"/>
      <c r="G431" t="s"/>
      <c r="H431" t="s"/>
      <c r="I431" t="s"/>
      <c r="J431" t="n">
        <v>0.8137</v>
      </c>
      <c r="K431" t="n">
        <v>0.161</v>
      </c>
      <c r="L431" t="n">
        <v>0.598</v>
      </c>
      <c r="M431" t="n">
        <v>0.242</v>
      </c>
    </row>
    <row r="432" spans="1:13">
      <c r="A432" s="1">
        <f>HYPERLINK("http://www.twitter.com/NathanBLawrence/status/994588916517888001", "994588916517888001")</f>
        <v/>
      </c>
      <c r="B432" s="2" t="n">
        <v>43230.61400462963</v>
      </c>
      <c r="C432" t="n">
        <v>0</v>
      </c>
      <c r="D432" t="n">
        <v>141</v>
      </c>
      <c r="E432" t="s">
        <v>443</v>
      </c>
      <c r="F432">
        <f>HYPERLINK("http://pbs.twimg.com/media/DcswbebU8AAgVfk.jpg", "http://pbs.twimg.com/media/DcswbebU8AAgVfk.jpg")</f>
        <v/>
      </c>
      <c r="G432" t="s"/>
      <c r="H432" t="s"/>
      <c r="I432" t="s"/>
      <c r="J432" t="n">
        <v>0</v>
      </c>
      <c r="K432" t="n">
        <v>0</v>
      </c>
      <c r="L432" t="n">
        <v>1</v>
      </c>
      <c r="M432" t="n">
        <v>0</v>
      </c>
    </row>
    <row r="433" spans="1:13">
      <c r="A433" s="1">
        <f>HYPERLINK("http://www.twitter.com/NathanBLawrence/status/994587289329299463", "994587289329299463")</f>
        <v/>
      </c>
      <c r="B433" s="2" t="n">
        <v>43230.60951388889</v>
      </c>
      <c r="C433" t="n">
        <v>0</v>
      </c>
      <c r="D433" t="n">
        <v>246</v>
      </c>
      <c r="E433" t="s">
        <v>444</v>
      </c>
      <c r="F433">
        <f>HYPERLINK("https://video.twimg.com/amplify_video/994369142512812032/vid/1280x720/PTggIebYPUllSA8b.mp4?tag=2", "https://video.twimg.com/amplify_video/994369142512812032/vid/1280x720/PTggIebYPUllSA8b.mp4?tag=2")</f>
        <v/>
      </c>
      <c r="G433" t="s"/>
      <c r="H433" t="s"/>
      <c r="I433" t="s"/>
      <c r="J433" t="n">
        <v>0</v>
      </c>
      <c r="K433" t="n">
        <v>0</v>
      </c>
      <c r="L433" t="n">
        <v>1</v>
      </c>
      <c r="M433" t="n">
        <v>0</v>
      </c>
    </row>
    <row r="434" spans="1:13">
      <c r="A434" s="1">
        <f>HYPERLINK("http://www.twitter.com/NathanBLawrence/status/994587154499203072", "994587154499203072")</f>
        <v/>
      </c>
      <c r="B434" s="2" t="n">
        <v>43230.60914351852</v>
      </c>
      <c r="C434" t="n">
        <v>0</v>
      </c>
      <c r="D434" t="n">
        <v>84</v>
      </c>
      <c r="E434" t="s">
        <v>445</v>
      </c>
      <c r="F434" t="s"/>
      <c r="G434" t="s"/>
      <c r="H434" t="s"/>
      <c r="I434" t="s"/>
      <c r="J434" t="n">
        <v>0.4767</v>
      </c>
      <c r="K434" t="n">
        <v>0</v>
      </c>
      <c r="L434" t="n">
        <v>0.8070000000000001</v>
      </c>
      <c r="M434" t="n">
        <v>0.193</v>
      </c>
    </row>
    <row r="435" spans="1:13">
      <c r="A435" s="1">
        <f>HYPERLINK("http://www.twitter.com/NathanBLawrence/status/994587014795268096", "994587014795268096")</f>
        <v/>
      </c>
      <c r="B435" s="2" t="n">
        <v>43230.60876157408</v>
      </c>
      <c r="C435" t="n">
        <v>0</v>
      </c>
      <c r="D435" t="n">
        <v>29</v>
      </c>
      <c r="E435" t="s">
        <v>446</v>
      </c>
      <c r="F435" t="s"/>
      <c r="G435" t="s"/>
      <c r="H435" t="s"/>
      <c r="I435" t="s"/>
      <c r="J435" t="n">
        <v>-0.1027</v>
      </c>
      <c r="K435" t="n">
        <v>0.114</v>
      </c>
      <c r="L435" t="n">
        <v>0.787</v>
      </c>
      <c r="M435" t="n">
        <v>0.098</v>
      </c>
    </row>
    <row r="436" spans="1:13">
      <c r="A436" s="1">
        <f>HYPERLINK("http://www.twitter.com/NathanBLawrence/status/994586892048969730", "994586892048969730")</f>
        <v/>
      </c>
      <c r="B436" s="2" t="n">
        <v>43230.60842592592</v>
      </c>
      <c r="C436" t="n">
        <v>0</v>
      </c>
      <c r="D436" t="n">
        <v>614</v>
      </c>
      <c r="E436" t="s">
        <v>447</v>
      </c>
      <c r="F436">
        <f>HYPERLINK("https://video.twimg.com/amplify_video/994474493648269312/vid/1280x720/eqotKYADUC4mEMxx.mp4?tag=2", "https://video.twimg.com/amplify_video/994474493648269312/vid/1280x720/eqotKYADUC4mEMxx.mp4?tag=2")</f>
        <v/>
      </c>
      <c r="G436" t="s"/>
      <c r="H436" t="s"/>
      <c r="I436" t="s"/>
      <c r="J436" t="n">
        <v>0.5574</v>
      </c>
      <c r="K436" t="n">
        <v>0</v>
      </c>
      <c r="L436" t="n">
        <v>0.854</v>
      </c>
      <c r="M436" t="n">
        <v>0.146</v>
      </c>
    </row>
    <row r="437" spans="1:13">
      <c r="A437" s="1">
        <f>HYPERLINK("http://www.twitter.com/NathanBLawrence/status/994585791090319360", "994585791090319360")</f>
        <v/>
      </c>
      <c r="B437" s="2" t="n">
        <v>43230.60538194444</v>
      </c>
      <c r="C437" t="n">
        <v>7</v>
      </c>
      <c r="D437" t="n">
        <v>0</v>
      </c>
      <c r="E437" t="s">
        <v>448</v>
      </c>
      <c r="F437" t="s"/>
      <c r="G437" t="s"/>
      <c r="H437" t="s"/>
      <c r="I437" t="s"/>
      <c r="J437" t="n">
        <v>0.8011</v>
      </c>
      <c r="K437" t="n">
        <v>0</v>
      </c>
      <c r="L437" t="n">
        <v>0.754</v>
      </c>
      <c r="M437" t="n">
        <v>0.246</v>
      </c>
    </row>
    <row r="438" spans="1:13">
      <c r="A438" s="1">
        <f>HYPERLINK("http://www.twitter.com/NathanBLawrence/status/994582904658423808", "994582904658423808")</f>
        <v/>
      </c>
      <c r="B438" s="2" t="n">
        <v>43230.59741898148</v>
      </c>
      <c r="C438" t="n">
        <v>0</v>
      </c>
      <c r="D438" t="n">
        <v>96</v>
      </c>
      <c r="E438" t="s">
        <v>449</v>
      </c>
      <c r="F438" t="s"/>
      <c r="G438" t="s"/>
      <c r="H438" t="s"/>
      <c r="I438" t="s"/>
      <c r="J438" t="n">
        <v>0.5411</v>
      </c>
      <c r="K438" t="n">
        <v>0</v>
      </c>
      <c r="L438" t="n">
        <v>0.775</v>
      </c>
      <c r="M438" t="n">
        <v>0.225</v>
      </c>
    </row>
    <row r="439" spans="1:13">
      <c r="A439" s="1">
        <f>HYPERLINK("http://www.twitter.com/NathanBLawrence/status/994582810403987457", "994582810403987457")</f>
        <v/>
      </c>
      <c r="B439" s="2" t="n">
        <v>43230.59716435185</v>
      </c>
      <c r="C439" t="n">
        <v>0</v>
      </c>
      <c r="D439" t="n">
        <v>6732</v>
      </c>
      <c r="E439" t="s">
        <v>450</v>
      </c>
      <c r="F439">
        <f>HYPERLINK("http://pbs.twimg.com/media/Dcto4swV0AAiJXt.jpg", "http://pbs.twimg.com/media/Dcto4swV0AAiJXt.jpg")</f>
        <v/>
      </c>
      <c r="G439" t="s"/>
      <c r="H439" t="s"/>
      <c r="I439" t="s"/>
      <c r="J439" t="n">
        <v>0.8122</v>
      </c>
      <c r="K439" t="n">
        <v>0</v>
      </c>
      <c r="L439" t="n">
        <v>0.6820000000000001</v>
      </c>
      <c r="M439" t="n">
        <v>0.318</v>
      </c>
    </row>
    <row r="440" spans="1:13">
      <c r="A440" s="1">
        <f>HYPERLINK("http://www.twitter.com/NathanBLawrence/status/994582733279121410", "994582733279121410")</f>
        <v/>
      </c>
      <c r="B440" s="2" t="n">
        <v>43230.59694444444</v>
      </c>
      <c r="C440" t="n">
        <v>0</v>
      </c>
      <c r="D440" t="n">
        <v>779</v>
      </c>
      <c r="E440" t="s">
        <v>451</v>
      </c>
      <c r="F440" t="s"/>
      <c r="G440" t="s"/>
      <c r="H440" t="s"/>
      <c r="I440" t="s"/>
      <c r="J440" t="n">
        <v>-0.5935</v>
      </c>
      <c r="K440" t="n">
        <v>0.256</v>
      </c>
      <c r="L440" t="n">
        <v>0.644</v>
      </c>
      <c r="M440" t="n">
        <v>0.101</v>
      </c>
    </row>
    <row r="441" spans="1:13">
      <c r="A441" s="1">
        <f>HYPERLINK("http://www.twitter.com/NathanBLawrence/status/994582562948419584", "994582562948419584")</f>
        <v/>
      </c>
      <c r="B441" s="2" t="n">
        <v>43230.59648148148</v>
      </c>
      <c r="C441" t="n">
        <v>0</v>
      </c>
      <c r="D441" t="n">
        <v>321</v>
      </c>
      <c r="E441" t="s">
        <v>452</v>
      </c>
      <c r="F441" t="s"/>
      <c r="G441" t="s"/>
      <c r="H441" t="s"/>
      <c r="I441" t="s"/>
      <c r="J441" t="n">
        <v>-0.7243000000000001</v>
      </c>
      <c r="K441" t="n">
        <v>0.187</v>
      </c>
      <c r="L441" t="n">
        <v>0.8129999999999999</v>
      </c>
      <c r="M441" t="n">
        <v>0</v>
      </c>
    </row>
    <row r="442" spans="1:13">
      <c r="A442" s="1">
        <f>HYPERLINK("http://www.twitter.com/NathanBLawrence/status/994582477070110720", "994582477070110720")</f>
        <v/>
      </c>
      <c r="B442" s="2" t="n">
        <v>43230.59623842593</v>
      </c>
      <c r="C442" t="n">
        <v>0</v>
      </c>
      <c r="D442" t="n">
        <v>1077</v>
      </c>
      <c r="E442" t="s">
        <v>453</v>
      </c>
      <c r="F442" t="s"/>
      <c r="G442" t="s"/>
      <c r="H442" t="s"/>
      <c r="I442" t="s"/>
      <c r="J442" t="n">
        <v>0</v>
      </c>
      <c r="K442" t="n">
        <v>0</v>
      </c>
      <c r="L442" t="n">
        <v>1</v>
      </c>
      <c r="M442" t="n">
        <v>0</v>
      </c>
    </row>
    <row r="443" spans="1:13">
      <c r="A443" s="1">
        <f>HYPERLINK("http://www.twitter.com/NathanBLawrence/status/994582432677597186", "994582432677597186")</f>
        <v/>
      </c>
      <c r="B443" s="2" t="n">
        <v>43230.59612268519</v>
      </c>
      <c r="C443" t="n">
        <v>0</v>
      </c>
      <c r="D443" t="n">
        <v>1820</v>
      </c>
      <c r="E443" t="s">
        <v>454</v>
      </c>
      <c r="F443" t="s"/>
      <c r="G443" t="s"/>
      <c r="H443" t="s"/>
      <c r="I443" t="s"/>
      <c r="J443" t="n">
        <v>-0.5719</v>
      </c>
      <c r="K443" t="n">
        <v>0.176</v>
      </c>
      <c r="L443" t="n">
        <v>0.824</v>
      </c>
      <c r="M443" t="n">
        <v>0</v>
      </c>
    </row>
    <row r="444" spans="1:13">
      <c r="A444" s="1">
        <f>HYPERLINK("http://www.twitter.com/NathanBLawrence/status/994582205312782337", "994582205312782337")</f>
        <v/>
      </c>
      <c r="B444" s="2" t="n">
        <v>43230.59548611111</v>
      </c>
      <c r="C444" t="n">
        <v>0</v>
      </c>
      <c r="D444" t="n">
        <v>211</v>
      </c>
      <c r="E444" t="s">
        <v>455</v>
      </c>
      <c r="F444">
        <f>HYPERLINK("http://pbs.twimg.com/media/Dc1Z5rfW0AACC4k.jpg", "http://pbs.twimg.com/media/Dc1Z5rfW0AACC4k.jpg")</f>
        <v/>
      </c>
      <c r="G444" t="s"/>
      <c r="H444" t="s"/>
      <c r="I444" t="s"/>
      <c r="J444" t="n">
        <v>0.9326</v>
      </c>
      <c r="K444" t="n">
        <v>0</v>
      </c>
      <c r="L444" t="n">
        <v>0.588</v>
      </c>
      <c r="M444" t="n">
        <v>0.412</v>
      </c>
    </row>
    <row r="445" spans="1:13">
      <c r="A445" s="1">
        <f>HYPERLINK("http://www.twitter.com/NathanBLawrence/status/994581814076477440", "994581814076477440")</f>
        <v/>
      </c>
      <c r="B445" s="2" t="n">
        <v>43230.59440972222</v>
      </c>
      <c r="C445" t="n">
        <v>0</v>
      </c>
      <c r="D445" t="n">
        <v>2590</v>
      </c>
      <c r="E445" t="s">
        <v>456</v>
      </c>
      <c r="F445">
        <f>HYPERLINK("http://pbs.twimg.com/media/Dcxnb_GV4AAiMvy.jpg", "http://pbs.twimg.com/media/Dcxnb_GV4AAiMvy.jpg")</f>
        <v/>
      </c>
      <c r="G445" t="s"/>
      <c r="H445" t="s"/>
      <c r="I445" t="s"/>
      <c r="J445" t="n">
        <v>0</v>
      </c>
      <c r="K445" t="n">
        <v>0</v>
      </c>
      <c r="L445" t="n">
        <v>1</v>
      </c>
      <c r="M445" t="n">
        <v>0</v>
      </c>
    </row>
    <row r="446" spans="1:13">
      <c r="A446" s="1">
        <f>HYPERLINK("http://www.twitter.com/NathanBLawrence/status/994581463088713729", "994581463088713729")</f>
        <v/>
      </c>
      <c r="B446" s="2" t="n">
        <v>43230.5934375</v>
      </c>
      <c r="C446" t="n">
        <v>0</v>
      </c>
      <c r="D446" t="n">
        <v>3</v>
      </c>
      <c r="E446" t="s">
        <v>457</v>
      </c>
      <c r="F446">
        <f>HYPERLINK("http://pbs.twimg.com/media/Dcx5AAYX4AACFuP.jpg", "http://pbs.twimg.com/media/Dcx5AAYX4AACFuP.jpg")</f>
        <v/>
      </c>
      <c r="G446" t="s"/>
      <c r="H446" t="s"/>
      <c r="I446" t="s"/>
      <c r="J446" t="n">
        <v>0</v>
      </c>
      <c r="K446" t="n">
        <v>0</v>
      </c>
      <c r="L446" t="n">
        <v>1</v>
      </c>
      <c r="M446" t="n">
        <v>0</v>
      </c>
    </row>
    <row r="447" spans="1:13">
      <c r="A447" s="1">
        <f>HYPERLINK("http://www.twitter.com/NathanBLawrence/status/994581420751368192", "994581420751368192")</f>
        <v/>
      </c>
      <c r="B447" s="2" t="n">
        <v>43230.59332175926</v>
      </c>
      <c r="C447" t="n">
        <v>0</v>
      </c>
      <c r="D447" t="n">
        <v>143</v>
      </c>
      <c r="E447" t="s">
        <v>458</v>
      </c>
      <c r="F447">
        <f>HYPERLINK("http://pbs.twimg.com/media/DcxzvTFU0AAmNwg.jpg", "http://pbs.twimg.com/media/DcxzvTFU0AAmNwg.jpg")</f>
        <v/>
      </c>
      <c r="G447" t="s"/>
      <c r="H447" t="s"/>
      <c r="I447" t="s"/>
      <c r="J447" t="n">
        <v>0.9417</v>
      </c>
      <c r="K447" t="n">
        <v>0</v>
      </c>
      <c r="L447" t="n">
        <v>0.469</v>
      </c>
      <c r="M447" t="n">
        <v>0.531</v>
      </c>
    </row>
    <row r="448" spans="1:13">
      <c r="A448" s="1">
        <f>HYPERLINK("http://www.twitter.com/NathanBLawrence/status/994581351515983872", "994581351515983872")</f>
        <v/>
      </c>
      <c r="B448" s="2" t="n">
        <v>43230.59313657408</v>
      </c>
      <c r="C448" t="n">
        <v>0</v>
      </c>
      <c r="D448" t="n">
        <v>1267</v>
      </c>
      <c r="E448" t="s">
        <v>459</v>
      </c>
      <c r="F448">
        <f>HYPERLINK("http://pbs.twimg.com/media/Dcxv68tWsAA9VLT.jpg", "http://pbs.twimg.com/media/Dcxv68tWsAA9VLT.jpg")</f>
        <v/>
      </c>
      <c r="G448" t="s"/>
      <c r="H448" t="s"/>
      <c r="I448" t="s"/>
      <c r="J448" t="n">
        <v>0.4995</v>
      </c>
      <c r="K448" t="n">
        <v>0</v>
      </c>
      <c r="L448" t="n">
        <v>0.712</v>
      </c>
      <c r="M448" t="n">
        <v>0.288</v>
      </c>
    </row>
    <row r="449" spans="1:13">
      <c r="A449" s="1">
        <f>HYPERLINK("http://www.twitter.com/NathanBLawrence/status/994581309346533376", "994581309346533376")</f>
        <v/>
      </c>
      <c r="B449" s="2" t="n">
        <v>43230.59302083333</v>
      </c>
      <c r="C449" t="n">
        <v>8</v>
      </c>
      <c r="D449" t="n">
        <v>1</v>
      </c>
      <c r="E449" t="s">
        <v>460</v>
      </c>
      <c r="F449" t="s"/>
      <c r="G449" t="s"/>
      <c r="H449" t="s"/>
      <c r="I449" t="s"/>
      <c r="J449" t="n">
        <v>-0.4215</v>
      </c>
      <c r="K449" t="n">
        <v>0.359</v>
      </c>
      <c r="L449" t="n">
        <v>0.641</v>
      </c>
      <c r="M449" t="n">
        <v>0</v>
      </c>
    </row>
    <row r="450" spans="1:13">
      <c r="A450" s="1">
        <f>HYPERLINK("http://www.twitter.com/NathanBLawrence/status/994581095336333312", "994581095336333312")</f>
        <v/>
      </c>
      <c r="B450" s="2" t="n">
        <v>43230.59243055555</v>
      </c>
      <c r="C450" t="n">
        <v>0</v>
      </c>
      <c r="D450" t="n">
        <v>63</v>
      </c>
      <c r="E450" t="s">
        <v>461</v>
      </c>
      <c r="F450" t="s"/>
      <c r="G450" t="s"/>
      <c r="H450" t="s"/>
      <c r="I450" t="s"/>
      <c r="J450" t="n">
        <v>0.2732</v>
      </c>
      <c r="K450" t="n">
        <v>0</v>
      </c>
      <c r="L450" t="n">
        <v>0.89</v>
      </c>
      <c r="M450" t="n">
        <v>0.11</v>
      </c>
    </row>
    <row r="451" spans="1:13">
      <c r="A451" s="1">
        <f>HYPERLINK("http://www.twitter.com/NathanBLawrence/status/994581054483820545", "994581054483820545")</f>
        <v/>
      </c>
      <c r="B451" s="2" t="n">
        <v>43230.59231481481</v>
      </c>
      <c r="C451" t="n">
        <v>0</v>
      </c>
      <c r="D451" t="n">
        <v>294</v>
      </c>
      <c r="E451" t="s">
        <v>462</v>
      </c>
      <c r="F451" t="s"/>
      <c r="G451" t="s"/>
      <c r="H451" t="s"/>
      <c r="I451" t="s"/>
      <c r="J451" t="n">
        <v>0.2023</v>
      </c>
      <c r="K451" t="n">
        <v>0</v>
      </c>
      <c r="L451" t="n">
        <v>0.913</v>
      </c>
      <c r="M451" t="n">
        <v>0.08699999999999999</v>
      </c>
    </row>
    <row r="452" spans="1:13">
      <c r="A452" s="1">
        <f>HYPERLINK("http://www.twitter.com/NathanBLawrence/status/994580913555206144", "994580913555206144")</f>
        <v/>
      </c>
      <c r="B452" s="2" t="n">
        <v>43230.5919212963</v>
      </c>
      <c r="C452" t="n">
        <v>0</v>
      </c>
      <c r="D452" t="n">
        <v>404</v>
      </c>
      <c r="E452" t="s">
        <v>463</v>
      </c>
      <c r="F452">
        <f>HYPERLINK("http://pbs.twimg.com/media/Dcxvqk7WsAIAiOV.jpg", "http://pbs.twimg.com/media/Dcxvqk7WsAIAiOV.jpg")</f>
        <v/>
      </c>
      <c r="G452" t="s"/>
      <c r="H452" t="s"/>
      <c r="I452" t="s"/>
      <c r="J452" t="n">
        <v>0.6661</v>
      </c>
      <c r="K452" t="n">
        <v>0</v>
      </c>
      <c r="L452" t="n">
        <v>0.8100000000000001</v>
      </c>
      <c r="M452" t="n">
        <v>0.19</v>
      </c>
    </row>
    <row r="453" spans="1:13">
      <c r="A453" s="1">
        <f>HYPERLINK("http://www.twitter.com/NathanBLawrence/status/994580818076028928", "994580818076028928")</f>
        <v/>
      </c>
      <c r="B453" s="2" t="n">
        <v>43230.59166666667</v>
      </c>
      <c r="C453" t="n">
        <v>6</v>
      </c>
      <c r="D453" t="n">
        <v>4</v>
      </c>
      <c r="E453" t="s">
        <v>464</v>
      </c>
      <c r="F453" t="s"/>
      <c r="G453" t="s"/>
      <c r="H453" t="s"/>
      <c r="I453" t="s"/>
      <c r="J453" t="n">
        <v>0.2714</v>
      </c>
      <c r="K453" t="n">
        <v>0</v>
      </c>
      <c r="L453" t="n">
        <v>0.8110000000000001</v>
      </c>
      <c r="M453" t="n">
        <v>0.189</v>
      </c>
    </row>
    <row r="454" spans="1:13">
      <c r="A454" s="1">
        <f>HYPERLINK("http://www.twitter.com/NathanBLawrence/status/994580192021630976", "994580192021630976")</f>
        <v/>
      </c>
      <c r="B454" s="2" t="n">
        <v>43230.58993055556</v>
      </c>
      <c r="C454" t="n">
        <v>0</v>
      </c>
      <c r="D454" t="n">
        <v>254</v>
      </c>
      <c r="E454" t="s">
        <v>465</v>
      </c>
      <c r="F454">
        <f>HYPERLINK("http://pbs.twimg.com/media/DcxNzAJX4AEGm_F.jpg", "http://pbs.twimg.com/media/DcxNzAJX4AEGm_F.jpg")</f>
        <v/>
      </c>
      <c r="G454" t="s"/>
      <c r="H454" t="s"/>
      <c r="I454" t="s"/>
      <c r="J454" t="n">
        <v>-0.3769</v>
      </c>
      <c r="K454" t="n">
        <v>0.097</v>
      </c>
      <c r="L454" t="n">
        <v>0.765</v>
      </c>
      <c r="M454" t="n">
        <v>0.138</v>
      </c>
    </row>
    <row r="455" spans="1:13">
      <c r="A455" s="1">
        <f>HYPERLINK("http://www.twitter.com/NathanBLawrence/status/994580004016218112", "994580004016218112")</f>
        <v/>
      </c>
      <c r="B455" s="2" t="n">
        <v>43230.5894212963</v>
      </c>
      <c r="C455" t="n">
        <v>0</v>
      </c>
      <c r="D455" t="n">
        <v>6</v>
      </c>
      <c r="E455" t="s">
        <v>466</v>
      </c>
      <c r="F455" t="s"/>
      <c r="G455" t="s"/>
      <c r="H455" t="s"/>
      <c r="I455" t="s"/>
      <c r="J455" t="n">
        <v>0</v>
      </c>
      <c r="K455" t="n">
        <v>0</v>
      </c>
      <c r="L455" t="n">
        <v>1</v>
      </c>
      <c r="M455" t="n">
        <v>0</v>
      </c>
    </row>
    <row r="456" spans="1:13">
      <c r="A456" s="1">
        <f>HYPERLINK("http://www.twitter.com/NathanBLawrence/status/994579928980041728", "994579928980041728")</f>
        <v/>
      </c>
      <c r="B456" s="2" t="n">
        <v>43230.58921296296</v>
      </c>
      <c r="C456" t="n">
        <v>0</v>
      </c>
      <c r="D456" t="n">
        <v>5</v>
      </c>
      <c r="E456" t="s">
        <v>467</v>
      </c>
      <c r="F456">
        <f>HYPERLINK("http://pbs.twimg.com/media/Dcx46GDU0AACW5T.jpg", "http://pbs.twimg.com/media/Dcx46GDU0AACW5T.jpg")</f>
        <v/>
      </c>
      <c r="G456" t="s"/>
      <c r="H456" t="s"/>
      <c r="I456" t="s"/>
      <c r="J456" t="n">
        <v>-0.6523</v>
      </c>
      <c r="K456" t="n">
        <v>0.302</v>
      </c>
      <c r="L456" t="n">
        <v>0.698</v>
      </c>
      <c r="M456" t="n">
        <v>0</v>
      </c>
    </row>
    <row r="457" spans="1:13">
      <c r="A457" s="1">
        <f>HYPERLINK("http://www.twitter.com/NathanBLawrence/status/994579763711873025", "994579763711873025")</f>
        <v/>
      </c>
      <c r="B457" s="2" t="n">
        <v>43230.58875</v>
      </c>
      <c r="C457" t="n">
        <v>0</v>
      </c>
      <c r="D457" t="n">
        <v>27750</v>
      </c>
      <c r="E457" t="s">
        <v>468</v>
      </c>
      <c r="F457" t="s"/>
      <c r="G457" t="s"/>
      <c r="H457" t="s"/>
      <c r="I457" t="s"/>
      <c r="J457" t="n">
        <v>-0.7268</v>
      </c>
      <c r="K457" t="n">
        <v>0.234</v>
      </c>
      <c r="L457" t="n">
        <v>0.766</v>
      </c>
      <c r="M457" t="n">
        <v>0</v>
      </c>
    </row>
    <row r="458" spans="1:13">
      <c r="A458" s="1">
        <f>HYPERLINK("http://www.twitter.com/NathanBLawrence/status/994579500238278657", "994579500238278657")</f>
        <v/>
      </c>
      <c r="B458" s="2" t="n">
        <v>43230.58802083333</v>
      </c>
      <c r="C458" t="n">
        <v>0</v>
      </c>
      <c r="D458" t="n">
        <v>364</v>
      </c>
      <c r="E458" t="s">
        <v>469</v>
      </c>
      <c r="F458">
        <f>HYPERLINK("http://pbs.twimg.com/media/DcxqMuGWkAA2qqx.jpg", "http://pbs.twimg.com/media/DcxqMuGWkAA2qqx.jpg")</f>
        <v/>
      </c>
      <c r="G458" t="s"/>
      <c r="H458" t="s"/>
      <c r="I458" t="s"/>
      <c r="J458" t="n">
        <v>-0.4574</v>
      </c>
      <c r="K458" t="n">
        <v>0.2</v>
      </c>
      <c r="L458" t="n">
        <v>0.8</v>
      </c>
      <c r="M458" t="n">
        <v>0</v>
      </c>
    </row>
    <row r="459" spans="1:13">
      <c r="A459" s="1">
        <f>HYPERLINK("http://www.twitter.com/NathanBLawrence/status/994579439408369667", "994579439408369667")</f>
        <v/>
      </c>
      <c r="B459" s="2" t="n">
        <v>43230.58785879629</v>
      </c>
      <c r="C459" t="n">
        <v>0</v>
      </c>
      <c r="D459" t="n">
        <v>461</v>
      </c>
      <c r="E459" t="s">
        <v>470</v>
      </c>
      <c r="F459" t="s"/>
      <c r="G459" t="s"/>
      <c r="H459" t="s"/>
      <c r="I459" t="s"/>
      <c r="J459" t="n">
        <v>-0.3365</v>
      </c>
      <c r="K459" t="n">
        <v>0.177</v>
      </c>
      <c r="L459" t="n">
        <v>0.703</v>
      </c>
      <c r="M459" t="n">
        <v>0.12</v>
      </c>
    </row>
    <row r="460" spans="1:13">
      <c r="A460" s="1">
        <f>HYPERLINK("http://www.twitter.com/NathanBLawrence/status/994579387575128065", "994579387575128065")</f>
        <v/>
      </c>
      <c r="B460" s="2" t="n">
        <v>43230.58771990741</v>
      </c>
      <c r="C460" t="n">
        <v>0</v>
      </c>
      <c r="D460" t="n">
        <v>350</v>
      </c>
      <c r="E460" t="s">
        <v>471</v>
      </c>
      <c r="F460">
        <f>HYPERLINK("http://pbs.twimg.com/media/DcxXZXiVAAAJ2aB.jpg", "http://pbs.twimg.com/media/DcxXZXiVAAAJ2aB.jpg")</f>
        <v/>
      </c>
      <c r="G460" t="s"/>
      <c r="H460" t="s"/>
      <c r="I460" t="s"/>
      <c r="J460" t="n">
        <v>-0.6597</v>
      </c>
      <c r="K460" t="n">
        <v>0.274</v>
      </c>
      <c r="L460" t="n">
        <v>0.726</v>
      </c>
      <c r="M460" t="n">
        <v>0</v>
      </c>
    </row>
    <row r="461" spans="1:13">
      <c r="A461" s="1">
        <f>HYPERLINK("http://www.twitter.com/NathanBLawrence/status/994579231324692481", "994579231324692481")</f>
        <v/>
      </c>
      <c r="B461" s="2" t="n">
        <v>43230.58728009259</v>
      </c>
      <c r="C461" t="n">
        <v>5</v>
      </c>
      <c r="D461" t="n">
        <v>0</v>
      </c>
      <c r="E461" t="s">
        <v>472</v>
      </c>
      <c r="F461" t="s"/>
      <c r="G461" t="s"/>
      <c r="H461" t="s"/>
      <c r="I461" t="s"/>
      <c r="J461" t="n">
        <v>0.7506</v>
      </c>
      <c r="K461" t="n">
        <v>0</v>
      </c>
      <c r="L461" t="n">
        <v>0.6860000000000001</v>
      </c>
      <c r="M461" t="n">
        <v>0.314</v>
      </c>
    </row>
    <row r="462" spans="1:13">
      <c r="A462" s="1">
        <f>HYPERLINK("http://www.twitter.com/NathanBLawrence/status/994409875554922496", "994409875554922496")</f>
        <v/>
      </c>
      <c r="B462" s="2" t="n">
        <v>43230.1199537037</v>
      </c>
      <c r="C462" t="n">
        <v>0</v>
      </c>
      <c r="D462" t="n">
        <v>2688</v>
      </c>
      <c r="E462" t="s">
        <v>473</v>
      </c>
      <c r="F462">
        <f>HYPERLINK("http://pbs.twimg.com/media/DczKYCtUQAAq0Pv.jpg", "http://pbs.twimg.com/media/DczKYCtUQAAq0Pv.jpg")</f>
        <v/>
      </c>
      <c r="G462" t="s"/>
      <c r="H462" t="s"/>
      <c r="I462" t="s"/>
      <c r="J462" t="n">
        <v>0</v>
      </c>
      <c r="K462" t="n">
        <v>0</v>
      </c>
      <c r="L462" t="n">
        <v>1</v>
      </c>
      <c r="M462" t="n">
        <v>0</v>
      </c>
    </row>
    <row r="463" spans="1:13">
      <c r="A463" s="1">
        <f>HYPERLINK("http://www.twitter.com/NathanBLawrence/status/994409296371834886", "994409296371834886")</f>
        <v/>
      </c>
      <c r="B463" s="2" t="n">
        <v>43230.11835648148</v>
      </c>
      <c r="C463" t="n">
        <v>0</v>
      </c>
      <c r="D463" t="n">
        <v>889</v>
      </c>
      <c r="E463" t="s">
        <v>474</v>
      </c>
      <c r="F463">
        <f>HYPERLINK("https://video.twimg.com/ext_tw_video/993677358988124161/pu/vid/1078x720/rjyc4mwnkk4sfXyh.mp4?tag=3", "https://video.twimg.com/ext_tw_video/993677358988124161/pu/vid/1078x720/rjyc4mwnkk4sfXyh.mp4?tag=3")</f>
        <v/>
      </c>
      <c r="G463" t="s"/>
      <c r="H463" t="s"/>
      <c r="I463" t="s"/>
      <c r="J463" t="n">
        <v>0.1027</v>
      </c>
      <c r="K463" t="n">
        <v>0</v>
      </c>
      <c r="L463" t="n">
        <v>0.928</v>
      </c>
      <c r="M463" t="n">
        <v>0.07199999999999999</v>
      </c>
    </row>
    <row r="464" spans="1:13">
      <c r="A464" s="1">
        <f>HYPERLINK("http://www.twitter.com/NathanBLawrence/status/994297727646420992", "994297727646420992")</f>
        <v/>
      </c>
      <c r="B464" s="2" t="n">
        <v>43229.81048611111</v>
      </c>
      <c r="C464" t="n">
        <v>0</v>
      </c>
      <c r="D464" t="n">
        <v>45054</v>
      </c>
      <c r="E464" t="s">
        <v>475</v>
      </c>
      <c r="F464" t="s"/>
      <c r="G464" t="s"/>
      <c r="H464" t="s"/>
      <c r="I464" t="s"/>
      <c r="J464" t="n">
        <v>0.4404</v>
      </c>
      <c r="K464" t="n">
        <v>0</v>
      </c>
      <c r="L464" t="n">
        <v>0.896</v>
      </c>
      <c r="M464" t="n">
        <v>0.104</v>
      </c>
    </row>
    <row r="465" spans="1:13">
      <c r="A465" s="1">
        <f>HYPERLINK("http://www.twitter.com/NathanBLawrence/status/994296457728593923", "994296457728593923")</f>
        <v/>
      </c>
      <c r="B465" s="2" t="n">
        <v>43229.80697916666</v>
      </c>
      <c r="C465" t="n">
        <v>0</v>
      </c>
      <c r="D465" t="n">
        <v>456</v>
      </c>
      <c r="E465" t="s">
        <v>476</v>
      </c>
      <c r="F465" t="s"/>
      <c r="G465" t="s"/>
      <c r="H465" t="s"/>
      <c r="I465" t="s"/>
      <c r="J465" t="n">
        <v>0.5983000000000001</v>
      </c>
      <c r="K465" t="n">
        <v>0</v>
      </c>
      <c r="L465" t="n">
        <v>0.8110000000000001</v>
      </c>
      <c r="M465" t="n">
        <v>0.189</v>
      </c>
    </row>
    <row r="466" spans="1:13">
      <c r="A466" s="1">
        <f>HYPERLINK("http://www.twitter.com/NathanBLawrence/status/994296152987176960", "994296152987176960")</f>
        <v/>
      </c>
      <c r="B466" s="2" t="n">
        <v>43229.80613425926</v>
      </c>
      <c r="C466" t="n">
        <v>0</v>
      </c>
      <c r="D466" t="n">
        <v>216</v>
      </c>
      <c r="E466" t="s">
        <v>477</v>
      </c>
      <c r="F466" t="s"/>
      <c r="G466" t="s"/>
      <c r="H466" t="s"/>
      <c r="I466" t="s"/>
      <c r="J466" t="n">
        <v>0</v>
      </c>
      <c r="K466" t="n">
        <v>0</v>
      </c>
      <c r="L466" t="n">
        <v>1</v>
      </c>
      <c r="M466" t="n">
        <v>0</v>
      </c>
    </row>
    <row r="467" spans="1:13">
      <c r="A467" s="1">
        <f>HYPERLINK("http://www.twitter.com/NathanBLawrence/status/994296082875207680", "994296082875207680")</f>
        <v/>
      </c>
      <c r="B467" s="2" t="n">
        <v>43229.8059375</v>
      </c>
      <c r="C467" t="n">
        <v>0</v>
      </c>
      <c r="D467" t="n">
        <v>2902</v>
      </c>
      <c r="E467" t="s">
        <v>478</v>
      </c>
      <c r="F467">
        <f>HYPERLINK("http://pbs.twimg.com/media/DcwlpkAVAAA_YeU.jpg", "http://pbs.twimg.com/media/DcwlpkAVAAA_YeU.jpg")</f>
        <v/>
      </c>
      <c r="G467" t="s"/>
      <c r="H467" t="s"/>
      <c r="I467" t="s"/>
      <c r="J467" t="n">
        <v>0</v>
      </c>
      <c r="K467" t="n">
        <v>0</v>
      </c>
      <c r="L467" t="n">
        <v>1</v>
      </c>
      <c r="M467" t="n">
        <v>0</v>
      </c>
    </row>
    <row r="468" spans="1:13">
      <c r="A468" s="1">
        <f>HYPERLINK("http://www.twitter.com/NathanBLawrence/status/994296036830142464", "994296036830142464")</f>
        <v/>
      </c>
      <c r="B468" s="2" t="n">
        <v>43229.80581018519</v>
      </c>
      <c r="C468" t="n">
        <v>0</v>
      </c>
      <c r="D468" t="n">
        <v>5217</v>
      </c>
      <c r="E468" t="s">
        <v>479</v>
      </c>
      <c r="F468" t="s"/>
      <c r="G468" t="s"/>
      <c r="H468" t="s"/>
      <c r="I468" t="s"/>
      <c r="J468" t="n">
        <v>0.5411</v>
      </c>
      <c r="K468" t="n">
        <v>0.113</v>
      </c>
      <c r="L468" t="n">
        <v>0.642</v>
      </c>
      <c r="M468" t="n">
        <v>0.245</v>
      </c>
    </row>
    <row r="469" spans="1:13">
      <c r="A469" s="1">
        <f>HYPERLINK("http://www.twitter.com/NathanBLawrence/status/994295987152871426", "994295987152871426")</f>
        <v/>
      </c>
      <c r="B469" s="2" t="n">
        <v>43229.80568287037</v>
      </c>
      <c r="C469" t="n">
        <v>0</v>
      </c>
      <c r="D469" t="n">
        <v>615</v>
      </c>
      <c r="E469" t="s">
        <v>480</v>
      </c>
      <c r="F469">
        <f>HYPERLINK("https://video.twimg.com/ext_tw_video/994253177892548609/pu/vid/1280x720/Z2D5NLAhZLOeRmy0.mp4?tag=3", "https://video.twimg.com/ext_tw_video/994253177892548609/pu/vid/1280x720/Z2D5NLAhZLOeRmy0.mp4?tag=3")</f>
        <v/>
      </c>
      <c r="G469" t="s"/>
      <c r="H469" t="s"/>
      <c r="I469" t="s"/>
      <c r="J469" t="n">
        <v>-0.5095</v>
      </c>
      <c r="K469" t="n">
        <v>0.193</v>
      </c>
      <c r="L469" t="n">
        <v>0.8070000000000001</v>
      </c>
      <c r="M469" t="n">
        <v>0</v>
      </c>
    </row>
    <row r="470" spans="1:13">
      <c r="A470" s="1">
        <f>HYPERLINK("http://www.twitter.com/NathanBLawrence/status/994295885143166977", "994295885143166977")</f>
        <v/>
      </c>
      <c r="B470" s="2" t="n">
        <v>43229.80539351852</v>
      </c>
      <c r="C470" t="n">
        <v>0</v>
      </c>
      <c r="D470" t="n">
        <v>822</v>
      </c>
      <c r="E470" t="s">
        <v>481</v>
      </c>
      <c r="F470">
        <f>HYPERLINK("http://pbs.twimg.com/media/Dcsr6uLVAAAItQR.jpg", "http://pbs.twimg.com/media/Dcsr6uLVAAAItQR.jpg")</f>
        <v/>
      </c>
      <c r="G470" t="s"/>
      <c r="H470" t="s"/>
      <c r="I470" t="s"/>
      <c r="J470" t="n">
        <v>0.2477</v>
      </c>
      <c r="K470" t="n">
        <v>0.078</v>
      </c>
      <c r="L470" t="n">
        <v>0.8090000000000001</v>
      </c>
      <c r="M470" t="n">
        <v>0.114</v>
      </c>
    </row>
    <row r="471" spans="1:13">
      <c r="A471" s="1">
        <f>HYPERLINK("http://www.twitter.com/NathanBLawrence/status/994295412185096193", "994295412185096193")</f>
        <v/>
      </c>
      <c r="B471" s="2" t="n">
        <v>43229.80409722222</v>
      </c>
      <c r="C471" t="n">
        <v>24</v>
      </c>
      <c r="D471" t="n">
        <v>20</v>
      </c>
      <c r="E471" t="s">
        <v>482</v>
      </c>
      <c r="F471" t="s"/>
      <c r="G471" t="s"/>
      <c r="H471" t="s"/>
      <c r="I471" t="s"/>
      <c r="J471" t="n">
        <v>-0.5266999999999999</v>
      </c>
      <c r="K471" t="n">
        <v>0.239</v>
      </c>
      <c r="L471" t="n">
        <v>0.761</v>
      </c>
      <c r="M471" t="n">
        <v>0</v>
      </c>
    </row>
    <row r="472" spans="1:13">
      <c r="A472" s="1">
        <f>HYPERLINK("http://www.twitter.com/NathanBLawrence/status/994295019392598017", "994295019392598017")</f>
        <v/>
      </c>
      <c r="B472" s="2" t="n">
        <v>43229.80300925926</v>
      </c>
      <c r="C472" t="n">
        <v>0</v>
      </c>
      <c r="D472" t="n">
        <v>4</v>
      </c>
      <c r="E472" t="s">
        <v>483</v>
      </c>
      <c r="F472" t="s"/>
      <c r="G472" t="s"/>
      <c r="H472" t="s"/>
      <c r="I472" t="s"/>
      <c r="J472" t="n">
        <v>0.9530999999999999</v>
      </c>
      <c r="K472" t="n">
        <v>0</v>
      </c>
      <c r="L472" t="n">
        <v>0.355</v>
      </c>
      <c r="M472" t="n">
        <v>0.645</v>
      </c>
    </row>
    <row r="473" spans="1:13">
      <c r="A473" s="1">
        <f>HYPERLINK("http://www.twitter.com/NathanBLawrence/status/994294284881981441", "994294284881981441")</f>
        <v/>
      </c>
      <c r="B473" s="2" t="n">
        <v>43229.8009837963</v>
      </c>
      <c r="C473" t="n">
        <v>0</v>
      </c>
      <c r="D473" t="n">
        <v>90</v>
      </c>
      <c r="E473" t="s">
        <v>484</v>
      </c>
      <c r="F473">
        <f>HYPERLINK("http://pbs.twimg.com/media/DcxUYUQXkAAOVTj.jpg", "http://pbs.twimg.com/media/DcxUYUQXkAAOVTj.jpg")</f>
        <v/>
      </c>
      <c r="G473" t="s"/>
      <c r="H473" t="s"/>
      <c r="I473" t="s"/>
      <c r="J473" t="n">
        <v>0</v>
      </c>
      <c r="K473" t="n">
        <v>0</v>
      </c>
      <c r="L473" t="n">
        <v>1</v>
      </c>
      <c r="M473" t="n">
        <v>0</v>
      </c>
    </row>
    <row r="474" spans="1:13">
      <c r="A474" s="1">
        <f>HYPERLINK("http://www.twitter.com/NathanBLawrence/status/994294163230339076", "994294163230339076")</f>
        <v/>
      </c>
      <c r="B474" s="2" t="n">
        <v>43229.80064814815</v>
      </c>
      <c r="C474" t="n">
        <v>0</v>
      </c>
      <c r="D474" t="n">
        <v>621</v>
      </c>
      <c r="E474" t="s">
        <v>485</v>
      </c>
      <c r="F474">
        <f>HYPERLINK("http://pbs.twimg.com/media/DcwdA6LV4AEOjZa.jpg", "http://pbs.twimg.com/media/DcwdA6LV4AEOjZa.jpg")</f>
        <v/>
      </c>
      <c r="G474" t="s"/>
      <c r="H474" t="s"/>
      <c r="I474" t="s"/>
      <c r="J474" t="n">
        <v>-0.3612</v>
      </c>
      <c r="K474" t="n">
        <v>0.106</v>
      </c>
      <c r="L474" t="n">
        <v>0.894</v>
      </c>
      <c r="M474" t="n">
        <v>0</v>
      </c>
    </row>
    <row r="475" spans="1:13">
      <c r="A475" s="1">
        <f>HYPERLINK("http://www.twitter.com/NathanBLawrence/status/994293940273729536", "994293940273729536")</f>
        <v/>
      </c>
      <c r="B475" s="2" t="n">
        <v>43229.80003472222</v>
      </c>
      <c r="C475" t="n">
        <v>2</v>
      </c>
      <c r="D475" t="n">
        <v>0</v>
      </c>
      <c r="E475" t="s">
        <v>486</v>
      </c>
      <c r="F475" t="s"/>
      <c r="G475" t="s"/>
      <c r="H475" t="s"/>
      <c r="I475" t="s"/>
      <c r="J475" t="n">
        <v>0</v>
      </c>
      <c r="K475" t="n">
        <v>0</v>
      </c>
      <c r="L475" t="n">
        <v>1</v>
      </c>
      <c r="M475" t="n">
        <v>0</v>
      </c>
    </row>
    <row r="476" spans="1:13">
      <c r="A476" s="1">
        <f>HYPERLINK("http://www.twitter.com/NathanBLawrence/status/994293439788351489", "994293439788351489")</f>
        <v/>
      </c>
      <c r="B476" s="2" t="n">
        <v>43229.79864583333</v>
      </c>
      <c r="C476" t="n">
        <v>13</v>
      </c>
      <c r="D476" t="n">
        <v>11</v>
      </c>
      <c r="E476" t="s">
        <v>487</v>
      </c>
      <c r="F476" t="s"/>
      <c r="G476" t="s"/>
      <c r="H476" t="s"/>
      <c r="I476" t="s"/>
      <c r="J476" t="n">
        <v>0.75</v>
      </c>
      <c r="K476" t="n">
        <v>0</v>
      </c>
      <c r="L476" t="n">
        <v>0.385</v>
      </c>
      <c r="M476" t="n">
        <v>0.615</v>
      </c>
    </row>
    <row r="477" spans="1:13">
      <c r="A477" s="1">
        <f>HYPERLINK("http://www.twitter.com/NathanBLawrence/status/994292932663480320", "994292932663480320")</f>
        <v/>
      </c>
      <c r="B477" s="2" t="n">
        <v>43229.79724537037</v>
      </c>
      <c r="C477" t="n">
        <v>0</v>
      </c>
      <c r="D477" t="n">
        <v>2</v>
      </c>
      <c r="E477" t="s">
        <v>488</v>
      </c>
      <c r="F477">
        <f>HYPERLINK("http://pbs.twimg.com/media/DcBZ90rXUAA7Eu7.jpg", "http://pbs.twimg.com/media/DcBZ90rXUAA7Eu7.jpg")</f>
        <v/>
      </c>
      <c r="G477" t="s"/>
      <c r="H477" t="s"/>
      <c r="I477" t="s"/>
      <c r="J477" t="n">
        <v>0.5106000000000001</v>
      </c>
      <c r="K477" t="n">
        <v>0</v>
      </c>
      <c r="L477" t="n">
        <v>0.8090000000000001</v>
      </c>
      <c r="M477" t="n">
        <v>0.191</v>
      </c>
    </row>
    <row r="478" spans="1:13">
      <c r="A478" s="1">
        <f>HYPERLINK("http://www.twitter.com/NathanBLawrence/status/994080162147979264", "994080162147979264")</f>
        <v/>
      </c>
      <c r="B478" s="2" t="n">
        <v>43229.21011574074</v>
      </c>
      <c r="C478" t="n">
        <v>0</v>
      </c>
      <c r="D478" t="n">
        <v>1070</v>
      </c>
      <c r="E478" t="s">
        <v>489</v>
      </c>
      <c r="F478">
        <f>HYPERLINK("http://pbs.twimg.com/media/DctDktUUQAAFaba.jpg", "http://pbs.twimg.com/media/DctDktUUQAAFaba.jpg")</f>
        <v/>
      </c>
      <c r="G478" t="s"/>
      <c r="H478" t="s"/>
      <c r="I478" t="s"/>
      <c r="J478" t="n">
        <v>0.2577</v>
      </c>
      <c r="K478" t="n">
        <v>0.127</v>
      </c>
      <c r="L478" t="n">
        <v>0.701</v>
      </c>
      <c r="M478" t="n">
        <v>0.172</v>
      </c>
    </row>
    <row r="479" spans="1:13">
      <c r="A479" s="1">
        <f>HYPERLINK("http://www.twitter.com/NathanBLawrence/status/994080116778127363", "994080116778127363")</f>
        <v/>
      </c>
      <c r="B479" s="2" t="n">
        <v>43229.20998842592</v>
      </c>
      <c r="C479" t="n">
        <v>0</v>
      </c>
      <c r="D479" t="n">
        <v>0</v>
      </c>
      <c r="E479" t="s">
        <v>490</v>
      </c>
      <c r="F479" t="s"/>
      <c r="G479" t="s"/>
      <c r="H479" t="s"/>
      <c r="I479" t="s"/>
      <c r="J479" t="n">
        <v>0</v>
      </c>
      <c r="K479" t="n">
        <v>0</v>
      </c>
      <c r="L479" t="n">
        <v>1</v>
      </c>
      <c r="M479" t="n">
        <v>0</v>
      </c>
    </row>
    <row r="480" spans="1:13">
      <c r="A480" s="1">
        <f>HYPERLINK("http://www.twitter.com/NathanBLawrence/status/994079891573432320", "994079891573432320")</f>
        <v/>
      </c>
      <c r="B480" s="2" t="n">
        <v>43229.20936342593</v>
      </c>
      <c r="C480" t="n">
        <v>0</v>
      </c>
      <c r="D480" t="n">
        <v>1326</v>
      </c>
      <c r="E480" t="s">
        <v>491</v>
      </c>
      <c r="F480" t="s"/>
      <c r="G480" t="s"/>
      <c r="H480" t="s"/>
      <c r="I480" t="s"/>
      <c r="J480" t="n">
        <v>0.2263</v>
      </c>
      <c r="K480" t="n">
        <v>0.091</v>
      </c>
      <c r="L480" t="n">
        <v>0.782</v>
      </c>
      <c r="M480" t="n">
        <v>0.128</v>
      </c>
    </row>
    <row r="481" spans="1:13">
      <c r="A481" s="1">
        <f>HYPERLINK("http://www.twitter.com/NathanBLawrence/status/994079759989723137", "994079759989723137")</f>
        <v/>
      </c>
      <c r="B481" s="2" t="n">
        <v>43229.20900462963</v>
      </c>
      <c r="C481" t="n">
        <v>0</v>
      </c>
      <c r="D481" t="n">
        <v>297</v>
      </c>
      <c r="E481" t="s">
        <v>492</v>
      </c>
      <c r="F481">
        <f>HYPERLINK("http://pbs.twimg.com/media/DcrSYyZWsAAe8i-.jpg", "http://pbs.twimg.com/media/DcrSYyZWsAAe8i-.jpg")</f>
        <v/>
      </c>
      <c r="G481" t="s"/>
      <c r="H481" t="s"/>
      <c r="I481" t="s"/>
      <c r="J481" t="n">
        <v>0</v>
      </c>
      <c r="K481" t="n">
        <v>0</v>
      </c>
      <c r="L481" t="n">
        <v>1</v>
      </c>
      <c r="M481" t="n">
        <v>0</v>
      </c>
    </row>
    <row r="482" spans="1:13">
      <c r="A482" s="1">
        <f>HYPERLINK("http://www.twitter.com/NathanBLawrence/status/994079638749052929", "994079638749052929")</f>
        <v/>
      </c>
      <c r="B482" s="2" t="n">
        <v>43229.20866898148</v>
      </c>
      <c r="C482" t="n">
        <v>0</v>
      </c>
      <c r="D482" t="n">
        <v>27264</v>
      </c>
      <c r="E482" t="s">
        <v>493</v>
      </c>
      <c r="F482" t="s"/>
      <c r="G482" t="s"/>
      <c r="H482" t="s"/>
      <c r="I482" t="s"/>
      <c r="J482" t="n">
        <v>0.8155</v>
      </c>
      <c r="K482" t="n">
        <v>0</v>
      </c>
      <c r="L482" t="n">
        <v>0.668</v>
      </c>
      <c r="M482" t="n">
        <v>0.332</v>
      </c>
    </row>
    <row r="483" spans="1:13">
      <c r="A483" s="1">
        <f>HYPERLINK("http://www.twitter.com/NathanBLawrence/status/994079337476435968", "994079337476435968")</f>
        <v/>
      </c>
      <c r="B483" s="2" t="n">
        <v>43229.20783564815</v>
      </c>
      <c r="C483" t="n">
        <v>0</v>
      </c>
      <c r="D483" t="n">
        <v>857</v>
      </c>
      <c r="E483" t="s">
        <v>494</v>
      </c>
      <c r="F483">
        <f>HYPERLINK("http://pbs.twimg.com/media/DchX8pIVwAARUwD.jpg", "http://pbs.twimg.com/media/DchX8pIVwAARUwD.jpg")</f>
        <v/>
      </c>
      <c r="G483" t="s"/>
      <c r="H483" t="s"/>
      <c r="I483" t="s"/>
      <c r="J483" t="n">
        <v>0</v>
      </c>
      <c r="K483" t="n">
        <v>0</v>
      </c>
      <c r="L483" t="n">
        <v>1</v>
      </c>
      <c r="M483" t="n">
        <v>0</v>
      </c>
    </row>
    <row r="484" spans="1:13">
      <c r="A484" s="1">
        <f>HYPERLINK("http://www.twitter.com/NathanBLawrence/status/994079248053866497", "994079248053866497")</f>
        <v/>
      </c>
      <c r="B484" s="2" t="n">
        <v>43229.20759259259</v>
      </c>
      <c r="C484" t="n">
        <v>0</v>
      </c>
      <c r="D484" t="n">
        <v>393</v>
      </c>
      <c r="E484" t="s">
        <v>495</v>
      </c>
      <c r="F484">
        <f>HYPERLINK("http://pbs.twimg.com/media/Dcs0vHiVAAAT6OR.jpg", "http://pbs.twimg.com/media/Dcs0vHiVAAAT6OR.jpg")</f>
        <v/>
      </c>
      <c r="G484" t="s"/>
      <c r="H484" t="s"/>
      <c r="I484" t="s"/>
      <c r="J484" t="n">
        <v>-0.2244</v>
      </c>
      <c r="K484" t="n">
        <v>0.1</v>
      </c>
      <c r="L484" t="n">
        <v>0.9</v>
      </c>
      <c r="M484" t="n">
        <v>0</v>
      </c>
    </row>
    <row r="485" spans="1:13">
      <c r="A485" s="1">
        <f>HYPERLINK("http://www.twitter.com/NathanBLawrence/status/994078756808593409", "994078756808593409")</f>
        <v/>
      </c>
      <c r="B485" s="2" t="n">
        <v>43229.20623842593</v>
      </c>
      <c r="C485" t="n">
        <v>0</v>
      </c>
      <c r="D485" t="n">
        <v>2486</v>
      </c>
      <c r="E485" t="s">
        <v>496</v>
      </c>
      <c r="F485" t="s"/>
      <c r="G485" t="s"/>
      <c r="H485" t="s"/>
      <c r="I485" t="s"/>
      <c r="J485" t="n">
        <v>-0.9136</v>
      </c>
      <c r="K485" t="n">
        <v>0.414</v>
      </c>
      <c r="L485" t="n">
        <v>0.586</v>
      </c>
      <c r="M485" t="n">
        <v>0</v>
      </c>
    </row>
    <row r="486" spans="1:13">
      <c r="A486" s="1">
        <f>HYPERLINK("http://www.twitter.com/NathanBLawrence/status/994078534007173121", "994078534007173121")</f>
        <v/>
      </c>
      <c r="B486" s="2" t="n">
        <v>43229.205625</v>
      </c>
      <c r="C486" t="n">
        <v>0</v>
      </c>
      <c r="D486" t="n">
        <v>203</v>
      </c>
      <c r="E486" t="s">
        <v>497</v>
      </c>
      <c r="F486" t="s"/>
      <c r="G486" t="s"/>
      <c r="H486" t="s"/>
      <c r="I486" t="s"/>
      <c r="J486" t="n">
        <v>0.3818</v>
      </c>
      <c r="K486" t="n">
        <v>0</v>
      </c>
      <c r="L486" t="n">
        <v>0.89</v>
      </c>
      <c r="M486" t="n">
        <v>0.11</v>
      </c>
    </row>
    <row r="487" spans="1:13">
      <c r="A487" s="1">
        <f>HYPERLINK("http://www.twitter.com/NathanBLawrence/status/994078435806011392", "994078435806011392")</f>
        <v/>
      </c>
      <c r="B487" s="2" t="n">
        <v>43229.20534722223</v>
      </c>
      <c r="C487" t="n">
        <v>0</v>
      </c>
      <c r="D487" t="n">
        <v>204</v>
      </c>
      <c r="E487" t="s">
        <v>498</v>
      </c>
      <c r="F487">
        <f>HYPERLINK("http://pbs.twimg.com/media/Dcuq69AWkAAU8Uw.jpg", "http://pbs.twimg.com/media/Dcuq69AWkAAU8Uw.jpg")</f>
        <v/>
      </c>
      <c r="G487" t="s"/>
      <c r="H487" t="s"/>
      <c r="I487" t="s"/>
      <c r="J487" t="n">
        <v>0.6124000000000001</v>
      </c>
      <c r="K487" t="n">
        <v>0</v>
      </c>
      <c r="L487" t="n">
        <v>0.583</v>
      </c>
      <c r="M487" t="n">
        <v>0.417</v>
      </c>
    </row>
    <row r="488" spans="1:13">
      <c r="A488" s="1">
        <f>HYPERLINK("http://www.twitter.com/NathanBLawrence/status/994078113859620864", "994078113859620864")</f>
        <v/>
      </c>
      <c r="B488" s="2" t="n">
        <v>43229.20446759259</v>
      </c>
      <c r="C488" t="n">
        <v>0</v>
      </c>
      <c r="D488" t="n">
        <v>5840</v>
      </c>
      <c r="E488" t="s">
        <v>499</v>
      </c>
      <c r="F488">
        <f>HYPERLINK("http://pbs.twimg.com/media/Dcpm7EfUwAA33tE.jpg", "http://pbs.twimg.com/media/Dcpm7EfUwAA33tE.jpg")</f>
        <v/>
      </c>
      <c r="G488" t="s"/>
      <c r="H488" t="s"/>
      <c r="I488" t="s"/>
      <c r="J488" t="n">
        <v>-0.2003</v>
      </c>
      <c r="K488" t="n">
        <v>0.179</v>
      </c>
      <c r="L488" t="n">
        <v>0.598</v>
      </c>
      <c r="M488" t="n">
        <v>0.222</v>
      </c>
    </row>
    <row r="489" spans="1:13">
      <c r="A489" s="1">
        <f>HYPERLINK("http://www.twitter.com/NathanBLawrence/status/994077950411763712", "994077950411763712")</f>
        <v/>
      </c>
      <c r="B489" s="2" t="n">
        <v>43229.2040162037</v>
      </c>
      <c r="C489" t="n">
        <v>0</v>
      </c>
      <c r="D489" t="n">
        <v>420</v>
      </c>
      <c r="E489" t="s">
        <v>500</v>
      </c>
      <c r="F489">
        <f>HYPERLINK("http://pbs.twimg.com/media/DctaOVgUQAAhMx3.jpg", "http://pbs.twimg.com/media/DctaOVgUQAAhMx3.jpg")</f>
        <v/>
      </c>
      <c r="G489" t="s"/>
      <c r="H489" t="s"/>
      <c r="I489" t="s"/>
      <c r="J489" t="n">
        <v>0.7506</v>
      </c>
      <c r="K489" t="n">
        <v>0</v>
      </c>
      <c r="L489" t="n">
        <v>0.738</v>
      </c>
      <c r="M489" t="n">
        <v>0.262</v>
      </c>
    </row>
    <row r="490" spans="1:13">
      <c r="A490" s="1">
        <f>HYPERLINK("http://www.twitter.com/NathanBLawrence/status/994076337978658816", "994076337978658816")</f>
        <v/>
      </c>
      <c r="B490" s="2" t="n">
        <v>43229.19956018519</v>
      </c>
      <c r="C490" t="n">
        <v>0</v>
      </c>
      <c r="D490" t="n">
        <v>450</v>
      </c>
      <c r="E490" t="s">
        <v>501</v>
      </c>
      <c r="F490">
        <f>HYPERLINK("http://pbs.twimg.com/media/Dcs069LW0AAFCyi.jpg", "http://pbs.twimg.com/media/Dcs069LW0AAFCyi.jpg")</f>
        <v/>
      </c>
      <c r="G490" t="s"/>
      <c r="H490" t="s"/>
      <c r="I490" t="s"/>
      <c r="J490" t="n">
        <v>0.7597</v>
      </c>
      <c r="K490" t="n">
        <v>0</v>
      </c>
      <c r="L490" t="n">
        <v>0.648</v>
      </c>
      <c r="M490" t="n">
        <v>0.352</v>
      </c>
    </row>
    <row r="491" spans="1:13">
      <c r="A491" s="1">
        <f>HYPERLINK("http://www.twitter.com/NathanBLawrence/status/994076207854555140", "994076207854555140")</f>
        <v/>
      </c>
      <c r="B491" s="2" t="n">
        <v>43229.19920138889</v>
      </c>
      <c r="C491" t="n">
        <v>0</v>
      </c>
      <c r="D491" t="n">
        <v>80</v>
      </c>
      <c r="E491" t="s">
        <v>502</v>
      </c>
      <c r="F491">
        <f>HYPERLINK("https://video.twimg.com/ext_tw_video/993831847380516864/pu/vid/720x720/W1OYG64GSgijTWst.mp4?tag=3", "https://video.twimg.com/ext_tw_video/993831847380516864/pu/vid/720x720/W1OYG64GSgijTWst.mp4?tag=3")</f>
        <v/>
      </c>
      <c r="G491" t="s"/>
      <c r="H491" t="s"/>
      <c r="I491" t="s"/>
      <c r="J491" t="n">
        <v>0.6776</v>
      </c>
      <c r="K491" t="n">
        <v>0</v>
      </c>
      <c r="L491" t="n">
        <v>0.707</v>
      </c>
      <c r="M491" t="n">
        <v>0.293</v>
      </c>
    </row>
    <row r="492" spans="1:13">
      <c r="A492" s="1">
        <f>HYPERLINK("http://www.twitter.com/NathanBLawrence/status/994075945710637056", "994075945710637056")</f>
        <v/>
      </c>
      <c r="B492" s="2" t="n">
        <v>43229.1984837963</v>
      </c>
      <c r="C492" t="n">
        <v>0</v>
      </c>
      <c r="D492" t="n">
        <v>7557</v>
      </c>
      <c r="E492" t="s">
        <v>503</v>
      </c>
      <c r="F492">
        <f>HYPERLINK("http://pbs.twimg.com/media/DQaSunZVQAAgUJ5.jpg", "http://pbs.twimg.com/media/DQaSunZVQAAgUJ5.jpg")</f>
        <v/>
      </c>
      <c r="G492" t="s"/>
      <c r="H492" t="s"/>
      <c r="I492" t="s"/>
      <c r="J492" t="n">
        <v>0.4199</v>
      </c>
      <c r="K492" t="n">
        <v>0</v>
      </c>
      <c r="L492" t="n">
        <v>0.715</v>
      </c>
      <c r="M492" t="n">
        <v>0.285</v>
      </c>
    </row>
    <row r="493" spans="1:13">
      <c r="A493" s="1">
        <f>HYPERLINK("http://www.twitter.com/NathanBLawrence/status/994075578025332737", "994075578025332737")</f>
        <v/>
      </c>
      <c r="B493" s="2" t="n">
        <v>43229.19746527778</v>
      </c>
      <c r="C493" t="n">
        <v>0</v>
      </c>
      <c r="D493" t="n">
        <v>63</v>
      </c>
      <c r="E493" t="s">
        <v>504</v>
      </c>
      <c r="F493" t="s"/>
      <c r="G493" t="s"/>
      <c r="H493" t="s"/>
      <c r="I493" t="s"/>
      <c r="J493" t="n">
        <v>-0.2732</v>
      </c>
      <c r="K493" t="n">
        <v>0.223</v>
      </c>
      <c r="L493" t="n">
        <v>0.651</v>
      </c>
      <c r="M493" t="n">
        <v>0.126</v>
      </c>
    </row>
    <row r="494" spans="1:13">
      <c r="A494" s="1">
        <f>HYPERLINK("http://www.twitter.com/NathanBLawrence/status/994074815970578432", "994074815970578432")</f>
        <v/>
      </c>
      <c r="B494" s="2" t="n">
        <v>43229.1953587963</v>
      </c>
      <c r="C494" t="n">
        <v>0</v>
      </c>
      <c r="D494" t="n">
        <v>4824</v>
      </c>
      <c r="E494" t="s">
        <v>505</v>
      </c>
      <c r="F494">
        <f>HYPERLINK("https://video.twimg.com/amplify_video/992869958337093637/vid/1280x720/9WKSweLSAtEigJ5m.mp4?tag=2", "https://video.twimg.com/amplify_video/992869958337093637/vid/1280x720/9WKSweLSAtEigJ5m.mp4?tag=2")</f>
        <v/>
      </c>
      <c r="G494" t="s"/>
      <c r="H494" t="s"/>
      <c r="I494" t="s"/>
      <c r="J494" t="n">
        <v>0.5719</v>
      </c>
      <c r="K494" t="n">
        <v>0</v>
      </c>
      <c r="L494" t="n">
        <v>0.85</v>
      </c>
      <c r="M494" t="n">
        <v>0.15</v>
      </c>
    </row>
    <row r="495" spans="1:13">
      <c r="A495" s="1">
        <f>HYPERLINK("http://www.twitter.com/NathanBLawrence/status/994074682822455303", "994074682822455303")</f>
        <v/>
      </c>
      <c r="B495" s="2" t="n">
        <v>43229.195</v>
      </c>
      <c r="C495" t="n">
        <v>0</v>
      </c>
      <c r="D495" t="n">
        <v>29</v>
      </c>
      <c r="E495" t="s">
        <v>506</v>
      </c>
      <c r="F495">
        <f>HYPERLINK("http://pbs.twimg.com/media/Dcmn5jOXUAIy5M_.jpg", "http://pbs.twimg.com/media/Dcmn5jOXUAIy5M_.jpg")</f>
        <v/>
      </c>
      <c r="G495" t="s"/>
      <c r="H495" t="s"/>
      <c r="I495" t="s"/>
      <c r="J495" t="n">
        <v>0.6408</v>
      </c>
      <c r="K495" t="n">
        <v>0</v>
      </c>
      <c r="L495" t="n">
        <v>0.791</v>
      </c>
      <c r="M495" t="n">
        <v>0.209</v>
      </c>
    </row>
    <row r="496" spans="1:13">
      <c r="A496" s="1">
        <f>HYPERLINK("http://www.twitter.com/NathanBLawrence/status/994074594750468096", "994074594750468096")</f>
        <v/>
      </c>
      <c r="B496" s="2" t="n">
        <v>43229.19475694445</v>
      </c>
      <c r="C496" t="n">
        <v>0</v>
      </c>
      <c r="D496" t="n">
        <v>272</v>
      </c>
      <c r="E496" t="s">
        <v>507</v>
      </c>
      <c r="F496" t="s"/>
      <c r="G496" t="s"/>
      <c r="H496" t="s"/>
      <c r="I496" t="s"/>
      <c r="J496" t="n">
        <v>0.6677999999999999</v>
      </c>
      <c r="K496" t="n">
        <v>0</v>
      </c>
      <c r="L496" t="n">
        <v>0.719</v>
      </c>
      <c r="M496" t="n">
        <v>0.281</v>
      </c>
    </row>
    <row r="497" spans="1:13">
      <c r="A497" s="1">
        <f>HYPERLINK("http://www.twitter.com/NathanBLawrence/status/994074123482685442", "994074123482685442")</f>
        <v/>
      </c>
      <c r="B497" s="2" t="n">
        <v>43229.19344907408</v>
      </c>
      <c r="C497" t="n">
        <v>0</v>
      </c>
      <c r="D497" t="n">
        <v>801</v>
      </c>
      <c r="E497" t="s">
        <v>508</v>
      </c>
      <c r="F497">
        <f>HYPERLINK("http://pbs.twimg.com/media/DcmN4x3VwAEMYjz.jpg", "http://pbs.twimg.com/media/DcmN4x3VwAEMYjz.jpg")</f>
        <v/>
      </c>
      <c r="G497" t="s"/>
      <c r="H497" t="s"/>
      <c r="I497" t="s"/>
      <c r="J497" t="n">
        <v>0.7003</v>
      </c>
      <c r="K497" t="n">
        <v>0</v>
      </c>
      <c r="L497" t="n">
        <v>0.766</v>
      </c>
      <c r="M497" t="n">
        <v>0.234</v>
      </c>
    </row>
    <row r="498" spans="1:13">
      <c r="A498" s="1">
        <f>HYPERLINK("http://www.twitter.com/NathanBLawrence/status/994074091048095745", "994074091048095745")</f>
        <v/>
      </c>
      <c r="B498" s="2" t="n">
        <v>43229.19335648148</v>
      </c>
      <c r="C498" t="n">
        <v>0</v>
      </c>
      <c r="D498" t="n">
        <v>23366</v>
      </c>
      <c r="E498" t="s">
        <v>509</v>
      </c>
      <c r="F498" t="s"/>
      <c r="G498" t="s"/>
      <c r="H498" t="s"/>
      <c r="I498" t="s"/>
      <c r="J498" t="n">
        <v>-0.3612</v>
      </c>
      <c r="K498" t="n">
        <v>0.098</v>
      </c>
      <c r="L498" t="n">
        <v>0.902</v>
      </c>
      <c r="M498" t="n">
        <v>0</v>
      </c>
    </row>
    <row r="499" spans="1:13">
      <c r="A499" s="1">
        <f>HYPERLINK("http://www.twitter.com/NathanBLawrence/status/994074029287002112", "994074029287002112")</f>
        <v/>
      </c>
      <c r="B499" s="2" t="n">
        <v>43229.19319444444</v>
      </c>
      <c r="C499" t="n">
        <v>0</v>
      </c>
      <c r="D499" t="n">
        <v>235</v>
      </c>
      <c r="E499" t="s">
        <v>510</v>
      </c>
      <c r="F499">
        <f>HYPERLINK("http://pbs.twimg.com/media/DcmMCcVU8AIRB2L.jpg", "http://pbs.twimg.com/media/DcmMCcVU8AIRB2L.jpg")</f>
        <v/>
      </c>
      <c r="G499" t="s"/>
      <c r="H499" t="s"/>
      <c r="I499" t="s"/>
      <c r="J499" t="n">
        <v>0.7418</v>
      </c>
      <c r="K499" t="n">
        <v>0</v>
      </c>
      <c r="L499" t="n">
        <v>0.636</v>
      </c>
      <c r="M499" t="n">
        <v>0.364</v>
      </c>
    </row>
    <row r="500" spans="1:13">
      <c r="A500" s="1">
        <f>HYPERLINK("http://www.twitter.com/NathanBLawrence/status/993510494127476741", "993510494127476741")</f>
        <v/>
      </c>
      <c r="B500" s="2" t="n">
        <v>43227.638125</v>
      </c>
      <c r="C500" t="n">
        <v>0</v>
      </c>
      <c r="D500" t="n">
        <v>307</v>
      </c>
      <c r="E500" t="s">
        <v>511</v>
      </c>
      <c r="F500" t="s"/>
      <c r="G500" t="s"/>
      <c r="H500" t="s"/>
      <c r="I500" t="s"/>
      <c r="J500" t="n">
        <v>0</v>
      </c>
      <c r="K500" t="n">
        <v>0</v>
      </c>
      <c r="L500" t="n">
        <v>1</v>
      </c>
      <c r="M500" t="n">
        <v>0</v>
      </c>
    </row>
    <row r="501" spans="1:13">
      <c r="A501" s="1">
        <f>HYPERLINK("http://www.twitter.com/NathanBLawrence/status/993510344629813248", "993510344629813248")</f>
        <v/>
      </c>
      <c r="B501" s="2" t="n">
        <v>43227.6377199074</v>
      </c>
      <c r="C501" t="n">
        <v>0</v>
      </c>
      <c r="D501" t="n">
        <v>492</v>
      </c>
      <c r="E501" t="s">
        <v>512</v>
      </c>
      <c r="F501">
        <f>HYPERLINK("https://video.twimg.com/amplify_video/993494165395836929/vid/1280x720/gRSXKKuDLdqEXc8T.mp4?tag=2", "https://video.twimg.com/amplify_video/993494165395836929/vid/1280x720/gRSXKKuDLdqEXc8T.mp4?tag=2")</f>
        <v/>
      </c>
      <c r="G501" t="s"/>
      <c r="H501" t="s"/>
      <c r="I501" t="s"/>
      <c r="J501" t="n">
        <v>-0.7845</v>
      </c>
      <c r="K501" t="n">
        <v>0.305</v>
      </c>
      <c r="L501" t="n">
        <v>0.695</v>
      </c>
      <c r="M501" t="n">
        <v>0</v>
      </c>
    </row>
    <row r="502" spans="1:13">
      <c r="A502" s="1">
        <f>HYPERLINK("http://www.twitter.com/NathanBLawrence/status/993508625866948609", "993508625866948609")</f>
        <v/>
      </c>
      <c r="B502" s="2" t="n">
        <v>43227.63297453704</v>
      </c>
      <c r="C502" t="n">
        <v>0</v>
      </c>
      <c r="D502" t="n">
        <v>29991</v>
      </c>
      <c r="E502" t="s">
        <v>513</v>
      </c>
      <c r="F502" t="s"/>
      <c r="G502" t="s"/>
      <c r="H502" t="s"/>
      <c r="I502" t="s"/>
      <c r="J502" t="n">
        <v>-0.7003</v>
      </c>
      <c r="K502" t="n">
        <v>0.201</v>
      </c>
      <c r="L502" t="n">
        <v>0.799</v>
      </c>
      <c r="M502" t="n">
        <v>0</v>
      </c>
    </row>
    <row r="503" spans="1:13">
      <c r="A503" s="1">
        <f>HYPERLINK("http://www.twitter.com/NathanBLawrence/status/993508356349448193", "993508356349448193")</f>
        <v/>
      </c>
      <c r="B503" s="2" t="n">
        <v>43227.6322337963</v>
      </c>
      <c r="C503" t="n">
        <v>0</v>
      </c>
      <c r="D503" t="n">
        <v>356</v>
      </c>
      <c r="E503" t="s">
        <v>514</v>
      </c>
      <c r="F503" t="s"/>
      <c r="G503" t="s"/>
      <c r="H503" t="s"/>
      <c r="I503" t="s"/>
      <c r="J503" t="n">
        <v>0.2023</v>
      </c>
      <c r="K503" t="n">
        <v>0.123</v>
      </c>
      <c r="L503" t="n">
        <v>0.6879999999999999</v>
      </c>
      <c r="M503" t="n">
        <v>0.188</v>
      </c>
    </row>
    <row r="504" spans="1:13">
      <c r="A504" s="1">
        <f>HYPERLINK("http://www.twitter.com/NathanBLawrence/status/993508272568197123", "993508272568197123")</f>
        <v/>
      </c>
      <c r="B504" s="2" t="n">
        <v>43227.63200231481</v>
      </c>
      <c r="C504" t="n">
        <v>0</v>
      </c>
      <c r="D504" t="n">
        <v>266</v>
      </c>
      <c r="E504" t="s">
        <v>515</v>
      </c>
      <c r="F504" t="s"/>
      <c r="G504" t="s"/>
      <c r="H504" t="s"/>
      <c r="I504" t="s"/>
      <c r="J504" t="n">
        <v>0</v>
      </c>
      <c r="K504" t="n">
        <v>0</v>
      </c>
      <c r="L504" t="n">
        <v>1</v>
      </c>
      <c r="M504" t="n">
        <v>0</v>
      </c>
    </row>
    <row r="505" spans="1:13">
      <c r="A505" s="1">
        <f>HYPERLINK("http://www.twitter.com/NathanBLawrence/status/993508128858824705", "993508128858824705")</f>
        <v/>
      </c>
      <c r="B505" s="2" t="n">
        <v>43227.6316087963</v>
      </c>
      <c r="C505" t="n">
        <v>0</v>
      </c>
      <c r="D505" t="n">
        <v>393</v>
      </c>
      <c r="E505" t="s">
        <v>516</v>
      </c>
      <c r="F505">
        <f>HYPERLINK("http://pbs.twimg.com/media/DcmcI_EUwAADqJS.jpg", "http://pbs.twimg.com/media/DcmcI_EUwAADqJS.jpg")</f>
        <v/>
      </c>
      <c r="G505" t="s"/>
      <c r="H505" t="s"/>
      <c r="I505" t="s"/>
      <c r="J505" t="n">
        <v>0</v>
      </c>
      <c r="K505" t="n">
        <v>0</v>
      </c>
      <c r="L505" t="n">
        <v>1</v>
      </c>
      <c r="M505" t="n">
        <v>0</v>
      </c>
    </row>
    <row r="506" spans="1:13">
      <c r="A506" s="1">
        <f>HYPERLINK("http://www.twitter.com/NathanBLawrence/status/993506945448411141", "993506945448411141")</f>
        <v/>
      </c>
      <c r="B506" s="2" t="n">
        <v>43227.62833333333</v>
      </c>
      <c r="C506" t="n">
        <v>0</v>
      </c>
      <c r="D506" t="n">
        <v>414</v>
      </c>
      <c r="E506" t="s">
        <v>517</v>
      </c>
      <c r="F506" t="s"/>
      <c r="G506" t="s"/>
      <c r="H506" t="s"/>
      <c r="I506" t="s"/>
      <c r="J506" t="n">
        <v>-0.5994</v>
      </c>
      <c r="K506" t="n">
        <v>0.187</v>
      </c>
      <c r="L506" t="n">
        <v>0.8129999999999999</v>
      </c>
      <c r="M506" t="n">
        <v>0</v>
      </c>
    </row>
    <row r="507" spans="1:13">
      <c r="A507" s="1">
        <f>HYPERLINK("http://www.twitter.com/NathanBLawrence/status/993506423417032706", "993506423417032706")</f>
        <v/>
      </c>
      <c r="B507" s="2" t="n">
        <v>43227.62689814815</v>
      </c>
      <c r="C507" t="n">
        <v>0</v>
      </c>
      <c r="D507" t="n">
        <v>662</v>
      </c>
      <c r="E507" t="s">
        <v>518</v>
      </c>
      <c r="F507" t="s"/>
      <c r="G507" t="s"/>
      <c r="H507" t="s"/>
      <c r="I507" t="s"/>
      <c r="J507" t="n">
        <v>-0.0772</v>
      </c>
      <c r="K507" t="n">
        <v>0.098</v>
      </c>
      <c r="L507" t="n">
        <v>0.8159999999999999</v>
      </c>
      <c r="M507" t="n">
        <v>0.08599999999999999</v>
      </c>
    </row>
    <row r="508" spans="1:13">
      <c r="A508" s="1">
        <f>HYPERLINK("http://www.twitter.com/NathanBLawrence/status/993506127932526592", "993506127932526592")</f>
        <v/>
      </c>
      <c r="B508" s="2" t="n">
        <v>43227.62608796296</v>
      </c>
      <c r="C508" t="n">
        <v>0</v>
      </c>
      <c r="D508" t="n">
        <v>1445</v>
      </c>
      <c r="E508" t="s">
        <v>519</v>
      </c>
      <c r="F508">
        <f>HYPERLINK("http://pbs.twimg.com/media/DckbMJKVwAAz4Ts.jpg", "http://pbs.twimg.com/media/DckbMJKVwAAz4Ts.jpg")</f>
        <v/>
      </c>
      <c r="G508" t="s"/>
      <c r="H508" t="s"/>
      <c r="I508" t="s"/>
      <c r="J508" t="n">
        <v>0.7088</v>
      </c>
      <c r="K508" t="n">
        <v>0</v>
      </c>
      <c r="L508" t="n">
        <v>0.803</v>
      </c>
      <c r="M508" t="n">
        <v>0.197</v>
      </c>
    </row>
    <row r="509" spans="1:13">
      <c r="A509" s="1">
        <f>HYPERLINK("http://www.twitter.com/NathanBLawrence/status/993505285670166530", "993505285670166530")</f>
        <v/>
      </c>
      <c r="B509" s="2" t="n">
        <v>43227.62376157408</v>
      </c>
      <c r="C509" t="n">
        <v>0</v>
      </c>
      <c r="D509" t="n">
        <v>725</v>
      </c>
      <c r="E509" t="s">
        <v>520</v>
      </c>
      <c r="F509" t="s"/>
      <c r="G509" t="s"/>
      <c r="H509" t="s"/>
      <c r="I509" t="s"/>
      <c r="J509" t="n">
        <v>0.926</v>
      </c>
      <c r="K509" t="n">
        <v>0</v>
      </c>
      <c r="L509" t="n">
        <v>0.509</v>
      </c>
      <c r="M509" t="n">
        <v>0.491</v>
      </c>
    </row>
    <row r="510" spans="1:13">
      <c r="A510" s="1">
        <f>HYPERLINK("http://www.twitter.com/NathanBLawrence/status/993505036100624385", "993505036100624385")</f>
        <v/>
      </c>
      <c r="B510" s="2" t="n">
        <v>43227.62306712963</v>
      </c>
      <c r="C510" t="n">
        <v>0</v>
      </c>
      <c r="D510" t="n">
        <v>1653</v>
      </c>
      <c r="E510" t="s">
        <v>521</v>
      </c>
      <c r="F510">
        <f>HYPERLINK("https://video.twimg.com/amplify_video/993325545017565184/vid/1280x720/ahkFi6AW4xEB2Gm3.mp4?tag=2", "https://video.twimg.com/amplify_video/993325545017565184/vid/1280x720/ahkFi6AW4xEB2Gm3.mp4?tag=2")</f>
        <v/>
      </c>
      <c r="G510" t="s"/>
      <c r="H510" t="s"/>
      <c r="I510" t="s"/>
      <c r="J510" t="n">
        <v>0.3818</v>
      </c>
      <c r="K510" t="n">
        <v>0</v>
      </c>
      <c r="L510" t="n">
        <v>0.885</v>
      </c>
      <c r="M510" t="n">
        <v>0.115</v>
      </c>
    </row>
    <row r="511" spans="1:13">
      <c r="A511" s="1">
        <f>HYPERLINK("http://www.twitter.com/NathanBLawrence/status/993504498768404480", "993504498768404480")</f>
        <v/>
      </c>
      <c r="B511" s="2" t="n">
        <v>43227.62158564815</v>
      </c>
      <c r="C511" t="n">
        <v>0</v>
      </c>
      <c r="D511" t="n">
        <v>32958</v>
      </c>
      <c r="E511" t="s">
        <v>522</v>
      </c>
      <c r="F511" t="s"/>
      <c r="G511" t="s"/>
      <c r="H511" t="s"/>
      <c r="I511" t="s"/>
      <c r="J511" t="n">
        <v>-0.6361</v>
      </c>
      <c r="K511" t="n">
        <v>0.252</v>
      </c>
      <c r="L511" t="n">
        <v>0.648</v>
      </c>
      <c r="M511" t="n">
        <v>0.101</v>
      </c>
    </row>
    <row r="512" spans="1:13">
      <c r="A512" s="1">
        <f>HYPERLINK("http://www.twitter.com/NathanBLawrence/status/993504446578601985", "993504446578601985")</f>
        <v/>
      </c>
      <c r="B512" s="2" t="n">
        <v>43227.62144675926</v>
      </c>
      <c r="C512" t="n">
        <v>0</v>
      </c>
      <c r="D512" t="n">
        <v>983</v>
      </c>
      <c r="E512" t="s">
        <v>523</v>
      </c>
      <c r="F512" t="s"/>
      <c r="G512" t="s"/>
      <c r="H512" t="s"/>
      <c r="I512" t="s"/>
      <c r="J512" t="n">
        <v>0</v>
      </c>
      <c r="K512" t="n">
        <v>0</v>
      </c>
      <c r="L512" t="n">
        <v>1</v>
      </c>
      <c r="M512" t="n">
        <v>0</v>
      </c>
    </row>
    <row r="513" spans="1:13">
      <c r="A513" s="1">
        <f>HYPERLINK("http://www.twitter.com/NathanBLawrence/status/993504337631555584", "993504337631555584")</f>
        <v/>
      </c>
      <c r="B513" s="2" t="n">
        <v>43227.62114583333</v>
      </c>
      <c r="C513" t="n">
        <v>0</v>
      </c>
      <c r="D513" t="n">
        <v>2584</v>
      </c>
      <c r="E513" t="s">
        <v>524</v>
      </c>
      <c r="F513" t="s"/>
      <c r="G513" t="s"/>
      <c r="H513" t="s"/>
      <c r="I513" t="s"/>
      <c r="J513" t="n">
        <v>-0.4588</v>
      </c>
      <c r="K513" t="n">
        <v>0.115</v>
      </c>
      <c r="L513" t="n">
        <v>0.885</v>
      </c>
      <c r="M513" t="n">
        <v>0</v>
      </c>
    </row>
    <row r="514" spans="1:13">
      <c r="A514" s="1">
        <f>HYPERLINK("http://www.twitter.com/NathanBLawrence/status/993504235936509952", "993504235936509952")</f>
        <v/>
      </c>
      <c r="B514" s="2" t="n">
        <v>43227.62085648148</v>
      </c>
      <c r="C514" t="n">
        <v>0</v>
      </c>
      <c r="D514" t="n">
        <v>3675</v>
      </c>
      <c r="E514" t="s">
        <v>525</v>
      </c>
      <c r="F514" t="s"/>
      <c r="G514" t="s"/>
      <c r="H514" t="s"/>
      <c r="I514" t="s"/>
      <c r="J514" t="n">
        <v>-0.2732</v>
      </c>
      <c r="K514" t="n">
        <v>0.08</v>
      </c>
      <c r="L514" t="n">
        <v>0.92</v>
      </c>
      <c r="M514" t="n">
        <v>0</v>
      </c>
    </row>
    <row r="515" spans="1:13">
      <c r="A515" s="1">
        <f>HYPERLINK("http://www.twitter.com/NathanBLawrence/status/993504176729743361", "993504176729743361")</f>
        <v/>
      </c>
      <c r="B515" s="2" t="n">
        <v>43227.62069444444</v>
      </c>
      <c r="C515" t="n">
        <v>0</v>
      </c>
      <c r="D515" t="n">
        <v>1134</v>
      </c>
      <c r="E515" t="s">
        <v>526</v>
      </c>
      <c r="F515" t="s"/>
      <c r="G515" t="s"/>
      <c r="H515" t="s"/>
      <c r="I515" t="s"/>
      <c r="J515" t="n">
        <v>0</v>
      </c>
      <c r="K515" t="n">
        <v>0</v>
      </c>
      <c r="L515" t="n">
        <v>1</v>
      </c>
      <c r="M515" t="n">
        <v>0</v>
      </c>
    </row>
    <row r="516" spans="1:13">
      <c r="A516" s="1">
        <f>HYPERLINK("http://www.twitter.com/NathanBLawrence/status/993504087848124418", "993504087848124418")</f>
        <v/>
      </c>
      <c r="B516" s="2" t="n">
        <v>43227.62045138889</v>
      </c>
      <c r="C516" t="n">
        <v>0</v>
      </c>
      <c r="D516" t="n">
        <v>1366</v>
      </c>
      <c r="E516" t="s">
        <v>527</v>
      </c>
      <c r="F516">
        <f>HYPERLINK("http://pbs.twimg.com/media/DcmUSSSXcAA7HID.jpg", "http://pbs.twimg.com/media/DcmUSSSXcAA7HID.jpg")</f>
        <v/>
      </c>
      <c r="G516">
        <f>HYPERLINK("http://pbs.twimg.com/media/DcmUScQX0AI6gAL.jpg", "http://pbs.twimg.com/media/DcmUScQX0AI6gAL.jpg")</f>
        <v/>
      </c>
      <c r="H516" t="s"/>
      <c r="I516" t="s"/>
      <c r="J516" t="n">
        <v>0.6597</v>
      </c>
      <c r="K516" t="n">
        <v>0</v>
      </c>
      <c r="L516" t="n">
        <v>0.803</v>
      </c>
      <c r="M516" t="n">
        <v>0.197</v>
      </c>
    </row>
    <row r="517" spans="1:13">
      <c r="A517" s="1">
        <f>HYPERLINK("http://www.twitter.com/NathanBLawrence/status/993312562342178816", "993312562342178816")</f>
        <v/>
      </c>
      <c r="B517" s="2" t="n">
        <v>43227.09194444444</v>
      </c>
      <c r="C517" t="n">
        <v>15</v>
      </c>
      <c r="D517" t="n">
        <v>2</v>
      </c>
      <c r="E517" t="s">
        <v>528</v>
      </c>
      <c r="F517">
        <f>HYPERLINK("http://pbs.twimg.com/media/Dcj0gsbWAAArlG8.jpg", "http://pbs.twimg.com/media/Dcj0gsbWAAArlG8.jpg")</f>
        <v/>
      </c>
      <c r="G517" t="s"/>
      <c r="H517" t="s"/>
      <c r="I517" t="s"/>
      <c r="J517" t="n">
        <v>0</v>
      </c>
      <c r="K517" t="n">
        <v>0</v>
      </c>
      <c r="L517" t="n">
        <v>1</v>
      </c>
      <c r="M517" t="n">
        <v>0</v>
      </c>
    </row>
    <row r="518" spans="1:13">
      <c r="A518" s="1">
        <f>HYPERLINK("http://www.twitter.com/NathanBLawrence/status/993113735777501184", "993113735777501184")</f>
        <v/>
      </c>
      <c r="B518" s="2" t="n">
        <v>43226.54328703704</v>
      </c>
      <c r="C518" t="n">
        <v>0</v>
      </c>
      <c r="D518" t="n">
        <v>87</v>
      </c>
      <c r="E518" t="s">
        <v>529</v>
      </c>
      <c r="F518">
        <f>HYPERLINK("http://pbs.twimg.com/media/Dcg0sZEX0AEPxKT.jpg", "http://pbs.twimg.com/media/Dcg0sZEX0AEPxKT.jpg")</f>
        <v/>
      </c>
      <c r="G518" t="s"/>
      <c r="H518" t="s"/>
      <c r="I518" t="s"/>
      <c r="J518" t="n">
        <v>-0.9036999999999999</v>
      </c>
      <c r="K518" t="n">
        <v>0.437</v>
      </c>
      <c r="L518" t="n">
        <v>0.5629999999999999</v>
      </c>
      <c r="M518" t="n">
        <v>0</v>
      </c>
    </row>
    <row r="519" spans="1:13">
      <c r="A519" s="1">
        <f>HYPERLINK("http://www.twitter.com/NathanBLawrence/status/993113530739056640", "993113530739056640")</f>
        <v/>
      </c>
      <c r="B519" s="2" t="n">
        <v>43226.5427199074</v>
      </c>
      <c r="C519" t="n">
        <v>0</v>
      </c>
      <c r="D519" t="n">
        <v>768</v>
      </c>
      <c r="E519" t="s">
        <v>530</v>
      </c>
      <c r="F519">
        <f>HYPERLINK("https://video.twimg.com/ext_tw_video/992849533934583808/pu/vid/720x720/TC2ylQDlLEZD00S1.mp4?tag=3", "https://video.twimg.com/ext_tw_video/992849533934583808/pu/vid/720x720/TC2ylQDlLEZD00S1.mp4?tag=3")</f>
        <v/>
      </c>
      <c r="G519" t="s"/>
      <c r="H519" t="s"/>
      <c r="I519" t="s"/>
      <c r="J519" t="n">
        <v>-0.6705</v>
      </c>
      <c r="K519" t="n">
        <v>0.257</v>
      </c>
      <c r="L519" t="n">
        <v>0.661</v>
      </c>
      <c r="M519" t="n">
        <v>0.082</v>
      </c>
    </row>
    <row r="520" spans="1:13">
      <c r="A520" s="1">
        <f>HYPERLINK("http://www.twitter.com/NathanBLawrence/status/993113452028739584", "993113452028739584")</f>
        <v/>
      </c>
      <c r="B520" s="2" t="n">
        <v>43226.5425</v>
      </c>
      <c r="C520" t="n">
        <v>0</v>
      </c>
      <c r="D520" t="n">
        <v>537</v>
      </c>
      <c r="E520" t="s">
        <v>531</v>
      </c>
      <c r="F520" t="s"/>
      <c r="G520" t="s"/>
      <c r="H520" t="s"/>
      <c r="I520" t="s"/>
      <c r="J520" t="n">
        <v>0.2105</v>
      </c>
      <c r="K520" t="n">
        <v>0.059</v>
      </c>
      <c r="L520" t="n">
        <v>0.852</v>
      </c>
      <c r="M520" t="n">
        <v>0.089</v>
      </c>
    </row>
    <row r="521" spans="1:13">
      <c r="A521" s="1">
        <f>HYPERLINK("http://www.twitter.com/NathanBLawrence/status/993113394369642496", "993113394369642496")</f>
        <v/>
      </c>
      <c r="B521" s="2" t="n">
        <v>43226.54234953703</v>
      </c>
      <c r="C521" t="n">
        <v>0</v>
      </c>
      <c r="D521" t="n">
        <v>38</v>
      </c>
      <c r="E521" t="s">
        <v>532</v>
      </c>
      <c r="F521" t="s"/>
      <c r="G521" t="s"/>
      <c r="H521" t="s"/>
      <c r="I521" t="s"/>
      <c r="J521" t="n">
        <v>-0.3164</v>
      </c>
      <c r="K521" t="n">
        <v>0.16</v>
      </c>
      <c r="L521" t="n">
        <v>0.736</v>
      </c>
      <c r="M521" t="n">
        <v>0.104</v>
      </c>
    </row>
    <row r="522" spans="1:13">
      <c r="A522" s="1">
        <f>HYPERLINK("http://www.twitter.com/NathanBLawrence/status/993113266372014081", "993113266372014081")</f>
        <v/>
      </c>
      <c r="B522" s="2" t="n">
        <v>43226.54199074074</v>
      </c>
      <c r="C522" t="n">
        <v>0</v>
      </c>
      <c r="D522" t="n">
        <v>196</v>
      </c>
      <c r="E522" t="s">
        <v>533</v>
      </c>
      <c r="F522">
        <f>HYPERLINK("http://pbs.twimg.com/media/Dcg11fRVQAErsF8.jpg", "http://pbs.twimg.com/media/Dcg11fRVQAErsF8.jpg")</f>
        <v/>
      </c>
      <c r="G522" t="s"/>
      <c r="H522" t="s"/>
      <c r="I522" t="s"/>
      <c r="J522" t="n">
        <v>0.7249</v>
      </c>
      <c r="K522" t="n">
        <v>0</v>
      </c>
      <c r="L522" t="n">
        <v>0.758</v>
      </c>
      <c r="M522" t="n">
        <v>0.242</v>
      </c>
    </row>
    <row r="523" spans="1:13">
      <c r="A523" s="1">
        <f>HYPERLINK("http://www.twitter.com/NathanBLawrence/status/993113083357806593", "993113083357806593")</f>
        <v/>
      </c>
      <c r="B523" s="2" t="n">
        <v>43226.54148148148</v>
      </c>
      <c r="C523" t="n">
        <v>0</v>
      </c>
      <c r="D523" t="n">
        <v>303</v>
      </c>
      <c r="E523" t="s">
        <v>534</v>
      </c>
      <c r="F523" t="s"/>
      <c r="G523" t="s"/>
      <c r="H523" t="s"/>
      <c r="I523" t="s"/>
      <c r="J523" t="n">
        <v>0.5229</v>
      </c>
      <c r="K523" t="n">
        <v>0.05</v>
      </c>
      <c r="L523" t="n">
        <v>0.799</v>
      </c>
      <c r="M523" t="n">
        <v>0.15</v>
      </c>
    </row>
    <row r="524" spans="1:13">
      <c r="A524" s="1">
        <f>HYPERLINK("http://www.twitter.com/NathanBLawrence/status/993112966957416448", "993112966957416448")</f>
        <v/>
      </c>
      <c r="B524" s="2" t="n">
        <v>43226.54116898148</v>
      </c>
      <c r="C524" t="n">
        <v>0</v>
      </c>
      <c r="D524" t="n">
        <v>290</v>
      </c>
      <c r="E524" t="s">
        <v>535</v>
      </c>
      <c r="F524" t="s"/>
      <c r="G524" t="s"/>
      <c r="H524" t="s"/>
      <c r="I524" t="s"/>
      <c r="J524" t="n">
        <v>0.5266999999999999</v>
      </c>
      <c r="K524" t="n">
        <v>0</v>
      </c>
      <c r="L524" t="n">
        <v>0.8120000000000001</v>
      </c>
      <c r="M524" t="n">
        <v>0.188</v>
      </c>
    </row>
    <row r="525" spans="1:13">
      <c r="A525" s="1">
        <f>HYPERLINK("http://www.twitter.com/NathanBLawrence/status/993112824590168064", "993112824590168064")</f>
        <v/>
      </c>
      <c r="B525" s="2" t="n">
        <v>43226.54077546296</v>
      </c>
      <c r="C525" t="n">
        <v>0</v>
      </c>
      <c r="D525" t="n">
        <v>215</v>
      </c>
      <c r="E525" t="s">
        <v>536</v>
      </c>
      <c r="F525" t="s"/>
      <c r="G525" t="s"/>
      <c r="H525" t="s"/>
      <c r="I525" t="s"/>
      <c r="J525" t="n">
        <v>0</v>
      </c>
      <c r="K525" t="n">
        <v>0</v>
      </c>
      <c r="L525" t="n">
        <v>1</v>
      </c>
      <c r="M525" t="n">
        <v>0</v>
      </c>
    </row>
    <row r="526" spans="1:13">
      <c r="A526" s="1">
        <f>HYPERLINK("http://www.twitter.com/NathanBLawrence/status/993112738942472193", "993112738942472193")</f>
        <v/>
      </c>
      <c r="B526" s="2" t="n">
        <v>43226.54053240741</v>
      </c>
      <c r="C526" t="n">
        <v>0</v>
      </c>
      <c r="D526" t="n">
        <v>6878</v>
      </c>
      <c r="E526" t="s">
        <v>537</v>
      </c>
      <c r="F526">
        <f>HYPERLINK("https://video.twimg.com/amplify_video/993105946200215553/vid/1280x720/ZlN83D187DVcmUW8.mp4?tag=2", "https://video.twimg.com/amplify_video/993105946200215553/vid/1280x720/ZlN83D187DVcmUW8.mp4?tag=2")</f>
        <v/>
      </c>
      <c r="G526" t="s"/>
      <c r="H526" t="s"/>
      <c r="I526" t="s"/>
      <c r="J526" t="n">
        <v>-0.6808</v>
      </c>
      <c r="K526" t="n">
        <v>0.203</v>
      </c>
      <c r="L526" t="n">
        <v>0.797</v>
      </c>
      <c r="M526" t="n">
        <v>0</v>
      </c>
    </row>
    <row r="527" spans="1:13">
      <c r="A527" s="1">
        <f>HYPERLINK("http://www.twitter.com/NathanBLawrence/status/993112637473894400", "993112637473894400")</f>
        <v/>
      </c>
      <c r="B527" s="2" t="n">
        <v>43226.54025462963</v>
      </c>
      <c r="C527" t="n">
        <v>0</v>
      </c>
      <c r="D527" t="n">
        <v>755</v>
      </c>
      <c r="E527" t="s">
        <v>538</v>
      </c>
      <c r="F527">
        <f>HYPERLINK("http://pbs.twimg.com/media/Dcgz6BtVwAAu874.jpg", "http://pbs.twimg.com/media/Dcgz6BtVwAAu874.jpg")</f>
        <v/>
      </c>
      <c r="G527" t="s"/>
      <c r="H527" t="s"/>
      <c r="I527" t="s"/>
      <c r="J527" t="n">
        <v>-0.1027</v>
      </c>
      <c r="K527" t="n">
        <v>0.07199999999999999</v>
      </c>
      <c r="L527" t="n">
        <v>0.928</v>
      </c>
      <c r="M527" t="n">
        <v>0</v>
      </c>
    </row>
    <row r="528" spans="1:13">
      <c r="A528" s="1">
        <f>HYPERLINK("http://www.twitter.com/NathanBLawrence/status/993112540530982915", "993112540530982915")</f>
        <v/>
      </c>
      <c r="B528" s="2" t="n">
        <v>43226.53998842592</v>
      </c>
      <c r="C528" t="n">
        <v>0</v>
      </c>
      <c r="D528" t="n">
        <v>929</v>
      </c>
      <c r="E528" t="s">
        <v>539</v>
      </c>
      <c r="F528" t="s"/>
      <c r="G528" t="s"/>
      <c r="H528" t="s"/>
      <c r="I528" t="s"/>
      <c r="J528" t="n">
        <v>0</v>
      </c>
      <c r="K528" t="n">
        <v>0</v>
      </c>
      <c r="L528" t="n">
        <v>1</v>
      </c>
      <c r="M528" t="n">
        <v>0</v>
      </c>
    </row>
    <row r="529" spans="1:13">
      <c r="A529" s="1">
        <f>HYPERLINK("http://www.twitter.com/NathanBLawrence/status/993111688965570561", "993111688965570561")</f>
        <v/>
      </c>
      <c r="B529" s="2" t="n">
        <v>43226.53763888889</v>
      </c>
      <c r="C529" t="n">
        <v>0</v>
      </c>
      <c r="D529" t="n">
        <v>1184</v>
      </c>
      <c r="E529" t="s">
        <v>540</v>
      </c>
      <c r="F529" t="s"/>
      <c r="G529" t="s"/>
      <c r="H529" t="s"/>
      <c r="I529" t="s"/>
      <c r="J529" t="n">
        <v>0.4939</v>
      </c>
      <c r="K529" t="n">
        <v>0</v>
      </c>
      <c r="L529" t="n">
        <v>0.856</v>
      </c>
      <c r="M529" t="n">
        <v>0.144</v>
      </c>
    </row>
    <row r="530" spans="1:13">
      <c r="A530" s="1">
        <f>HYPERLINK("http://www.twitter.com/NathanBLawrence/status/993111485848080385", "993111485848080385")</f>
        <v/>
      </c>
      <c r="B530" s="2" t="n">
        <v>43226.53708333334</v>
      </c>
      <c r="C530" t="n">
        <v>0</v>
      </c>
      <c r="D530" t="n">
        <v>771</v>
      </c>
      <c r="E530" t="s">
        <v>541</v>
      </c>
      <c r="F530" t="s"/>
      <c r="G530" t="s"/>
      <c r="H530" t="s"/>
      <c r="I530" t="s"/>
      <c r="J530" t="n">
        <v>0.5187</v>
      </c>
      <c r="K530" t="n">
        <v>0.049</v>
      </c>
      <c r="L530" t="n">
        <v>0.763</v>
      </c>
      <c r="M530" t="n">
        <v>0.188</v>
      </c>
    </row>
    <row r="531" spans="1:13">
      <c r="A531" s="1">
        <f>HYPERLINK("http://www.twitter.com/NathanBLawrence/status/993111393007124480", "993111393007124480")</f>
        <v/>
      </c>
      <c r="B531" s="2" t="n">
        <v>43226.53681712963</v>
      </c>
      <c r="C531" t="n">
        <v>0</v>
      </c>
      <c r="D531" t="n">
        <v>11121</v>
      </c>
      <c r="E531" t="s">
        <v>542</v>
      </c>
      <c r="F531" t="s"/>
      <c r="G531" t="s"/>
      <c r="H531" t="s"/>
      <c r="I531" t="s"/>
      <c r="J531" t="n">
        <v>-0.5859</v>
      </c>
      <c r="K531" t="n">
        <v>0.167</v>
      </c>
      <c r="L531" t="n">
        <v>0.833</v>
      </c>
      <c r="M531" t="n">
        <v>0</v>
      </c>
    </row>
    <row r="532" spans="1:13">
      <c r="A532" s="1">
        <f>HYPERLINK("http://www.twitter.com/NathanBLawrence/status/992537767971192832", "992537767971192832")</f>
        <v/>
      </c>
      <c r="B532" s="2" t="n">
        <v>43224.95392361111</v>
      </c>
      <c r="C532" t="n">
        <v>2</v>
      </c>
      <c r="D532" t="n">
        <v>1</v>
      </c>
      <c r="E532" t="s">
        <v>543</v>
      </c>
      <c r="F532" t="s"/>
      <c r="G532" t="s"/>
      <c r="H532" t="s"/>
      <c r="I532" t="s"/>
      <c r="J532" t="n">
        <v>0.784</v>
      </c>
      <c r="K532" t="n">
        <v>0</v>
      </c>
      <c r="L532" t="n">
        <v>0.5659999999999999</v>
      </c>
      <c r="M532" t="n">
        <v>0.434</v>
      </c>
    </row>
    <row r="533" spans="1:13">
      <c r="A533" s="1">
        <f>HYPERLINK("http://www.twitter.com/NathanBLawrence/status/992472789087993856", "992472789087993856")</f>
        <v/>
      </c>
      <c r="B533" s="2" t="n">
        <v>43224.77460648148</v>
      </c>
      <c r="C533" t="n">
        <v>0</v>
      </c>
      <c r="D533" t="n">
        <v>2418</v>
      </c>
      <c r="E533" t="s">
        <v>544</v>
      </c>
      <c r="F533" t="s"/>
      <c r="G533" t="s"/>
      <c r="H533" t="s"/>
      <c r="I533" t="s"/>
      <c r="J533" t="n">
        <v>0.25</v>
      </c>
      <c r="K533" t="n">
        <v>0</v>
      </c>
      <c r="L533" t="n">
        <v>0.913</v>
      </c>
      <c r="M533" t="n">
        <v>0.08699999999999999</v>
      </c>
    </row>
    <row r="534" spans="1:13">
      <c r="A534" s="1">
        <f>HYPERLINK("http://www.twitter.com/NathanBLawrence/status/992472273297657857", "992472273297657857")</f>
        <v/>
      </c>
      <c r="B534" s="2" t="n">
        <v>43224.77318287037</v>
      </c>
      <c r="C534" t="n">
        <v>0</v>
      </c>
      <c r="D534" t="n">
        <v>767</v>
      </c>
      <c r="E534" t="s">
        <v>545</v>
      </c>
      <c r="F534">
        <f>HYPERLINK("http://pbs.twimg.com/media/DcWpNsZVQAE_t-S.jpg", "http://pbs.twimg.com/media/DcWpNsZVQAE_t-S.jpg")</f>
        <v/>
      </c>
      <c r="G534" t="s"/>
      <c r="H534" t="s"/>
      <c r="I534" t="s"/>
      <c r="J534" t="n">
        <v>0.7297</v>
      </c>
      <c r="K534" t="n">
        <v>0</v>
      </c>
      <c r="L534" t="n">
        <v>0.782</v>
      </c>
      <c r="M534" t="n">
        <v>0.218</v>
      </c>
    </row>
    <row r="535" spans="1:13">
      <c r="A535" s="1">
        <f>HYPERLINK("http://www.twitter.com/NathanBLawrence/status/992472214795575296", "992472214795575296")</f>
        <v/>
      </c>
      <c r="B535" s="2" t="n">
        <v>43224.77302083333</v>
      </c>
      <c r="C535" t="n">
        <v>0</v>
      </c>
      <c r="D535" t="n">
        <v>3</v>
      </c>
      <c r="E535" t="s">
        <v>546</v>
      </c>
      <c r="F535">
        <f>HYPERLINK("http://pbs.twimg.com/media/DcX3sioVQAAO7Jq.jpg", "http://pbs.twimg.com/media/DcX3sioVQAAO7Jq.jpg")</f>
        <v/>
      </c>
      <c r="G535" t="s"/>
      <c r="H535" t="s"/>
      <c r="I535" t="s"/>
      <c r="J535" t="n">
        <v>0</v>
      </c>
      <c r="K535" t="n">
        <v>0</v>
      </c>
      <c r="L535" t="n">
        <v>1</v>
      </c>
      <c r="M535" t="n">
        <v>0</v>
      </c>
    </row>
    <row r="536" spans="1:13">
      <c r="A536" s="1">
        <f>HYPERLINK("http://www.twitter.com/NathanBLawrence/status/992472110164406272", "992472110164406272")</f>
        <v/>
      </c>
      <c r="B536" s="2" t="n">
        <v>43224.77273148148</v>
      </c>
      <c r="C536" t="n">
        <v>0</v>
      </c>
      <c r="D536" t="n">
        <v>5</v>
      </c>
      <c r="E536" t="s">
        <v>547</v>
      </c>
      <c r="F536" t="s"/>
      <c r="G536" t="s"/>
      <c r="H536" t="s"/>
      <c r="I536" t="s"/>
      <c r="J536" t="n">
        <v>0</v>
      </c>
      <c r="K536" t="n">
        <v>0</v>
      </c>
      <c r="L536" t="n">
        <v>1</v>
      </c>
      <c r="M536" t="n">
        <v>0</v>
      </c>
    </row>
    <row r="537" spans="1:13">
      <c r="A537" s="1">
        <f>HYPERLINK("http://www.twitter.com/NathanBLawrence/status/992472021484191744", "992472021484191744")</f>
        <v/>
      </c>
      <c r="B537" s="2" t="n">
        <v>43224.77248842592</v>
      </c>
      <c r="C537" t="n">
        <v>0</v>
      </c>
      <c r="D537" t="n">
        <v>17</v>
      </c>
      <c r="E537" t="s">
        <v>548</v>
      </c>
      <c r="F537">
        <f>HYPERLINK("http://pbs.twimg.com/media/DcVWIOaV4AEYrJo.jpg", "http://pbs.twimg.com/media/DcVWIOaV4AEYrJo.jpg")</f>
        <v/>
      </c>
      <c r="G537" t="s"/>
      <c r="H537" t="s"/>
      <c r="I537" t="s"/>
      <c r="J537" t="n">
        <v>0</v>
      </c>
      <c r="K537" t="n">
        <v>0</v>
      </c>
      <c r="L537" t="n">
        <v>1</v>
      </c>
      <c r="M537" t="n">
        <v>0</v>
      </c>
    </row>
    <row r="538" spans="1:13">
      <c r="A538" s="1">
        <f>HYPERLINK("http://www.twitter.com/NathanBLawrence/status/992471975531499520", "992471975531499520")</f>
        <v/>
      </c>
      <c r="B538" s="2" t="n">
        <v>43224.77236111111</v>
      </c>
      <c r="C538" t="n">
        <v>0</v>
      </c>
      <c r="D538" t="n">
        <v>6</v>
      </c>
      <c r="E538" t="s">
        <v>549</v>
      </c>
      <c r="F538">
        <f>HYPERLINK("http://pbs.twimg.com/media/DcXQvhlVwAAegML.jpg", "http://pbs.twimg.com/media/DcXQvhlVwAAegML.jpg")</f>
        <v/>
      </c>
      <c r="G538" t="s"/>
      <c r="H538" t="s"/>
      <c r="I538" t="s"/>
      <c r="J538" t="n">
        <v>0</v>
      </c>
      <c r="K538" t="n">
        <v>0</v>
      </c>
      <c r="L538" t="n">
        <v>1</v>
      </c>
      <c r="M538" t="n">
        <v>0</v>
      </c>
    </row>
    <row r="539" spans="1:13">
      <c r="A539" s="1">
        <f>HYPERLINK("http://www.twitter.com/NathanBLawrence/status/992471913241837568", "992471913241837568")</f>
        <v/>
      </c>
      <c r="B539" s="2" t="n">
        <v>43224.77219907408</v>
      </c>
      <c r="C539" t="n">
        <v>0</v>
      </c>
      <c r="D539" t="n">
        <v>912</v>
      </c>
      <c r="E539" t="s">
        <v>550</v>
      </c>
      <c r="F539">
        <f>HYPERLINK("http://pbs.twimg.com/media/DO6lwmtU8AA7vSM.jpg", "http://pbs.twimg.com/media/DO6lwmtU8AA7vSM.jpg")</f>
        <v/>
      </c>
      <c r="G539" t="s"/>
      <c r="H539" t="s"/>
      <c r="I539" t="s"/>
      <c r="J539" t="n">
        <v>0.7906</v>
      </c>
      <c r="K539" t="n">
        <v>0</v>
      </c>
      <c r="L539" t="n">
        <v>0.731</v>
      </c>
      <c r="M539" t="n">
        <v>0.269</v>
      </c>
    </row>
    <row r="540" spans="1:13">
      <c r="A540" s="1">
        <f>HYPERLINK("http://www.twitter.com/NathanBLawrence/status/992471758379728897", "992471758379728897")</f>
        <v/>
      </c>
      <c r="B540" s="2" t="n">
        <v>43224.77177083334</v>
      </c>
      <c r="C540" t="n">
        <v>0</v>
      </c>
      <c r="D540" t="n">
        <v>16</v>
      </c>
      <c r="E540" t="s">
        <v>551</v>
      </c>
      <c r="F540" t="s"/>
      <c r="G540" t="s"/>
      <c r="H540" t="s"/>
      <c r="I540" t="s"/>
      <c r="J540" t="n">
        <v>-0.186</v>
      </c>
      <c r="K540" t="n">
        <v>0.186</v>
      </c>
      <c r="L540" t="n">
        <v>0.673</v>
      </c>
      <c r="M540" t="n">
        <v>0.141</v>
      </c>
    </row>
    <row r="541" spans="1:13">
      <c r="A541" s="1">
        <f>HYPERLINK("http://www.twitter.com/NathanBLawrence/status/992471699399426048", "992471699399426048")</f>
        <v/>
      </c>
      <c r="B541" s="2" t="n">
        <v>43224.7716087963</v>
      </c>
      <c r="C541" t="n">
        <v>0</v>
      </c>
      <c r="D541" t="n">
        <v>3</v>
      </c>
      <c r="E541" t="s">
        <v>552</v>
      </c>
      <c r="F541">
        <f>HYPERLINK("http://pbs.twimg.com/media/DcX3kEeUwAA-pmZ.jpg", "http://pbs.twimg.com/media/DcX3kEeUwAA-pmZ.jpg")</f>
        <v/>
      </c>
      <c r="G541" t="s"/>
      <c r="H541" t="s"/>
      <c r="I541" t="s"/>
      <c r="J541" t="n">
        <v>0</v>
      </c>
      <c r="K541" t="n">
        <v>0</v>
      </c>
      <c r="L541" t="n">
        <v>1</v>
      </c>
      <c r="M541" t="n">
        <v>0</v>
      </c>
    </row>
    <row r="542" spans="1:13">
      <c r="A542" s="1">
        <f>HYPERLINK("http://www.twitter.com/NathanBLawrence/status/992312729816846336", "992312729816846336")</f>
        <v/>
      </c>
      <c r="B542" s="2" t="n">
        <v>43224.33292824074</v>
      </c>
      <c r="C542" t="n">
        <v>7</v>
      </c>
      <c r="D542" t="n">
        <v>1</v>
      </c>
      <c r="E542" t="s">
        <v>553</v>
      </c>
      <c r="F542" t="s"/>
      <c r="G542" t="s"/>
      <c r="H542" t="s"/>
      <c r="I542" t="s"/>
      <c r="J542" t="n">
        <v>0</v>
      </c>
      <c r="K542" t="n">
        <v>0</v>
      </c>
      <c r="L542" t="n">
        <v>1</v>
      </c>
      <c r="M542" t="n">
        <v>0</v>
      </c>
    </row>
    <row r="543" spans="1:13">
      <c r="A543" s="1">
        <f>HYPERLINK("http://www.twitter.com/NathanBLawrence/status/992312606156177408", "992312606156177408")</f>
        <v/>
      </c>
      <c r="B543" s="2" t="n">
        <v>43224.33259259259</v>
      </c>
      <c r="C543" t="n">
        <v>1</v>
      </c>
      <c r="D543" t="n">
        <v>1</v>
      </c>
      <c r="E543" t="s">
        <v>554</v>
      </c>
      <c r="F543" t="s"/>
      <c r="G543" t="s"/>
      <c r="H543" t="s"/>
      <c r="I543" t="s"/>
      <c r="J543" t="n">
        <v>-0.5574</v>
      </c>
      <c r="K543" t="n">
        <v>0.265</v>
      </c>
      <c r="L543" t="n">
        <v>0.735</v>
      </c>
      <c r="M543" t="n">
        <v>0</v>
      </c>
    </row>
    <row r="544" spans="1:13">
      <c r="A544" s="1">
        <f>HYPERLINK("http://www.twitter.com/NathanBLawrence/status/992312480696168449", "992312480696168449")</f>
        <v/>
      </c>
      <c r="B544" s="2" t="n">
        <v>43224.33224537037</v>
      </c>
      <c r="C544" t="n">
        <v>3</v>
      </c>
      <c r="D544" t="n">
        <v>3</v>
      </c>
      <c r="E544" t="s">
        <v>555</v>
      </c>
      <c r="F544" t="s"/>
      <c r="G544" t="s"/>
      <c r="H544" t="s"/>
      <c r="I544" t="s"/>
      <c r="J544" t="n">
        <v>0</v>
      </c>
      <c r="K544" t="n">
        <v>0</v>
      </c>
      <c r="L544" t="n">
        <v>1</v>
      </c>
      <c r="M544" t="n">
        <v>0</v>
      </c>
    </row>
    <row r="545" spans="1:13">
      <c r="A545" s="1">
        <f>HYPERLINK("http://www.twitter.com/NathanBLawrence/status/992312334004596737", "992312334004596737")</f>
        <v/>
      </c>
      <c r="B545" s="2" t="n">
        <v>43224.33184027778</v>
      </c>
      <c r="C545" t="n">
        <v>1</v>
      </c>
      <c r="D545" t="n">
        <v>1</v>
      </c>
      <c r="E545" t="s">
        <v>556</v>
      </c>
      <c r="F545" t="s"/>
      <c r="G545" t="s"/>
      <c r="H545" t="s"/>
      <c r="I545" t="s"/>
      <c r="J545" t="n">
        <v>0.0516</v>
      </c>
      <c r="K545" t="n">
        <v>0.102</v>
      </c>
      <c r="L545" t="n">
        <v>0.781</v>
      </c>
      <c r="M545" t="n">
        <v>0.117</v>
      </c>
    </row>
    <row r="546" spans="1:13">
      <c r="A546" s="1">
        <f>HYPERLINK("http://www.twitter.com/NathanBLawrence/status/992312221429514242", "992312221429514242")</f>
        <v/>
      </c>
      <c r="B546" s="2" t="n">
        <v>43224.33152777778</v>
      </c>
      <c r="C546" t="n">
        <v>1</v>
      </c>
      <c r="D546" t="n">
        <v>0</v>
      </c>
      <c r="E546" t="s">
        <v>557</v>
      </c>
      <c r="F546" t="s"/>
      <c r="G546" t="s"/>
      <c r="H546" t="s"/>
      <c r="I546" t="s"/>
      <c r="J546" t="n">
        <v>0.5719</v>
      </c>
      <c r="K546" t="n">
        <v>0</v>
      </c>
      <c r="L546" t="n">
        <v>0.773</v>
      </c>
      <c r="M546" t="n">
        <v>0.227</v>
      </c>
    </row>
    <row r="547" spans="1:13">
      <c r="A547" s="1">
        <f>HYPERLINK("http://www.twitter.com/NathanBLawrence/status/992312050834489345", "992312050834489345")</f>
        <v/>
      </c>
      <c r="B547" s="2" t="n">
        <v>43224.33105324074</v>
      </c>
      <c r="C547" t="n">
        <v>0</v>
      </c>
      <c r="D547" t="n">
        <v>1</v>
      </c>
      <c r="E547" t="s">
        <v>558</v>
      </c>
      <c r="F547" t="s"/>
      <c r="G547" t="s"/>
      <c r="H547" t="s"/>
      <c r="I547" t="s"/>
      <c r="J547" t="n">
        <v>-0.3818</v>
      </c>
      <c r="K547" t="n">
        <v>0.206</v>
      </c>
      <c r="L547" t="n">
        <v>0.794</v>
      </c>
      <c r="M547" t="n">
        <v>0</v>
      </c>
    </row>
    <row r="548" spans="1:13">
      <c r="A548" s="1">
        <f>HYPERLINK("http://www.twitter.com/NathanBLawrence/status/992311840125239298", "992311840125239298")</f>
        <v/>
      </c>
      <c r="B548" s="2" t="n">
        <v>43224.33047453704</v>
      </c>
      <c r="C548" t="n">
        <v>0</v>
      </c>
      <c r="D548" t="n">
        <v>0</v>
      </c>
      <c r="E548" t="s">
        <v>559</v>
      </c>
      <c r="F548" t="s"/>
      <c r="G548" t="s"/>
      <c r="H548" t="s"/>
      <c r="I548" t="s"/>
      <c r="J548" t="n">
        <v>0</v>
      </c>
      <c r="K548" t="n">
        <v>0</v>
      </c>
      <c r="L548" t="n">
        <v>1</v>
      </c>
      <c r="M548" t="n">
        <v>0</v>
      </c>
    </row>
    <row r="549" spans="1:13">
      <c r="A549" s="1">
        <f>HYPERLINK("http://www.twitter.com/NathanBLawrence/status/992311702459899905", "992311702459899905")</f>
        <v/>
      </c>
      <c r="B549" s="2" t="n">
        <v>43224.33009259259</v>
      </c>
      <c r="C549" t="n">
        <v>2</v>
      </c>
      <c r="D549" t="n">
        <v>1</v>
      </c>
      <c r="E549" t="s">
        <v>560</v>
      </c>
      <c r="F549" t="s"/>
      <c r="G549" t="s"/>
      <c r="H549" t="s"/>
      <c r="I549" t="s"/>
      <c r="J549" t="n">
        <v>0</v>
      </c>
      <c r="K549" t="n">
        <v>0</v>
      </c>
      <c r="L549" t="n">
        <v>1</v>
      </c>
      <c r="M549" t="n">
        <v>0</v>
      </c>
    </row>
    <row r="550" spans="1:13">
      <c r="A550" s="1">
        <f>HYPERLINK("http://www.twitter.com/NathanBLawrence/status/992311464391131136", "992311464391131136")</f>
        <v/>
      </c>
      <c r="B550" s="2" t="n">
        <v>43224.32944444445</v>
      </c>
      <c r="C550" t="n">
        <v>1</v>
      </c>
      <c r="D550" t="n">
        <v>1</v>
      </c>
      <c r="E550" t="s">
        <v>561</v>
      </c>
      <c r="F550" t="s"/>
      <c r="G550" t="s"/>
      <c r="H550" t="s"/>
      <c r="I550" t="s"/>
      <c r="J550" t="n">
        <v>0.5859</v>
      </c>
      <c r="K550" t="n">
        <v>0</v>
      </c>
      <c r="L550" t="n">
        <v>0.696</v>
      </c>
      <c r="M550" t="n">
        <v>0.304</v>
      </c>
    </row>
    <row r="551" spans="1:13">
      <c r="A551" s="1">
        <f>HYPERLINK("http://www.twitter.com/NathanBLawrence/status/992311246786461698", "992311246786461698")</f>
        <v/>
      </c>
      <c r="B551" s="2" t="n">
        <v>43224.32884259259</v>
      </c>
      <c r="C551" t="n">
        <v>4</v>
      </c>
      <c r="D551" t="n">
        <v>2</v>
      </c>
      <c r="E551" t="s">
        <v>562</v>
      </c>
      <c r="F551" t="s"/>
      <c r="G551" t="s"/>
      <c r="H551" t="s"/>
      <c r="I551" t="s"/>
      <c r="J551" t="n">
        <v>-0.5106000000000001</v>
      </c>
      <c r="K551" t="n">
        <v>0.18</v>
      </c>
      <c r="L551" t="n">
        <v>0.82</v>
      </c>
      <c r="M551" t="n">
        <v>0</v>
      </c>
    </row>
    <row r="552" spans="1:13">
      <c r="A552" s="1">
        <f>HYPERLINK("http://www.twitter.com/NathanBLawrence/status/992311033103437824", "992311033103437824")</f>
        <v/>
      </c>
      <c r="B552" s="2" t="n">
        <v>43224.32825231482</v>
      </c>
      <c r="C552" t="n">
        <v>6</v>
      </c>
      <c r="D552" t="n">
        <v>9</v>
      </c>
      <c r="E552" t="s">
        <v>563</v>
      </c>
      <c r="F552" t="s"/>
      <c r="G552" t="s"/>
      <c r="H552" t="s"/>
      <c r="I552" t="s"/>
      <c r="J552" t="n">
        <v>-0.7096</v>
      </c>
      <c r="K552" t="n">
        <v>0.233</v>
      </c>
      <c r="L552" t="n">
        <v>0.707</v>
      </c>
      <c r="M552" t="n">
        <v>0.06</v>
      </c>
    </row>
    <row r="553" spans="1:13">
      <c r="A553" s="1">
        <f>HYPERLINK("http://www.twitter.com/NathanBLawrence/status/992310872943968256", "992310872943968256")</f>
        <v/>
      </c>
      <c r="B553" s="2" t="n">
        <v>43224.3278125</v>
      </c>
      <c r="C553" t="n">
        <v>4</v>
      </c>
      <c r="D553" t="n">
        <v>2</v>
      </c>
      <c r="E553" t="s">
        <v>564</v>
      </c>
      <c r="F553" t="s"/>
      <c r="G553" t="s"/>
      <c r="H553" t="s"/>
      <c r="I553" t="s"/>
      <c r="J553" t="n">
        <v>-0.8555</v>
      </c>
      <c r="K553" t="n">
        <v>0.42</v>
      </c>
      <c r="L553" t="n">
        <v>0.58</v>
      </c>
      <c r="M553" t="n">
        <v>0</v>
      </c>
    </row>
    <row r="554" spans="1:13">
      <c r="A554" s="1">
        <f>HYPERLINK("http://www.twitter.com/NathanBLawrence/status/992309873072193536", "992309873072193536")</f>
        <v/>
      </c>
      <c r="B554" s="2" t="n">
        <v>43224.3250462963</v>
      </c>
      <c r="C554" t="n">
        <v>0</v>
      </c>
      <c r="D554" t="n">
        <v>6242</v>
      </c>
      <c r="E554" t="s">
        <v>565</v>
      </c>
      <c r="F554" t="s"/>
      <c r="G554" t="s"/>
      <c r="H554" t="s"/>
      <c r="I554" t="s"/>
      <c r="J554" t="n">
        <v>0</v>
      </c>
      <c r="K554" t="n">
        <v>0</v>
      </c>
      <c r="L554" t="n">
        <v>1</v>
      </c>
      <c r="M554" t="n">
        <v>0</v>
      </c>
    </row>
    <row r="555" spans="1:13">
      <c r="A555" s="1">
        <f>HYPERLINK("http://www.twitter.com/NathanBLawrence/status/992309817887768578", "992309817887768578")</f>
        <v/>
      </c>
      <c r="B555" s="2" t="n">
        <v>43224.32489583334</v>
      </c>
      <c r="C555" t="n">
        <v>0</v>
      </c>
      <c r="D555" t="n">
        <v>4336</v>
      </c>
      <c r="E555" t="s">
        <v>566</v>
      </c>
      <c r="F555">
        <f>HYPERLINK("http://pbs.twimg.com/media/DOn6lXoWAAA_Zae.jpg", "http://pbs.twimg.com/media/DOn6lXoWAAA_Zae.jpg")</f>
        <v/>
      </c>
      <c r="G555" t="s"/>
      <c r="H555" t="s"/>
      <c r="I555" t="s"/>
      <c r="J555" t="n">
        <v>-0.296</v>
      </c>
      <c r="K555" t="n">
        <v>0.266</v>
      </c>
      <c r="L555" t="n">
        <v>0.538</v>
      </c>
      <c r="M555" t="n">
        <v>0.196</v>
      </c>
    </row>
    <row r="556" spans="1:13">
      <c r="A556" s="1">
        <f>HYPERLINK("http://www.twitter.com/NathanBLawrence/status/992309755270971392", "992309755270971392")</f>
        <v/>
      </c>
      <c r="B556" s="2" t="n">
        <v>43224.32472222222</v>
      </c>
      <c r="C556" t="n">
        <v>0</v>
      </c>
      <c r="D556" t="n">
        <v>535</v>
      </c>
      <c r="E556" t="s">
        <v>567</v>
      </c>
      <c r="F556">
        <f>HYPERLINK("http://pbs.twimg.com/media/DcUFC4vWkAAOe3j.jpg", "http://pbs.twimg.com/media/DcUFC4vWkAAOe3j.jpg")</f>
        <v/>
      </c>
      <c r="G556" t="s"/>
      <c r="H556" t="s"/>
      <c r="I556" t="s"/>
      <c r="J556" t="n">
        <v>-0.5423</v>
      </c>
      <c r="K556" t="n">
        <v>0.137</v>
      </c>
      <c r="L556" t="n">
        <v>0.863</v>
      </c>
      <c r="M556" t="n">
        <v>0</v>
      </c>
    </row>
    <row r="557" spans="1:13">
      <c r="A557" s="1">
        <f>HYPERLINK("http://www.twitter.com/NathanBLawrence/status/992309672236408832", "992309672236408832")</f>
        <v/>
      </c>
      <c r="B557" s="2" t="n">
        <v>43224.32449074074</v>
      </c>
      <c r="C557" t="n">
        <v>0</v>
      </c>
      <c r="D557" t="n">
        <v>163</v>
      </c>
      <c r="E557" t="s">
        <v>568</v>
      </c>
      <c r="F557">
        <f>HYPERLINK("http://pbs.twimg.com/media/DcUMIbjV0AAgi9U.jpg", "http://pbs.twimg.com/media/DcUMIbjV0AAgi9U.jpg")</f>
        <v/>
      </c>
      <c r="G557" t="s"/>
      <c r="H557" t="s"/>
      <c r="I557" t="s"/>
      <c r="J557" t="n">
        <v>0.4019</v>
      </c>
      <c r="K557" t="n">
        <v>0</v>
      </c>
      <c r="L557" t="n">
        <v>0.803</v>
      </c>
      <c r="M557" t="n">
        <v>0.197</v>
      </c>
    </row>
    <row r="558" spans="1:13">
      <c r="A558" s="1">
        <f>HYPERLINK("http://www.twitter.com/NathanBLawrence/status/992309417713385474", "992309417713385474")</f>
        <v/>
      </c>
      <c r="B558" s="2" t="n">
        <v>43224.3237962963</v>
      </c>
      <c r="C558" t="n">
        <v>0</v>
      </c>
      <c r="D558" t="n">
        <v>8</v>
      </c>
      <c r="E558" t="s">
        <v>569</v>
      </c>
      <c r="F558" t="s"/>
      <c r="G558" t="s"/>
      <c r="H558" t="s"/>
      <c r="I558" t="s"/>
      <c r="J558" t="n">
        <v>-0.7579</v>
      </c>
      <c r="K558" t="n">
        <v>0.245</v>
      </c>
      <c r="L558" t="n">
        <v>0.755</v>
      </c>
      <c r="M558" t="n">
        <v>0</v>
      </c>
    </row>
    <row r="559" spans="1:13">
      <c r="A559" s="1">
        <f>HYPERLINK("http://www.twitter.com/NathanBLawrence/status/992309342111129600", "992309342111129600")</f>
        <v/>
      </c>
      <c r="B559" s="2" t="n">
        <v>43224.32358796296</v>
      </c>
      <c r="C559" t="n">
        <v>0</v>
      </c>
      <c r="D559" t="n">
        <v>427</v>
      </c>
      <c r="E559" t="s">
        <v>570</v>
      </c>
      <c r="F559">
        <f>HYPERLINK("http://pbs.twimg.com/media/DcTpD-SVwAA64UG.jpg", "http://pbs.twimg.com/media/DcTpD-SVwAA64UG.jpg")</f>
        <v/>
      </c>
      <c r="G559" t="s"/>
      <c r="H559" t="s"/>
      <c r="I559" t="s"/>
      <c r="J559" t="n">
        <v>0</v>
      </c>
      <c r="K559" t="n">
        <v>0</v>
      </c>
      <c r="L559" t="n">
        <v>1</v>
      </c>
      <c r="M559" t="n">
        <v>0</v>
      </c>
    </row>
    <row r="560" spans="1:13">
      <c r="A560" s="1">
        <f>HYPERLINK("http://www.twitter.com/NathanBLawrence/status/992309189232939008", "992309189232939008")</f>
        <v/>
      </c>
      <c r="B560" s="2" t="n">
        <v>43224.32315972223</v>
      </c>
      <c r="C560" t="n">
        <v>0</v>
      </c>
      <c r="D560" t="n">
        <v>2</v>
      </c>
      <c r="E560" t="s">
        <v>571</v>
      </c>
      <c r="F560" t="s"/>
      <c r="G560" t="s"/>
      <c r="H560" t="s"/>
      <c r="I560" t="s"/>
      <c r="J560" t="n">
        <v>-0.25</v>
      </c>
      <c r="K560" t="n">
        <v>0.219</v>
      </c>
      <c r="L560" t="n">
        <v>0.625</v>
      </c>
      <c r="M560" t="n">
        <v>0.156</v>
      </c>
    </row>
    <row r="561" spans="1:13">
      <c r="A561" s="1">
        <f>HYPERLINK("http://www.twitter.com/NathanBLawrence/status/992308933908840449", "992308933908840449")</f>
        <v/>
      </c>
      <c r="B561" s="2" t="n">
        <v>43224.3224537037</v>
      </c>
      <c r="C561" t="n">
        <v>0</v>
      </c>
      <c r="D561" t="n">
        <v>107</v>
      </c>
      <c r="E561" t="s">
        <v>572</v>
      </c>
      <c r="F561">
        <f>HYPERLINK("http://pbs.twimg.com/media/DcUMTboU8AE7wF3.jpg", "http://pbs.twimg.com/media/DcUMTboU8AE7wF3.jpg")</f>
        <v/>
      </c>
      <c r="G561" t="s"/>
      <c r="H561" t="s"/>
      <c r="I561" t="s"/>
      <c r="J561" t="n">
        <v>0.743</v>
      </c>
      <c r="K561" t="n">
        <v>0</v>
      </c>
      <c r="L561" t="n">
        <v>0.733</v>
      </c>
      <c r="M561" t="n">
        <v>0.267</v>
      </c>
    </row>
    <row r="562" spans="1:13">
      <c r="A562" s="1">
        <f>HYPERLINK("http://www.twitter.com/NathanBLawrence/status/992308891282112513", "992308891282112513")</f>
        <v/>
      </c>
      <c r="B562" s="2" t="n">
        <v>43224.32233796296</v>
      </c>
      <c r="C562" t="n">
        <v>0</v>
      </c>
      <c r="D562" t="n">
        <v>340</v>
      </c>
      <c r="E562" t="s">
        <v>573</v>
      </c>
      <c r="F562" t="s"/>
      <c r="G562" t="s"/>
      <c r="H562" t="s"/>
      <c r="I562" t="s"/>
      <c r="J562" t="n">
        <v>0.3818</v>
      </c>
      <c r="K562" t="n">
        <v>0.106</v>
      </c>
      <c r="L562" t="n">
        <v>0.72</v>
      </c>
      <c r="M562" t="n">
        <v>0.174</v>
      </c>
    </row>
    <row r="563" spans="1:13">
      <c r="A563" s="1">
        <f>HYPERLINK("http://www.twitter.com/NathanBLawrence/status/992308810386554880", "992308810386554880")</f>
        <v/>
      </c>
      <c r="B563" s="2" t="n">
        <v>43224.32211805556</v>
      </c>
      <c r="C563" t="n">
        <v>0</v>
      </c>
      <c r="D563" t="n">
        <v>4</v>
      </c>
      <c r="E563" t="s">
        <v>574</v>
      </c>
      <c r="F563">
        <f>HYPERLINK("http://pbs.twimg.com/media/DcVjLaEU8AAUfU2.jpg", "http://pbs.twimg.com/media/DcVjLaEU8AAUfU2.jpg")</f>
        <v/>
      </c>
      <c r="G563" t="s"/>
      <c r="H563" t="s"/>
      <c r="I563" t="s"/>
      <c r="J563" t="n">
        <v>0</v>
      </c>
      <c r="K563" t="n">
        <v>0</v>
      </c>
      <c r="L563" t="n">
        <v>1</v>
      </c>
      <c r="M563" t="n">
        <v>0</v>
      </c>
    </row>
    <row r="564" spans="1:13">
      <c r="A564" s="1">
        <f>HYPERLINK("http://www.twitter.com/NathanBLawrence/status/992308725196115968", "992308725196115968")</f>
        <v/>
      </c>
      <c r="B564" s="2" t="n">
        <v>43224.321875</v>
      </c>
      <c r="C564" t="n">
        <v>0</v>
      </c>
      <c r="D564" t="n">
        <v>6</v>
      </c>
      <c r="E564" t="s">
        <v>575</v>
      </c>
      <c r="F564" t="s"/>
      <c r="G564" t="s"/>
      <c r="H564" t="s"/>
      <c r="I564" t="s"/>
      <c r="J564" t="n">
        <v>0.4019</v>
      </c>
      <c r="K564" t="n">
        <v>0</v>
      </c>
      <c r="L564" t="n">
        <v>0.828</v>
      </c>
      <c r="M564" t="n">
        <v>0.172</v>
      </c>
    </row>
    <row r="565" spans="1:13">
      <c r="A565" s="1">
        <f>HYPERLINK("http://www.twitter.com/NathanBLawrence/status/992308062848335872", "992308062848335872")</f>
        <v/>
      </c>
      <c r="B565" s="2" t="n">
        <v>43224.32005787037</v>
      </c>
      <c r="C565" t="n">
        <v>1</v>
      </c>
      <c r="D565" t="n">
        <v>0</v>
      </c>
      <c r="E565" t="s">
        <v>576</v>
      </c>
      <c r="F565" t="s"/>
      <c r="G565" t="s"/>
      <c r="H565" t="s"/>
      <c r="I565" t="s"/>
      <c r="J565" t="n">
        <v>0.784</v>
      </c>
      <c r="K565" t="n">
        <v>0</v>
      </c>
      <c r="L565" t="n">
        <v>0.5659999999999999</v>
      </c>
      <c r="M565" t="n">
        <v>0.434</v>
      </c>
    </row>
    <row r="566" spans="1:13">
      <c r="A566" s="1">
        <f>HYPERLINK("http://www.twitter.com/NathanBLawrence/status/992223196580474880", "992223196580474880")</f>
        <v/>
      </c>
      <c r="B566" s="2" t="n">
        <v>43224.08586805555</v>
      </c>
      <c r="C566" t="n">
        <v>2</v>
      </c>
      <c r="D566" t="n">
        <v>0</v>
      </c>
      <c r="E566" t="s">
        <v>577</v>
      </c>
      <c r="F566" t="s"/>
      <c r="G566" t="s"/>
      <c r="H566" t="s"/>
      <c r="I566" t="s"/>
      <c r="J566" t="n">
        <v>0</v>
      </c>
      <c r="K566" t="n">
        <v>0</v>
      </c>
      <c r="L566" t="n">
        <v>1</v>
      </c>
      <c r="M566" t="n">
        <v>0</v>
      </c>
    </row>
    <row r="567" spans="1:13">
      <c r="A567" s="1">
        <f>HYPERLINK("http://www.twitter.com/NathanBLawrence/status/992211049494470657", "992211049494470657")</f>
        <v/>
      </c>
      <c r="B567" s="2" t="n">
        <v>43224.05234953704</v>
      </c>
      <c r="C567" t="n">
        <v>16</v>
      </c>
      <c r="D567" t="n">
        <v>3</v>
      </c>
      <c r="E567" t="s">
        <v>578</v>
      </c>
      <c r="F567" t="s"/>
      <c r="G567" t="s"/>
      <c r="H567" t="s"/>
      <c r="I567" t="s"/>
      <c r="J567" t="n">
        <v>-0.5848</v>
      </c>
      <c r="K567" t="n">
        <v>0.213</v>
      </c>
      <c r="L567" t="n">
        <v>0.787</v>
      </c>
      <c r="M567" t="n">
        <v>0</v>
      </c>
    </row>
    <row r="568" spans="1:13">
      <c r="A568" s="1">
        <f>HYPERLINK("http://www.twitter.com/NathanBLawrence/status/992172536254251008", "992172536254251008")</f>
        <v/>
      </c>
      <c r="B568" s="2" t="n">
        <v>43223.94606481482</v>
      </c>
      <c r="C568" t="n">
        <v>0</v>
      </c>
      <c r="D568" t="n">
        <v>972</v>
      </c>
      <c r="E568" t="s">
        <v>579</v>
      </c>
      <c r="F568">
        <f>HYPERLINK("http://pbs.twimg.com/media/DcTme3KVQAAp0Yl.jpg", "http://pbs.twimg.com/media/DcTme3KVQAAp0Yl.jpg")</f>
        <v/>
      </c>
      <c r="G568" t="s"/>
      <c r="H568" t="s"/>
      <c r="I568" t="s"/>
      <c r="J568" t="n">
        <v>0</v>
      </c>
      <c r="K568" t="n">
        <v>0</v>
      </c>
      <c r="L568" t="n">
        <v>1</v>
      </c>
      <c r="M568" t="n">
        <v>0</v>
      </c>
    </row>
    <row r="569" spans="1:13">
      <c r="A569" s="1">
        <f>HYPERLINK("http://www.twitter.com/NathanBLawrence/status/992172465609568256", "992172465609568256")</f>
        <v/>
      </c>
      <c r="B569" s="2" t="n">
        <v>43223.94587962963</v>
      </c>
      <c r="C569" t="n">
        <v>0</v>
      </c>
      <c r="D569" t="n">
        <v>9</v>
      </c>
      <c r="E569" t="s">
        <v>580</v>
      </c>
      <c r="F569">
        <f>HYPERLINK("http://pbs.twimg.com/media/DcTmMa1W0AAM2Em.jpg", "http://pbs.twimg.com/media/DcTmMa1W0AAM2Em.jpg")</f>
        <v/>
      </c>
      <c r="G569" t="s"/>
      <c r="H569" t="s"/>
      <c r="I569" t="s"/>
      <c r="J569" t="n">
        <v>0.5972</v>
      </c>
      <c r="K569" t="n">
        <v>0</v>
      </c>
      <c r="L569" t="n">
        <v>0.866</v>
      </c>
      <c r="M569" t="n">
        <v>0.134</v>
      </c>
    </row>
    <row r="570" spans="1:13">
      <c r="A570" s="1">
        <f>HYPERLINK("http://www.twitter.com/NathanBLawrence/status/992172098058575873", "992172098058575873")</f>
        <v/>
      </c>
      <c r="B570" s="2" t="n">
        <v>43223.94486111111</v>
      </c>
      <c r="C570" t="n">
        <v>0</v>
      </c>
      <c r="D570" t="n">
        <v>80</v>
      </c>
      <c r="E570" t="s">
        <v>581</v>
      </c>
      <c r="F570">
        <f>HYPERLINK("http://pbs.twimg.com/media/DcTMaPAV4AAgfms.jpg", "http://pbs.twimg.com/media/DcTMaPAV4AAgfms.jpg")</f>
        <v/>
      </c>
      <c r="G570" t="s"/>
      <c r="H570" t="s"/>
      <c r="I570" t="s"/>
      <c r="J570" t="n">
        <v>0</v>
      </c>
      <c r="K570" t="n">
        <v>0</v>
      </c>
      <c r="L570" t="n">
        <v>1</v>
      </c>
      <c r="M570" t="n">
        <v>0</v>
      </c>
    </row>
    <row r="571" spans="1:13">
      <c r="A571" s="1">
        <f>HYPERLINK("http://www.twitter.com/NathanBLawrence/status/992172047475208192", "992172047475208192")</f>
        <v/>
      </c>
      <c r="B571" s="2" t="n">
        <v>43223.94472222222</v>
      </c>
      <c r="C571" t="n">
        <v>0</v>
      </c>
      <c r="D571" t="n">
        <v>48</v>
      </c>
      <c r="E571" t="s">
        <v>582</v>
      </c>
      <c r="F571">
        <f>HYPERLINK("http://pbs.twimg.com/media/DcTNY_fVQAAjFl0.jpg", "http://pbs.twimg.com/media/DcTNY_fVQAAjFl0.jpg")</f>
        <v/>
      </c>
      <c r="G571" t="s"/>
      <c r="H571" t="s"/>
      <c r="I571" t="s"/>
      <c r="J571" t="n">
        <v>0.4574</v>
      </c>
      <c r="K571" t="n">
        <v>0.049</v>
      </c>
      <c r="L571" t="n">
        <v>0.82</v>
      </c>
      <c r="M571" t="n">
        <v>0.131</v>
      </c>
    </row>
    <row r="572" spans="1:13">
      <c r="A572" s="1">
        <f>HYPERLINK("http://www.twitter.com/NathanBLawrence/status/992171888792096768", "992171888792096768")</f>
        <v/>
      </c>
      <c r="B572" s="2" t="n">
        <v>43223.94428240741</v>
      </c>
      <c r="C572" t="n">
        <v>0</v>
      </c>
      <c r="D572" t="n">
        <v>331</v>
      </c>
      <c r="E572" t="s">
        <v>583</v>
      </c>
      <c r="F572">
        <f>HYPERLINK("http://pbs.twimg.com/media/DcQneaAV0AA3e0w.jpg", "http://pbs.twimg.com/media/DcQneaAV0AA3e0w.jpg")</f>
        <v/>
      </c>
      <c r="G572" t="s"/>
      <c r="H572" t="s"/>
      <c r="I572" t="s"/>
      <c r="J572" t="n">
        <v>-0.296</v>
      </c>
      <c r="K572" t="n">
        <v>0.167</v>
      </c>
      <c r="L572" t="n">
        <v>0.833</v>
      </c>
      <c r="M572" t="n">
        <v>0</v>
      </c>
    </row>
    <row r="573" spans="1:13">
      <c r="A573" s="1">
        <f>HYPERLINK("http://www.twitter.com/NathanBLawrence/status/992171731442794496", "992171731442794496")</f>
        <v/>
      </c>
      <c r="B573" s="2" t="n">
        <v>43223.94385416667</v>
      </c>
      <c r="C573" t="n">
        <v>1</v>
      </c>
      <c r="D573" t="n">
        <v>2</v>
      </c>
      <c r="E573" t="s">
        <v>584</v>
      </c>
      <c r="F573" t="s"/>
      <c r="G573" t="s"/>
      <c r="H573" t="s"/>
      <c r="I573" t="s"/>
      <c r="J573" t="n">
        <v>0</v>
      </c>
      <c r="K573" t="n">
        <v>0</v>
      </c>
      <c r="L573" t="n">
        <v>1</v>
      </c>
      <c r="M573" t="n">
        <v>0</v>
      </c>
    </row>
    <row r="574" spans="1:13">
      <c r="A574" s="1">
        <f>HYPERLINK("http://www.twitter.com/NathanBLawrence/status/992171573829292032", "992171573829292032")</f>
        <v/>
      </c>
      <c r="B574" s="2" t="n">
        <v>43223.94341435185</v>
      </c>
      <c r="C574" t="n">
        <v>5</v>
      </c>
      <c r="D574" t="n">
        <v>3</v>
      </c>
      <c r="E574" t="s">
        <v>585</v>
      </c>
      <c r="F574" t="s"/>
      <c r="G574" t="s"/>
      <c r="H574" t="s"/>
      <c r="I574" t="s"/>
      <c r="J574" t="n">
        <v>-0.3802</v>
      </c>
      <c r="K574" t="n">
        <v>0.393</v>
      </c>
      <c r="L574" t="n">
        <v>0.607</v>
      </c>
      <c r="M574" t="n">
        <v>0</v>
      </c>
    </row>
    <row r="575" spans="1:13">
      <c r="A575" s="1">
        <f>HYPERLINK("http://www.twitter.com/NathanBLawrence/status/992171425824821248", "992171425824821248")</f>
        <v/>
      </c>
      <c r="B575" s="2" t="n">
        <v>43223.94300925926</v>
      </c>
      <c r="C575" t="n">
        <v>18</v>
      </c>
      <c r="D575" t="n">
        <v>16</v>
      </c>
      <c r="E575" t="s">
        <v>586</v>
      </c>
      <c r="F575" t="s"/>
      <c r="G575" t="s"/>
      <c r="H575" t="s"/>
      <c r="I575" t="s"/>
      <c r="J575" t="n">
        <v>0</v>
      </c>
      <c r="K575" t="n">
        <v>0</v>
      </c>
      <c r="L575" t="n">
        <v>1</v>
      </c>
      <c r="M575" t="n">
        <v>0</v>
      </c>
    </row>
    <row r="576" spans="1:13">
      <c r="A576" s="1">
        <f>HYPERLINK("http://www.twitter.com/NathanBLawrence/status/992170988149161984", "992170988149161984")</f>
        <v/>
      </c>
      <c r="B576" s="2" t="n">
        <v>43223.94179398148</v>
      </c>
      <c r="C576" t="n">
        <v>0</v>
      </c>
      <c r="D576" t="n">
        <v>222</v>
      </c>
      <c r="E576" t="s">
        <v>587</v>
      </c>
      <c r="F576">
        <f>HYPERLINK("http://pbs.twimg.com/media/DcPO5piWkAA38IV.jpg", "http://pbs.twimg.com/media/DcPO5piWkAA38IV.jpg")</f>
        <v/>
      </c>
      <c r="G576" t="s"/>
      <c r="H576" t="s"/>
      <c r="I576" t="s"/>
      <c r="J576" t="n">
        <v>0.7506</v>
      </c>
      <c r="K576" t="n">
        <v>0</v>
      </c>
      <c r="L576" t="n">
        <v>0.701</v>
      </c>
      <c r="M576" t="n">
        <v>0.299</v>
      </c>
    </row>
    <row r="577" spans="1:13">
      <c r="A577" s="1">
        <f>HYPERLINK("http://www.twitter.com/NathanBLawrence/status/992169361610760192", "992169361610760192")</f>
        <v/>
      </c>
      <c r="B577" s="2" t="n">
        <v>43223.93731481482</v>
      </c>
      <c r="C577" t="n">
        <v>0</v>
      </c>
      <c r="D577" t="n">
        <v>547</v>
      </c>
      <c r="E577" t="s">
        <v>588</v>
      </c>
      <c r="F577">
        <f>HYPERLINK("http://pbs.twimg.com/media/DcSoyJXX4AAQSMW.jpg", "http://pbs.twimg.com/media/DcSoyJXX4AAQSMW.jpg")</f>
        <v/>
      </c>
      <c r="G577" t="s"/>
      <c r="H577" t="s"/>
      <c r="I577" t="s"/>
      <c r="J577" t="n">
        <v>0</v>
      </c>
      <c r="K577" t="n">
        <v>0</v>
      </c>
      <c r="L577" t="n">
        <v>1</v>
      </c>
      <c r="M577" t="n">
        <v>0</v>
      </c>
    </row>
    <row r="578" spans="1:13">
      <c r="A578" s="1">
        <f>HYPERLINK("http://www.twitter.com/NathanBLawrence/status/992169085717827584", "992169085717827584")</f>
        <v/>
      </c>
      <c r="B578" s="2" t="n">
        <v>43223.93655092592</v>
      </c>
      <c r="C578" t="n">
        <v>25</v>
      </c>
      <c r="D578" t="n">
        <v>10</v>
      </c>
      <c r="E578" t="s">
        <v>589</v>
      </c>
      <c r="F578" t="s"/>
      <c r="G578" t="s"/>
      <c r="H578" t="s"/>
      <c r="I578" t="s"/>
      <c r="J578" t="n">
        <v>0.2681</v>
      </c>
      <c r="K578" t="n">
        <v>0.074</v>
      </c>
      <c r="L578" t="n">
        <v>0.787</v>
      </c>
      <c r="M578" t="n">
        <v>0.139</v>
      </c>
    </row>
    <row r="579" spans="1:13">
      <c r="A579" s="1">
        <f>HYPERLINK("http://www.twitter.com/NathanBLawrence/status/992168578127294464", "992168578127294464")</f>
        <v/>
      </c>
      <c r="B579" s="2" t="n">
        <v>43223.93515046296</v>
      </c>
      <c r="C579" t="n">
        <v>0</v>
      </c>
      <c r="D579" t="n">
        <v>211</v>
      </c>
      <c r="E579" t="s">
        <v>590</v>
      </c>
      <c r="F579">
        <f>HYPERLINK("http://pbs.twimg.com/media/DcTfOeMVMAAmCOp.jpg", "http://pbs.twimg.com/media/DcTfOeMVMAAmCOp.jpg")</f>
        <v/>
      </c>
      <c r="G579" t="s"/>
      <c r="H579" t="s"/>
      <c r="I579" t="s"/>
      <c r="J579" t="n">
        <v>0</v>
      </c>
      <c r="K579" t="n">
        <v>0</v>
      </c>
      <c r="L579" t="n">
        <v>1</v>
      </c>
      <c r="M579" t="n">
        <v>0</v>
      </c>
    </row>
    <row r="580" spans="1:13">
      <c r="A580" s="1">
        <f>HYPERLINK("http://www.twitter.com/NathanBLawrence/status/992168443003600896", "992168443003600896")</f>
        <v/>
      </c>
      <c r="B580" s="2" t="n">
        <v>43223.93478009259</v>
      </c>
      <c r="C580" t="n">
        <v>0</v>
      </c>
      <c r="D580" t="n">
        <v>829</v>
      </c>
      <c r="E580" t="s">
        <v>591</v>
      </c>
      <c r="F580">
        <f>HYPERLINK("http://pbs.twimg.com/media/DcTYZyuU8AAiMIQ.jpg", "http://pbs.twimg.com/media/DcTYZyuU8AAiMIQ.jpg")</f>
        <v/>
      </c>
      <c r="G580" t="s"/>
      <c r="H580" t="s"/>
      <c r="I580" t="s"/>
      <c r="J580" t="n">
        <v>0.6158</v>
      </c>
      <c r="K580" t="n">
        <v>0</v>
      </c>
      <c r="L580" t="n">
        <v>0.799</v>
      </c>
      <c r="M580" t="n">
        <v>0.201</v>
      </c>
    </row>
    <row r="581" spans="1:13">
      <c r="A581" s="1">
        <f>HYPERLINK("http://www.twitter.com/NathanBLawrence/status/992168029227171841", "992168029227171841")</f>
        <v/>
      </c>
      <c r="B581" s="2" t="n">
        <v>43223.93363425926</v>
      </c>
      <c r="C581" t="n">
        <v>0</v>
      </c>
      <c r="D581" t="n">
        <v>7</v>
      </c>
      <c r="E581" t="s">
        <v>592</v>
      </c>
      <c r="F581">
        <f>HYPERLINK("http://pbs.twimg.com/media/DcSYURSXkAAui59.jpg", "http://pbs.twimg.com/media/DcSYURSXkAAui59.jpg")</f>
        <v/>
      </c>
      <c r="G581" t="s"/>
      <c r="H581" t="s"/>
      <c r="I581" t="s"/>
      <c r="J581" t="n">
        <v>0</v>
      </c>
      <c r="K581" t="n">
        <v>0</v>
      </c>
      <c r="L581" t="n">
        <v>1</v>
      </c>
      <c r="M581" t="n">
        <v>0</v>
      </c>
    </row>
    <row r="582" spans="1:13">
      <c r="A582" s="1">
        <f>HYPERLINK("http://www.twitter.com/NathanBLawrence/status/992167760934322178", "992167760934322178")</f>
        <v/>
      </c>
      <c r="B582" s="2" t="n">
        <v>43223.93289351852</v>
      </c>
      <c r="C582" t="n">
        <v>0</v>
      </c>
      <c r="D582" t="n">
        <v>5573</v>
      </c>
      <c r="E582" t="s">
        <v>593</v>
      </c>
      <c r="F582">
        <f>HYPERLINK("https://video.twimg.com/ext_tw_video/991813269131284481/pu/vid/642x360/qh6m-ZYUEVYDqN5S.mp4?tag=3", "https://video.twimg.com/ext_tw_video/991813269131284481/pu/vid/642x360/qh6m-ZYUEVYDqN5S.mp4?tag=3")</f>
        <v/>
      </c>
      <c r="G582" t="s"/>
      <c r="H582" t="s"/>
      <c r="I582" t="s"/>
      <c r="J582" t="n">
        <v>-0.7845</v>
      </c>
      <c r="K582" t="n">
        <v>0.247</v>
      </c>
      <c r="L582" t="n">
        <v>0.753</v>
      </c>
      <c r="M582" t="n">
        <v>0</v>
      </c>
    </row>
    <row r="583" spans="1:13">
      <c r="A583" s="1">
        <f>HYPERLINK("http://www.twitter.com/NathanBLawrence/status/992167427008942081", "992167427008942081")</f>
        <v/>
      </c>
      <c r="B583" s="2" t="n">
        <v>43223.93196759259</v>
      </c>
      <c r="C583" t="n">
        <v>0</v>
      </c>
      <c r="D583" t="n">
        <v>6</v>
      </c>
      <c r="E583" t="s">
        <v>594</v>
      </c>
      <c r="F583">
        <f>HYPERLINK("http://pbs.twimg.com/media/DcSq8aoW0AAB2ux.jpg", "http://pbs.twimg.com/media/DcSq8aoW0AAB2ux.jpg")</f>
        <v/>
      </c>
      <c r="G583" t="s"/>
      <c r="H583" t="s"/>
      <c r="I583" t="s"/>
      <c r="J583" t="n">
        <v>0</v>
      </c>
      <c r="K583" t="n">
        <v>0</v>
      </c>
      <c r="L583" t="n">
        <v>1</v>
      </c>
      <c r="M583" t="n">
        <v>0</v>
      </c>
    </row>
    <row r="584" spans="1:13">
      <c r="A584" s="1">
        <f>HYPERLINK("http://www.twitter.com/NathanBLawrence/status/992167301582536704", "992167301582536704")</f>
        <v/>
      </c>
      <c r="B584" s="2" t="n">
        <v>43223.93162037037</v>
      </c>
      <c r="C584" t="n">
        <v>9</v>
      </c>
      <c r="D584" t="n">
        <v>3</v>
      </c>
      <c r="E584" t="s">
        <v>595</v>
      </c>
      <c r="F584" t="s"/>
      <c r="G584" t="s"/>
      <c r="H584" t="s"/>
      <c r="I584" t="s"/>
      <c r="J584" t="n">
        <v>0</v>
      </c>
      <c r="K584" t="n">
        <v>0</v>
      </c>
      <c r="L584" t="n">
        <v>1</v>
      </c>
      <c r="M584" t="n">
        <v>0</v>
      </c>
    </row>
    <row r="585" spans="1:13">
      <c r="A585" s="1">
        <f>HYPERLINK("http://www.twitter.com/NathanBLawrence/status/992166987747880960", "992166987747880960")</f>
        <v/>
      </c>
      <c r="B585" s="2" t="n">
        <v>43223.93076388889</v>
      </c>
      <c r="C585" t="n">
        <v>0</v>
      </c>
      <c r="D585" t="n">
        <v>2441</v>
      </c>
      <c r="E585" t="s">
        <v>596</v>
      </c>
      <c r="F585">
        <f>HYPERLINK("http://pbs.twimg.com/media/DcTKozkWAAAauW4.jpg", "http://pbs.twimg.com/media/DcTKozkWAAAauW4.jpg")</f>
        <v/>
      </c>
      <c r="G585" t="s"/>
      <c r="H585" t="s"/>
      <c r="I585" t="s"/>
      <c r="J585" t="n">
        <v>0</v>
      </c>
      <c r="K585" t="n">
        <v>0</v>
      </c>
      <c r="L585" t="n">
        <v>1</v>
      </c>
      <c r="M585" t="n">
        <v>0</v>
      </c>
    </row>
    <row r="586" spans="1:13">
      <c r="A586" s="1">
        <f>HYPERLINK("http://www.twitter.com/NathanBLawrence/status/991973747962728453", "991973747962728453")</f>
        <v/>
      </c>
      <c r="B586" s="2" t="n">
        <v>43223.39752314815</v>
      </c>
      <c r="C586" t="n">
        <v>0</v>
      </c>
      <c r="D586" t="n">
        <v>1776</v>
      </c>
      <c r="E586" t="s">
        <v>597</v>
      </c>
      <c r="F586">
        <f>HYPERLINK("http://pbs.twimg.com/media/DcMWkpLVwAAgVcN.jpg", "http://pbs.twimg.com/media/DcMWkpLVwAAgVcN.jpg")</f>
        <v/>
      </c>
      <c r="G586" t="s"/>
      <c r="H586" t="s"/>
      <c r="I586" t="s"/>
      <c r="J586" t="n">
        <v>0.8555</v>
      </c>
      <c r="K586" t="n">
        <v>0.091</v>
      </c>
      <c r="L586" t="n">
        <v>0.438</v>
      </c>
      <c r="M586" t="n">
        <v>0.471</v>
      </c>
    </row>
    <row r="587" spans="1:13">
      <c r="A587" s="1">
        <f>HYPERLINK("http://www.twitter.com/NathanBLawrence/status/991915366015094785", "991915366015094785")</f>
        <v/>
      </c>
      <c r="B587" s="2" t="n">
        <v>43223.23641203704</v>
      </c>
      <c r="C587" t="n">
        <v>0</v>
      </c>
      <c r="D587" t="n">
        <v>160</v>
      </c>
      <c r="E587" t="s">
        <v>598</v>
      </c>
      <c r="F587" t="s"/>
      <c r="G587" t="s"/>
      <c r="H587" t="s"/>
      <c r="I587" t="s"/>
      <c r="J587" t="n">
        <v>-0.743</v>
      </c>
      <c r="K587" t="n">
        <v>0.422</v>
      </c>
      <c r="L587" t="n">
        <v>0.578</v>
      </c>
      <c r="M587" t="n">
        <v>0</v>
      </c>
    </row>
    <row r="588" spans="1:13">
      <c r="A588" s="1">
        <f>HYPERLINK("http://www.twitter.com/NathanBLawrence/status/991897928955379718", "991897928955379718")</f>
        <v/>
      </c>
      <c r="B588" s="2" t="n">
        <v>43223.18829861111</v>
      </c>
      <c r="C588" t="n">
        <v>0</v>
      </c>
      <c r="D588" t="n">
        <v>21799</v>
      </c>
      <c r="E588" t="s">
        <v>599</v>
      </c>
      <c r="F588" t="s"/>
      <c r="G588" t="s"/>
      <c r="H588" t="s"/>
      <c r="I588" t="s"/>
      <c r="J588" t="n">
        <v>0.8594000000000001</v>
      </c>
      <c r="K588" t="n">
        <v>0</v>
      </c>
      <c r="L588" t="n">
        <v>0.631</v>
      </c>
      <c r="M588" t="n">
        <v>0.369</v>
      </c>
    </row>
    <row r="589" spans="1:13">
      <c r="A589" s="1">
        <f>HYPERLINK("http://www.twitter.com/NathanBLawrence/status/991897791348727813", "991897791348727813")</f>
        <v/>
      </c>
      <c r="B589" s="2" t="n">
        <v>43223.18791666667</v>
      </c>
      <c r="C589" t="n">
        <v>65</v>
      </c>
      <c r="D589" t="n">
        <v>17</v>
      </c>
      <c r="E589" t="s">
        <v>600</v>
      </c>
      <c r="F589" t="s"/>
      <c r="G589" t="s"/>
      <c r="H589" t="s"/>
      <c r="I589" t="s"/>
      <c r="J589" t="n">
        <v>-0.5881999999999999</v>
      </c>
      <c r="K589" t="n">
        <v>0.227</v>
      </c>
      <c r="L589" t="n">
        <v>0.773</v>
      </c>
      <c r="M589" t="n">
        <v>0</v>
      </c>
    </row>
    <row r="590" spans="1:13">
      <c r="A590" s="1">
        <f>HYPERLINK("http://www.twitter.com/NathanBLawrence/status/991897326229770240", "991897326229770240")</f>
        <v/>
      </c>
      <c r="B590" s="2" t="n">
        <v>43223.18663194445</v>
      </c>
      <c r="C590" t="n">
        <v>0</v>
      </c>
      <c r="D590" t="n">
        <v>25</v>
      </c>
      <c r="E590" t="s">
        <v>601</v>
      </c>
      <c r="F590" t="s"/>
      <c r="G590" t="s"/>
      <c r="H590" t="s"/>
      <c r="I590" t="s"/>
      <c r="J590" t="n">
        <v>0.128</v>
      </c>
      <c r="K590" t="n">
        <v>0.05</v>
      </c>
      <c r="L590" t="n">
        <v>0.881</v>
      </c>
      <c r="M590" t="n">
        <v>0.06900000000000001</v>
      </c>
    </row>
    <row r="591" spans="1:13">
      <c r="A591" s="1">
        <f>HYPERLINK("http://www.twitter.com/NathanBLawrence/status/991897243165773824", "991897243165773824")</f>
        <v/>
      </c>
      <c r="B591" s="2" t="n">
        <v>43223.18640046296</v>
      </c>
      <c r="C591" t="n">
        <v>0</v>
      </c>
      <c r="D591" t="n">
        <v>323</v>
      </c>
      <c r="E591" t="s">
        <v>602</v>
      </c>
      <c r="F591" t="s"/>
      <c r="G591" t="s"/>
      <c r="H591" t="s"/>
      <c r="I591" t="s"/>
      <c r="J591" t="n">
        <v>0.484</v>
      </c>
      <c r="K591" t="n">
        <v>0</v>
      </c>
      <c r="L591" t="n">
        <v>0.864</v>
      </c>
      <c r="M591" t="n">
        <v>0.136</v>
      </c>
    </row>
    <row r="592" spans="1:13">
      <c r="A592" s="1">
        <f>HYPERLINK("http://www.twitter.com/NathanBLawrence/status/991897089272463360", "991897089272463360")</f>
        <v/>
      </c>
      <c r="B592" s="2" t="n">
        <v>43223.1859837963</v>
      </c>
      <c r="C592" t="n">
        <v>0</v>
      </c>
      <c r="D592" t="n">
        <v>1764</v>
      </c>
      <c r="E592" t="s">
        <v>603</v>
      </c>
      <c r="F592">
        <f>HYPERLINK("https://video.twimg.com/amplify_video/991834962516152320/vid/1280x720/jeUShjfq2FKtaAXt.mp4?tag=2", "https://video.twimg.com/amplify_video/991834962516152320/vid/1280x720/jeUShjfq2FKtaAXt.mp4?tag=2")</f>
        <v/>
      </c>
      <c r="G592" t="s"/>
      <c r="H592" t="s"/>
      <c r="I592" t="s"/>
      <c r="J592" t="n">
        <v>-0.2263</v>
      </c>
      <c r="K592" t="n">
        <v>0.094</v>
      </c>
      <c r="L592" t="n">
        <v>0.851</v>
      </c>
      <c r="M592" t="n">
        <v>0.055</v>
      </c>
    </row>
    <row r="593" spans="1:13">
      <c r="A593" s="1">
        <f>HYPERLINK("http://www.twitter.com/NathanBLawrence/status/991896262214479872", "991896262214479872")</f>
        <v/>
      </c>
      <c r="B593" s="2" t="n">
        <v>43223.1837037037</v>
      </c>
      <c r="C593" t="n">
        <v>0</v>
      </c>
      <c r="D593" t="n">
        <v>318</v>
      </c>
      <c r="E593" t="s">
        <v>604</v>
      </c>
      <c r="F593">
        <f>HYPERLINK("http://pbs.twimg.com/media/DcN-neYWAAIMVQ-.jpg", "http://pbs.twimg.com/media/DcN-neYWAAIMVQ-.jpg")</f>
        <v/>
      </c>
      <c r="G593" t="s"/>
      <c r="H593" t="s"/>
      <c r="I593" t="s"/>
      <c r="J593" t="n">
        <v>0.8176</v>
      </c>
      <c r="K593" t="n">
        <v>0.079</v>
      </c>
      <c r="L593" t="n">
        <v>0.573</v>
      </c>
      <c r="M593" t="n">
        <v>0.348</v>
      </c>
    </row>
    <row r="594" spans="1:13">
      <c r="A594" s="1">
        <f>HYPERLINK("http://www.twitter.com/NathanBLawrence/status/991896018768674816", "991896018768674816")</f>
        <v/>
      </c>
      <c r="B594" s="2" t="n">
        <v>43223.18303240741</v>
      </c>
      <c r="C594" t="n">
        <v>0</v>
      </c>
      <c r="D594" t="n">
        <v>19894</v>
      </c>
      <c r="E594" t="s">
        <v>605</v>
      </c>
      <c r="F594" t="s"/>
      <c r="G594" t="s"/>
      <c r="H594" t="s"/>
      <c r="I594" t="s"/>
      <c r="J594" t="n">
        <v>0</v>
      </c>
      <c r="K594" t="n">
        <v>0</v>
      </c>
      <c r="L594" t="n">
        <v>1</v>
      </c>
      <c r="M594" t="n">
        <v>0</v>
      </c>
    </row>
    <row r="595" spans="1:13">
      <c r="A595" s="1">
        <f>HYPERLINK("http://www.twitter.com/NathanBLawrence/status/991895918688456704", "991895918688456704")</f>
        <v/>
      </c>
      <c r="B595" s="2" t="n">
        <v>43223.18275462963</v>
      </c>
      <c r="C595" t="n">
        <v>0</v>
      </c>
      <c r="D595" t="n">
        <v>161</v>
      </c>
      <c r="E595" t="s">
        <v>606</v>
      </c>
      <c r="F595">
        <f>HYPERLINK("https://video.twimg.com/ext_tw_video/991853927485313024/pu/vid/512x640/0EK_Fw3fRyzyalM3.mp4?tag=3", "https://video.twimg.com/ext_tw_video/991853927485313024/pu/vid/512x640/0EK_Fw3fRyzyalM3.mp4?tag=3")</f>
        <v/>
      </c>
      <c r="G595" t="s"/>
      <c r="H595" t="s"/>
      <c r="I595" t="s"/>
      <c r="J595" t="n">
        <v>0.75</v>
      </c>
      <c r="K595" t="n">
        <v>0.08500000000000001</v>
      </c>
      <c r="L595" t="n">
        <v>0.62</v>
      </c>
      <c r="M595" t="n">
        <v>0.294</v>
      </c>
    </row>
    <row r="596" spans="1:13">
      <c r="A596" s="1">
        <f>HYPERLINK("http://www.twitter.com/NathanBLawrence/status/991891460269129729", "991891460269129729")</f>
        <v/>
      </c>
      <c r="B596" s="2" t="n">
        <v>43223.17045138889</v>
      </c>
      <c r="C596" t="n">
        <v>0</v>
      </c>
      <c r="D596" t="n">
        <v>756</v>
      </c>
      <c r="E596" t="s">
        <v>607</v>
      </c>
      <c r="F596" t="s"/>
      <c r="G596" t="s"/>
      <c r="H596" t="s"/>
      <c r="I596" t="s"/>
      <c r="J596" t="n">
        <v>0.5859</v>
      </c>
      <c r="K596" t="n">
        <v>0</v>
      </c>
      <c r="L596" t="n">
        <v>0.847</v>
      </c>
      <c r="M596" t="n">
        <v>0.153</v>
      </c>
    </row>
    <row r="597" spans="1:13">
      <c r="A597" s="1">
        <f>HYPERLINK("http://www.twitter.com/NathanBLawrence/status/991891254462955520", "991891254462955520")</f>
        <v/>
      </c>
      <c r="B597" s="2" t="n">
        <v>43223.16988425926</v>
      </c>
      <c r="C597" t="n">
        <v>0</v>
      </c>
      <c r="D597" t="n">
        <v>7</v>
      </c>
      <c r="E597" t="s">
        <v>608</v>
      </c>
      <c r="F597" t="s"/>
      <c r="G597" t="s"/>
      <c r="H597" t="s"/>
      <c r="I597" t="s"/>
      <c r="J597" t="n">
        <v>-0.3818</v>
      </c>
      <c r="K597" t="n">
        <v>0.126</v>
      </c>
      <c r="L597" t="n">
        <v>0.874</v>
      </c>
      <c r="M597" t="n">
        <v>0</v>
      </c>
    </row>
    <row r="598" spans="1:13">
      <c r="A598" s="1">
        <f>HYPERLINK("http://www.twitter.com/NathanBLawrence/status/991891151178289153", "991891151178289153")</f>
        <v/>
      </c>
      <c r="B598" s="2" t="n">
        <v>43223.16959490741</v>
      </c>
      <c r="C598" t="n">
        <v>0</v>
      </c>
      <c r="D598" t="n">
        <v>227</v>
      </c>
      <c r="E598" t="s">
        <v>609</v>
      </c>
      <c r="F598">
        <f>HYPERLINK("http://pbs.twimg.com/media/DcO7rIHUwAAuX4w.jpg", "http://pbs.twimg.com/media/DcO7rIHUwAAuX4w.jpg")</f>
        <v/>
      </c>
      <c r="G598" t="s"/>
      <c r="H598" t="s"/>
      <c r="I598" t="s"/>
      <c r="J598" t="n">
        <v>0.2105</v>
      </c>
      <c r="K598" t="n">
        <v>0.07199999999999999</v>
      </c>
      <c r="L598" t="n">
        <v>0.82</v>
      </c>
      <c r="M598" t="n">
        <v>0.108</v>
      </c>
    </row>
    <row r="599" spans="1:13">
      <c r="A599" s="1">
        <f>HYPERLINK("http://www.twitter.com/NathanBLawrence/status/991890716191219712", "991890716191219712")</f>
        <v/>
      </c>
      <c r="B599" s="2" t="n">
        <v>43223.1683912037</v>
      </c>
      <c r="C599" t="n">
        <v>0</v>
      </c>
      <c r="D599" t="n">
        <v>538</v>
      </c>
      <c r="E599" t="s">
        <v>610</v>
      </c>
      <c r="F599" t="s"/>
      <c r="G599" t="s"/>
      <c r="H599" t="s"/>
      <c r="I599" t="s"/>
      <c r="J599" t="n">
        <v>-0.0772</v>
      </c>
      <c r="K599" t="n">
        <v>0.061</v>
      </c>
      <c r="L599" t="n">
        <v>0.9389999999999999</v>
      </c>
      <c r="M599" t="n">
        <v>0</v>
      </c>
    </row>
    <row r="600" spans="1:13">
      <c r="A600" s="1">
        <f>HYPERLINK("http://www.twitter.com/NathanBLawrence/status/991890516034949121", "991890516034949121")</f>
        <v/>
      </c>
      <c r="B600" s="2" t="n">
        <v>43223.16784722222</v>
      </c>
      <c r="C600" t="n">
        <v>0</v>
      </c>
      <c r="D600" t="n">
        <v>374</v>
      </c>
      <c r="E600" t="s">
        <v>611</v>
      </c>
      <c r="F600">
        <f>HYPERLINK("http://pbs.twimg.com/media/DcPgKo7XcAUmM2T.jpg", "http://pbs.twimg.com/media/DcPgKo7XcAUmM2T.jpg")</f>
        <v/>
      </c>
      <c r="G600" t="s"/>
      <c r="H600" t="s"/>
      <c r="I600" t="s"/>
      <c r="J600" t="n">
        <v>-0.296</v>
      </c>
      <c r="K600" t="n">
        <v>0.091</v>
      </c>
      <c r="L600" t="n">
        <v>0.909</v>
      </c>
      <c r="M600" t="n">
        <v>0</v>
      </c>
    </row>
    <row r="601" spans="1:13">
      <c r="A601" s="1">
        <f>HYPERLINK("http://www.twitter.com/NathanBLawrence/status/991890045203234816", "991890045203234816")</f>
        <v/>
      </c>
      <c r="B601" s="2" t="n">
        <v>43223.16653935185</v>
      </c>
      <c r="C601" t="n">
        <v>0</v>
      </c>
      <c r="D601" t="n">
        <v>1382</v>
      </c>
      <c r="E601" t="s">
        <v>612</v>
      </c>
      <c r="F601" t="s"/>
      <c r="G601" t="s"/>
      <c r="H601" t="s"/>
      <c r="I601" t="s"/>
      <c r="J601" t="n">
        <v>0.5423</v>
      </c>
      <c r="K601" t="n">
        <v>0</v>
      </c>
      <c r="L601" t="n">
        <v>0.881</v>
      </c>
      <c r="M601" t="n">
        <v>0.119</v>
      </c>
    </row>
    <row r="602" spans="1:13">
      <c r="A602" s="1">
        <f>HYPERLINK("http://www.twitter.com/NathanBLawrence/status/991889977876201473", "991889977876201473")</f>
        <v/>
      </c>
      <c r="B602" s="2" t="n">
        <v>43223.16635416666</v>
      </c>
      <c r="C602" t="n">
        <v>0</v>
      </c>
      <c r="D602" t="n">
        <v>1129</v>
      </c>
      <c r="E602" t="s">
        <v>613</v>
      </c>
      <c r="F602">
        <f>HYPERLINK("http://pbs.twimg.com/media/DcO3x5yU8AAXuY7.jpg", "http://pbs.twimg.com/media/DcO3x5yU8AAXuY7.jpg")</f>
        <v/>
      </c>
      <c r="G602" t="s"/>
      <c r="H602" t="s"/>
      <c r="I602" t="s"/>
      <c r="J602" t="n">
        <v>0.2732</v>
      </c>
      <c r="K602" t="n">
        <v>0.106</v>
      </c>
      <c r="L602" t="n">
        <v>0.751</v>
      </c>
      <c r="M602" t="n">
        <v>0.143</v>
      </c>
    </row>
    <row r="603" spans="1:13">
      <c r="A603" s="1">
        <f>HYPERLINK("http://www.twitter.com/NathanBLawrence/status/991889856266625025", "991889856266625025")</f>
        <v/>
      </c>
      <c r="B603" s="2" t="n">
        <v>43223.16601851852</v>
      </c>
      <c r="C603" t="n">
        <v>0</v>
      </c>
      <c r="D603" t="n">
        <v>74</v>
      </c>
      <c r="E603" t="s">
        <v>614</v>
      </c>
      <c r="F603" t="s"/>
      <c r="G603" t="s"/>
      <c r="H603" t="s"/>
      <c r="I603" t="s"/>
      <c r="J603" t="n">
        <v>0.8883</v>
      </c>
      <c r="K603" t="n">
        <v>0</v>
      </c>
      <c r="L603" t="n">
        <v>0.582</v>
      </c>
      <c r="M603" t="n">
        <v>0.418</v>
      </c>
    </row>
    <row r="604" spans="1:13">
      <c r="A604" s="1">
        <f>HYPERLINK("http://www.twitter.com/NathanBLawrence/status/991889612300693507", "991889612300693507")</f>
        <v/>
      </c>
      <c r="B604" s="2" t="n">
        <v>43223.16534722222</v>
      </c>
      <c r="C604" t="n">
        <v>0</v>
      </c>
      <c r="D604" t="n">
        <v>8291</v>
      </c>
      <c r="E604" t="s">
        <v>615</v>
      </c>
      <c r="F604" t="s"/>
      <c r="G604" t="s"/>
      <c r="H604" t="s"/>
      <c r="I604" t="s"/>
      <c r="J604" t="n">
        <v>0.3612</v>
      </c>
      <c r="K604" t="n">
        <v>0.151</v>
      </c>
      <c r="L604" t="n">
        <v>0.573</v>
      </c>
      <c r="M604" t="n">
        <v>0.276</v>
      </c>
    </row>
    <row r="605" spans="1:13">
      <c r="A605" s="1">
        <f>HYPERLINK("http://www.twitter.com/NathanBLawrence/status/991889387523792896", "991889387523792896")</f>
        <v/>
      </c>
      <c r="B605" s="2" t="n">
        <v>43223.16473379629</v>
      </c>
      <c r="C605" t="n">
        <v>0</v>
      </c>
      <c r="D605" t="n">
        <v>15798</v>
      </c>
      <c r="E605" t="s">
        <v>616</v>
      </c>
      <c r="F605" t="s"/>
      <c r="G605" t="s"/>
      <c r="H605" t="s"/>
      <c r="I605" t="s"/>
      <c r="J605" t="n">
        <v>0.7345</v>
      </c>
      <c r="K605" t="n">
        <v>0</v>
      </c>
      <c r="L605" t="n">
        <v>0.764</v>
      </c>
      <c r="M605" t="n">
        <v>0.236</v>
      </c>
    </row>
    <row r="606" spans="1:13">
      <c r="A606" s="1">
        <f>HYPERLINK("http://www.twitter.com/NathanBLawrence/status/991889364719362048", "991889364719362048")</f>
        <v/>
      </c>
      <c r="B606" s="2" t="n">
        <v>43223.16466435185</v>
      </c>
      <c r="C606" t="n">
        <v>0</v>
      </c>
      <c r="D606" t="n">
        <v>1694</v>
      </c>
      <c r="E606" t="s">
        <v>617</v>
      </c>
      <c r="F606">
        <f>HYPERLINK("https://video.twimg.com/ext_tw_video/991886733342998528/pu/vid/720x720/41Pml5xOB6Q61FRb.mp4?tag=3", "https://video.twimg.com/ext_tw_video/991886733342998528/pu/vid/720x720/41Pml5xOB6Q61FRb.mp4?tag=3")</f>
        <v/>
      </c>
      <c r="G606" t="s"/>
      <c r="H606" t="s"/>
      <c r="I606" t="s"/>
      <c r="J606" t="n">
        <v>-0.3182</v>
      </c>
      <c r="K606" t="n">
        <v>0.126</v>
      </c>
      <c r="L606" t="n">
        <v>0.874</v>
      </c>
      <c r="M606" t="n">
        <v>0</v>
      </c>
    </row>
    <row r="607" spans="1:13">
      <c r="A607" s="1">
        <f>HYPERLINK("http://www.twitter.com/NathanBLawrence/status/991889198993948673", "991889198993948673")</f>
        <v/>
      </c>
      <c r="B607" s="2" t="n">
        <v>43223.16421296296</v>
      </c>
      <c r="C607" t="n">
        <v>0</v>
      </c>
      <c r="D607" t="n">
        <v>700</v>
      </c>
      <c r="E607" t="s">
        <v>618</v>
      </c>
      <c r="F607">
        <f>HYPERLINK("https://video.twimg.com/ext_tw_video/991843594079121408/pu/vid/1280x720/vl0fk-v6-9PnkfH9.mp4?tag=3", "https://video.twimg.com/ext_tw_video/991843594079121408/pu/vid/1280x720/vl0fk-v6-9PnkfH9.mp4?tag=3")</f>
        <v/>
      </c>
      <c r="G607" t="s"/>
      <c r="H607" t="s"/>
      <c r="I607" t="s"/>
      <c r="J607" t="n">
        <v>-0.4215</v>
      </c>
      <c r="K607" t="n">
        <v>0.135</v>
      </c>
      <c r="L607" t="n">
        <v>0.865</v>
      </c>
      <c r="M607" t="n">
        <v>0</v>
      </c>
    </row>
    <row r="608" spans="1:13">
      <c r="A608" s="1">
        <f>HYPERLINK("http://www.twitter.com/NathanBLawrence/status/991888888401547265", "991888888401547265")</f>
        <v/>
      </c>
      <c r="B608" s="2" t="n">
        <v>43223.16335648148</v>
      </c>
      <c r="C608" t="n">
        <v>0</v>
      </c>
      <c r="D608" t="n">
        <v>310</v>
      </c>
      <c r="E608" t="s">
        <v>619</v>
      </c>
      <c r="F608">
        <f>HYPERLINK("http://pbs.twimg.com/media/DbhhojTVwAAXHgu.jpg", "http://pbs.twimg.com/media/DbhhojTVwAAXHgu.jpg")</f>
        <v/>
      </c>
      <c r="G608" t="s"/>
      <c r="H608" t="s"/>
      <c r="I608" t="s"/>
      <c r="J608" t="n">
        <v>0.4215</v>
      </c>
      <c r="K608" t="n">
        <v>0</v>
      </c>
      <c r="L608" t="n">
        <v>0.891</v>
      </c>
      <c r="M608" t="n">
        <v>0.109</v>
      </c>
    </row>
    <row r="609" spans="1:13">
      <c r="A609" s="1">
        <f>HYPERLINK("http://www.twitter.com/NathanBLawrence/status/991888478903287808", "991888478903287808")</f>
        <v/>
      </c>
      <c r="B609" s="2" t="n">
        <v>43223.16222222222</v>
      </c>
      <c r="C609" t="n">
        <v>2</v>
      </c>
      <c r="D609" t="n">
        <v>5</v>
      </c>
      <c r="E609" t="s">
        <v>620</v>
      </c>
      <c r="F609" t="s"/>
      <c r="G609" t="s"/>
      <c r="H609" t="s"/>
      <c r="I609" t="s"/>
      <c r="J609" t="n">
        <v>0.4939</v>
      </c>
      <c r="K609" t="n">
        <v>0</v>
      </c>
      <c r="L609" t="n">
        <v>0.781</v>
      </c>
      <c r="M609" t="n">
        <v>0.219</v>
      </c>
    </row>
    <row r="610" spans="1:13">
      <c r="A610" s="1">
        <f>HYPERLINK("http://www.twitter.com/NathanBLawrence/status/991886244312268805", "991886244312268805")</f>
        <v/>
      </c>
      <c r="B610" s="2" t="n">
        <v>43223.15605324074</v>
      </c>
      <c r="C610" t="n">
        <v>0</v>
      </c>
      <c r="D610" t="n">
        <v>1070</v>
      </c>
      <c r="E610" t="s">
        <v>621</v>
      </c>
      <c r="F610" t="s"/>
      <c r="G610" t="s"/>
      <c r="H610" t="s"/>
      <c r="I610" t="s"/>
      <c r="J610" t="n">
        <v>0.2103</v>
      </c>
      <c r="K610" t="n">
        <v>0.163</v>
      </c>
      <c r="L610" t="n">
        <v>0.681</v>
      </c>
      <c r="M610" t="n">
        <v>0.156</v>
      </c>
    </row>
    <row r="611" spans="1:13">
      <c r="A611" s="1">
        <f>HYPERLINK("http://www.twitter.com/NathanBLawrence/status/991885901755138048", "991885901755138048")</f>
        <v/>
      </c>
      <c r="B611" s="2" t="n">
        <v>43223.15510416667</v>
      </c>
      <c r="C611" t="n">
        <v>0</v>
      </c>
      <c r="D611" t="n">
        <v>29</v>
      </c>
      <c r="E611" t="s">
        <v>622</v>
      </c>
      <c r="F611">
        <f>HYPERLINK("http://pbs.twimg.com/media/DcPffIqVMAA2nBq.jpg", "http://pbs.twimg.com/media/DcPffIqVMAA2nBq.jpg")</f>
        <v/>
      </c>
      <c r="G611" t="s"/>
      <c r="H611" t="s"/>
      <c r="I611" t="s"/>
      <c r="J611" t="n">
        <v>0</v>
      </c>
      <c r="K611" t="n">
        <v>0</v>
      </c>
      <c r="L611" t="n">
        <v>1</v>
      </c>
      <c r="M611" t="n">
        <v>0</v>
      </c>
    </row>
    <row r="612" spans="1:13">
      <c r="A612" s="1">
        <f>HYPERLINK("http://www.twitter.com/NathanBLawrence/status/991885791985979392", "991885791985979392")</f>
        <v/>
      </c>
      <c r="B612" s="2" t="n">
        <v>43223.15480324074</v>
      </c>
      <c r="C612" t="n">
        <v>0</v>
      </c>
      <c r="D612" t="n">
        <v>268</v>
      </c>
      <c r="E612" t="s">
        <v>623</v>
      </c>
      <c r="F612">
        <f>HYPERLINK("https://video.twimg.com/ext_tw_video/991785660221620225/pu/vid/960x720/AYuRqMkFfDF_YBPU.mp4?tag=3", "https://video.twimg.com/ext_tw_video/991785660221620225/pu/vid/960x720/AYuRqMkFfDF_YBPU.mp4?tag=3")</f>
        <v/>
      </c>
      <c r="G612" t="s"/>
      <c r="H612" t="s"/>
      <c r="I612" t="s"/>
      <c r="J612" t="n">
        <v>-0.6229</v>
      </c>
      <c r="K612" t="n">
        <v>0.232</v>
      </c>
      <c r="L612" t="n">
        <v>0.674</v>
      </c>
      <c r="M612" t="n">
        <v>0.094</v>
      </c>
    </row>
    <row r="613" spans="1:13">
      <c r="A613" s="1">
        <f>HYPERLINK("http://www.twitter.com/NathanBLawrence/status/991885677087277056", "991885677087277056")</f>
        <v/>
      </c>
      <c r="B613" s="2" t="n">
        <v>43223.15449074074</v>
      </c>
      <c r="C613" t="n">
        <v>0</v>
      </c>
      <c r="D613" t="n">
        <v>81</v>
      </c>
      <c r="E613" t="s">
        <v>624</v>
      </c>
      <c r="F613">
        <f>HYPERLINK("http://pbs.twimg.com/media/DcMt98OVAAAJiu6.jpg", "http://pbs.twimg.com/media/DcMt98OVAAAJiu6.jpg")</f>
        <v/>
      </c>
      <c r="G613" t="s"/>
      <c r="H613" t="s"/>
      <c r="I613" t="s"/>
      <c r="J613" t="n">
        <v>0.296</v>
      </c>
      <c r="K613" t="n">
        <v>0</v>
      </c>
      <c r="L613" t="n">
        <v>0.896</v>
      </c>
      <c r="M613" t="n">
        <v>0.104</v>
      </c>
    </row>
    <row r="614" spans="1:13">
      <c r="A614" s="1">
        <f>HYPERLINK("http://www.twitter.com/NathanBLawrence/status/991885641666342913", "991885641666342913")</f>
        <v/>
      </c>
      <c r="B614" s="2" t="n">
        <v>43223.15438657408</v>
      </c>
      <c r="C614" t="n">
        <v>0</v>
      </c>
      <c r="D614" t="n">
        <v>109</v>
      </c>
      <c r="E614" t="s">
        <v>625</v>
      </c>
      <c r="F614">
        <f>HYPERLINK("http://pbs.twimg.com/media/DcM0iy0VAAIui86.jpg", "http://pbs.twimg.com/media/DcM0iy0VAAIui86.jpg")</f>
        <v/>
      </c>
      <c r="G614" t="s"/>
      <c r="H614" t="s"/>
      <c r="I614" t="s"/>
      <c r="J614" t="n">
        <v>0</v>
      </c>
      <c r="K614" t="n">
        <v>0</v>
      </c>
      <c r="L614" t="n">
        <v>1</v>
      </c>
      <c r="M614" t="n">
        <v>0</v>
      </c>
    </row>
    <row r="615" spans="1:13">
      <c r="A615" s="1">
        <f>HYPERLINK("http://www.twitter.com/NathanBLawrence/status/991885447008632832", "991885447008632832")</f>
        <v/>
      </c>
      <c r="B615" s="2" t="n">
        <v>43223.15385416667</v>
      </c>
      <c r="C615" t="n">
        <v>0</v>
      </c>
      <c r="D615" t="n">
        <v>173</v>
      </c>
      <c r="E615" t="s">
        <v>626</v>
      </c>
      <c r="F615">
        <f>HYPERLINK("http://pbs.twimg.com/media/DcNCnDwXcAAK1-n.jpg", "http://pbs.twimg.com/media/DcNCnDwXcAAK1-n.jpg")</f>
        <v/>
      </c>
      <c r="G615" t="s"/>
      <c r="H615" t="s"/>
      <c r="I615" t="s"/>
      <c r="J615" t="n">
        <v>-0.9500999999999999</v>
      </c>
      <c r="K615" t="n">
        <v>0.469</v>
      </c>
      <c r="L615" t="n">
        <v>0.531</v>
      </c>
      <c r="M615" t="n">
        <v>0</v>
      </c>
    </row>
    <row r="616" spans="1:13">
      <c r="A616" s="1">
        <f>HYPERLINK("http://www.twitter.com/NathanBLawrence/status/991884942517780481", "991884942517780481")</f>
        <v/>
      </c>
      <c r="B616" s="2" t="n">
        <v>43223.15246527778</v>
      </c>
      <c r="C616" t="n">
        <v>0</v>
      </c>
      <c r="D616" t="n">
        <v>721</v>
      </c>
      <c r="E616" t="s">
        <v>627</v>
      </c>
      <c r="F616">
        <f>HYPERLINK("https://video.twimg.com/ext_tw_video/991789349091061761/pu/vid/360x640/pLZAZNyVybnUd_GB.mp4?tag=3", "https://video.twimg.com/ext_tw_video/991789349091061761/pu/vid/360x640/pLZAZNyVybnUd_GB.mp4?tag=3")</f>
        <v/>
      </c>
      <c r="G616" t="s"/>
      <c r="H616" t="s"/>
      <c r="I616" t="s"/>
      <c r="J616" t="n">
        <v>-0.0772</v>
      </c>
      <c r="K616" t="n">
        <v>0.149</v>
      </c>
      <c r="L616" t="n">
        <v>0.718</v>
      </c>
      <c r="M616" t="n">
        <v>0.133</v>
      </c>
    </row>
    <row r="617" spans="1:13">
      <c r="A617" s="1">
        <f>HYPERLINK("http://www.twitter.com/NathanBLawrence/status/991884091053162496", "991884091053162496")</f>
        <v/>
      </c>
      <c r="B617" s="2" t="n">
        <v>43223.15011574074</v>
      </c>
      <c r="C617" t="n">
        <v>0</v>
      </c>
      <c r="D617" t="n">
        <v>756</v>
      </c>
      <c r="E617" t="s">
        <v>628</v>
      </c>
      <c r="F617">
        <f>HYPERLINK("http://pbs.twimg.com/media/DcOEs-hVwAASezM.jpg", "http://pbs.twimg.com/media/DcOEs-hVwAASezM.jpg")</f>
        <v/>
      </c>
      <c r="G617" t="s"/>
      <c r="H617" t="s"/>
      <c r="I617" t="s"/>
      <c r="J617" t="n">
        <v>0.4995</v>
      </c>
      <c r="K617" t="n">
        <v>0</v>
      </c>
      <c r="L617" t="n">
        <v>0.861</v>
      </c>
      <c r="M617" t="n">
        <v>0.139</v>
      </c>
    </row>
    <row r="618" spans="1:13">
      <c r="A618" s="1">
        <f>HYPERLINK("http://www.twitter.com/NathanBLawrence/status/991883203270004737", "991883203270004737")</f>
        <v/>
      </c>
      <c r="B618" s="2" t="n">
        <v>43223.14766203704</v>
      </c>
      <c r="C618" t="n">
        <v>0</v>
      </c>
      <c r="D618" t="n">
        <v>338</v>
      </c>
      <c r="E618" t="s">
        <v>629</v>
      </c>
      <c r="F618">
        <f>HYPERLINK("http://pbs.twimg.com/media/DcPeaGVX4AAtEvN.jpg", "http://pbs.twimg.com/media/DcPeaGVX4AAtEvN.jpg")</f>
        <v/>
      </c>
      <c r="G618" t="s"/>
      <c r="H618" t="s"/>
      <c r="I618" t="s"/>
      <c r="J618" t="n">
        <v>0</v>
      </c>
      <c r="K618" t="n">
        <v>0</v>
      </c>
      <c r="L618" t="n">
        <v>1</v>
      </c>
      <c r="M618" t="n">
        <v>0</v>
      </c>
    </row>
    <row r="619" spans="1:13">
      <c r="A619" s="1">
        <f>HYPERLINK("http://www.twitter.com/NathanBLawrence/status/991882989767344133", "991882989767344133")</f>
        <v/>
      </c>
      <c r="B619" s="2" t="n">
        <v>43223.14707175926</v>
      </c>
      <c r="C619" t="n">
        <v>0</v>
      </c>
      <c r="D619" t="n">
        <v>467</v>
      </c>
      <c r="E619" t="s">
        <v>630</v>
      </c>
      <c r="F619" t="s"/>
      <c r="G619" t="s"/>
      <c r="H619" t="s"/>
      <c r="I619" t="s"/>
      <c r="J619" t="n">
        <v>-0.7579</v>
      </c>
      <c r="K619" t="n">
        <v>0.236</v>
      </c>
      <c r="L619" t="n">
        <v>0.764</v>
      </c>
      <c r="M619" t="n">
        <v>0</v>
      </c>
    </row>
    <row r="620" spans="1:13">
      <c r="A620" s="1">
        <f>HYPERLINK("http://www.twitter.com/NathanBLawrence/status/991880739070164992", "991880739070164992")</f>
        <v/>
      </c>
      <c r="B620" s="2" t="n">
        <v>43223.14086805555</v>
      </c>
      <c r="C620" t="n">
        <v>0</v>
      </c>
      <c r="D620" t="n">
        <v>920</v>
      </c>
      <c r="E620" t="s">
        <v>631</v>
      </c>
      <c r="F620">
        <f>HYPERLINK("https://video.twimg.com/ext_tw_video/991837716529729537/pu/vid/720x720/KlZiPwogJVBnJa1W.mp4?tag=3", "https://video.twimg.com/ext_tw_video/991837716529729537/pu/vid/720x720/KlZiPwogJVBnJa1W.mp4?tag=3")</f>
        <v/>
      </c>
      <c r="G620" t="s"/>
      <c r="H620" t="s"/>
      <c r="I620" t="s"/>
      <c r="J620" t="n">
        <v>0.7783</v>
      </c>
      <c r="K620" t="n">
        <v>0</v>
      </c>
      <c r="L620" t="n">
        <v>0.736</v>
      </c>
      <c r="M620" t="n">
        <v>0.264</v>
      </c>
    </row>
    <row r="621" spans="1:13">
      <c r="A621" s="1">
        <f>HYPERLINK("http://www.twitter.com/NathanBLawrence/status/991880406176710657", "991880406176710657")</f>
        <v/>
      </c>
      <c r="B621" s="2" t="n">
        <v>43223.13994212963</v>
      </c>
      <c r="C621" t="n">
        <v>0</v>
      </c>
      <c r="D621" t="n">
        <v>6</v>
      </c>
      <c r="E621" t="s">
        <v>632</v>
      </c>
      <c r="F621">
        <f>HYPERLINK("http://pbs.twimg.com/media/DcPbj4nUQAAkxGj.jpg", "http://pbs.twimg.com/media/DcPbj4nUQAAkxGj.jpg")</f>
        <v/>
      </c>
      <c r="G621" t="s"/>
      <c r="H621" t="s"/>
      <c r="I621" t="s"/>
      <c r="J621" t="n">
        <v>0</v>
      </c>
      <c r="K621" t="n">
        <v>0</v>
      </c>
      <c r="L621" t="n">
        <v>1</v>
      </c>
      <c r="M621" t="n">
        <v>0</v>
      </c>
    </row>
    <row r="622" spans="1:13">
      <c r="A622" s="1">
        <f>HYPERLINK("http://www.twitter.com/NathanBLawrence/status/991880099816353792", "991880099816353792")</f>
        <v/>
      </c>
      <c r="B622" s="2" t="n">
        <v>43223.13909722222</v>
      </c>
      <c r="C622" t="n">
        <v>0</v>
      </c>
      <c r="D622" t="n">
        <v>480</v>
      </c>
      <c r="E622" t="s">
        <v>633</v>
      </c>
      <c r="F622" t="s"/>
      <c r="G622" t="s"/>
      <c r="H622" t="s"/>
      <c r="I622" t="s"/>
      <c r="J622" t="n">
        <v>-0.1984</v>
      </c>
      <c r="K622" t="n">
        <v>0.154</v>
      </c>
      <c r="L622" t="n">
        <v>0.718</v>
      </c>
      <c r="M622" t="n">
        <v>0.128</v>
      </c>
    </row>
    <row r="623" spans="1:13">
      <c r="A623" s="1">
        <f>HYPERLINK("http://www.twitter.com/NathanBLawrence/status/991879800020058112", "991879800020058112")</f>
        <v/>
      </c>
      <c r="B623" s="2" t="n">
        <v>43223.13827546296</v>
      </c>
      <c r="C623" t="n">
        <v>0</v>
      </c>
      <c r="D623" t="n">
        <v>1844</v>
      </c>
      <c r="E623" t="s">
        <v>634</v>
      </c>
      <c r="F623">
        <f>HYPERLINK("http://pbs.twimg.com/media/DcN5S_aX4AEZ19e.jpg", "http://pbs.twimg.com/media/DcN5S_aX4AEZ19e.jpg")</f>
        <v/>
      </c>
      <c r="G623" t="s"/>
      <c r="H623" t="s"/>
      <c r="I623" t="s"/>
      <c r="J623" t="n">
        <v>0.3182</v>
      </c>
      <c r="K623" t="n">
        <v>0</v>
      </c>
      <c r="L623" t="n">
        <v>0.909</v>
      </c>
      <c r="M623" t="n">
        <v>0.091</v>
      </c>
    </row>
    <row r="624" spans="1:13">
      <c r="A624" s="1">
        <f>HYPERLINK("http://www.twitter.com/NathanBLawrence/status/991879590158086144", "991879590158086144")</f>
        <v/>
      </c>
      <c r="B624" s="2" t="n">
        <v>43223.13769675926</v>
      </c>
      <c r="C624" t="n">
        <v>0</v>
      </c>
      <c r="D624" t="n">
        <v>528</v>
      </c>
      <c r="E624" t="s">
        <v>635</v>
      </c>
      <c r="F624">
        <f>HYPERLINK("http://pbs.twimg.com/media/DcN3YVuWsAEnMbd.jpg", "http://pbs.twimg.com/media/DcN3YVuWsAEnMbd.jpg")</f>
        <v/>
      </c>
      <c r="G624" t="s"/>
      <c r="H624" t="s"/>
      <c r="I624" t="s"/>
      <c r="J624" t="n">
        <v>0.4767</v>
      </c>
      <c r="K624" t="n">
        <v>0</v>
      </c>
      <c r="L624" t="n">
        <v>0.806</v>
      </c>
      <c r="M624" t="n">
        <v>0.194</v>
      </c>
    </row>
    <row r="625" spans="1:13">
      <c r="A625" s="1">
        <f>HYPERLINK("http://www.twitter.com/NathanBLawrence/status/991879476198785029", "991879476198785029")</f>
        <v/>
      </c>
      <c r="B625" s="2" t="n">
        <v>43223.13738425926</v>
      </c>
      <c r="C625" t="n">
        <v>0</v>
      </c>
      <c r="D625" t="n">
        <v>174</v>
      </c>
      <c r="E625" t="s">
        <v>636</v>
      </c>
      <c r="F625">
        <f>HYPERLINK("http://pbs.twimg.com/media/DcOmDqbVQAA01IY.jpg", "http://pbs.twimg.com/media/DcOmDqbVQAA01IY.jpg")</f>
        <v/>
      </c>
      <c r="G625" t="s"/>
      <c r="H625" t="s"/>
      <c r="I625" t="s"/>
      <c r="J625" t="n">
        <v>0</v>
      </c>
      <c r="K625" t="n">
        <v>0</v>
      </c>
      <c r="L625" t="n">
        <v>1</v>
      </c>
      <c r="M625" t="n">
        <v>0</v>
      </c>
    </row>
    <row r="626" spans="1:13">
      <c r="A626" s="1">
        <f>HYPERLINK("http://www.twitter.com/NathanBLawrence/status/991879287048323072", "991879287048323072")</f>
        <v/>
      </c>
      <c r="B626" s="2" t="n">
        <v>43223.13685185185</v>
      </c>
      <c r="C626" t="n">
        <v>0</v>
      </c>
      <c r="D626" t="n">
        <v>236</v>
      </c>
      <c r="E626" t="s">
        <v>637</v>
      </c>
      <c r="F626">
        <f>HYPERLINK("http://pbs.twimg.com/media/DcOYnuHVMAE6pvK.jpg", "http://pbs.twimg.com/media/DcOYnuHVMAE6pvK.jpg")</f>
        <v/>
      </c>
      <c r="G626" t="s"/>
      <c r="H626" t="s"/>
      <c r="I626" t="s"/>
      <c r="J626" t="n">
        <v>0.4588</v>
      </c>
      <c r="K626" t="n">
        <v>0</v>
      </c>
      <c r="L626" t="n">
        <v>0.8</v>
      </c>
      <c r="M626" t="n">
        <v>0.2</v>
      </c>
    </row>
    <row r="627" spans="1:13">
      <c r="A627" s="1">
        <f>HYPERLINK("http://www.twitter.com/NathanBLawrence/status/991879177237184512", "991879177237184512")</f>
        <v/>
      </c>
      <c r="B627" s="2" t="n">
        <v>43223.13655092593</v>
      </c>
      <c r="C627" t="n">
        <v>7</v>
      </c>
      <c r="D627" t="n">
        <v>6</v>
      </c>
      <c r="E627" t="s">
        <v>638</v>
      </c>
      <c r="F627" t="s"/>
      <c r="G627" t="s"/>
      <c r="H627" t="s"/>
      <c r="I627" t="s"/>
      <c r="J627" t="n">
        <v>0</v>
      </c>
      <c r="K627" t="n">
        <v>0</v>
      </c>
      <c r="L627" t="n">
        <v>1</v>
      </c>
      <c r="M627" t="n">
        <v>0</v>
      </c>
    </row>
    <row r="628" spans="1:13">
      <c r="A628" s="1">
        <f>HYPERLINK("http://www.twitter.com/NathanBLawrence/status/991879161680572416", "991879161680572416")</f>
        <v/>
      </c>
      <c r="B628" s="2" t="n">
        <v>43223.1365162037</v>
      </c>
      <c r="C628" t="n">
        <v>3</v>
      </c>
      <c r="D628" t="n">
        <v>2</v>
      </c>
      <c r="E628" t="s">
        <v>638</v>
      </c>
      <c r="F628" t="s"/>
      <c r="G628" t="s"/>
      <c r="H628" t="s"/>
      <c r="I628" t="s"/>
      <c r="J628" t="n">
        <v>0</v>
      </c>
      <c r="K628" t="n">
        <v>0</v>
      </c>
      <c r="L628" t="n">
        <v>1</v>
      </c>
      <c r="M628" t="n">
        <v>0</v>
      </c>
    </row>
    <row r="629" spans="1:13">
      <c r="A629" s="1">
        <f>HYPERLINK("http://www.twitter.com/NathanBLawrence/status/991878750282203137", "991878750282203137")</f>
        <v/>
      </c>
      <c r="B629" s="2" t="n">
        <v>43223.13537037037</v>
      </c>
      <c r="C629" t="n">
        <v>0</v>
      </c>
      <c r="D629" t="n">
        <v>179</v>
      </c>
      <c r="E629" t="s">
        <v>639</v>
      </c>
      <c r="F629">
        <f>HYPERLINK("http://pbs.twimg.com/media/DcNpNWFV4AAVLWT.jpg", "http://pbs.twimg.com/media/DcNpNWFV4AAVLWT.jpg")</f>
        <v/>
      </c>
      <c r="G629" t="s"/>
      <c r="H629" t="s"/>
      <c r="I629" t="s"/>
      <c r="J629" t="n">
        <v>0</v>
      </c>
      <c r="K629" t="n">
        <v>0</v>
      </c>
      <c r="L629" t="n">
        <v>1</v>
      </c>
      <c r="M629" t="n">
        <v>0</v>
      </c>
    </row>
    <row r="630" spans="1:13">
      <c r="A630" s="1">
        <f>HYPERLINK("http://www.twitter.com/NathanBLawrence/status/991878608653246464", "991878608653246464")</f>
        <v/>
      </c>
      <c r="B630" s="2" t="n">
        <v>43223.13498842593</v>
      </c>
      <c r="C630" t="n">
        <v>0</v>
      </c>
      <c r="D630" t="n">
        <v>1396</v>
      </c>
      <c r="E630" t="s">
        <v>640</v>
      </c>
      <c r="F630">
        <f>HYPERLINK("http://pbs.twimg.com/media/DcK4It2X4AAQqBe.jpg", "http://pbs.twimg.com/media/DcK4It2X4AAQqBe.jpg")</f>
        <v/>
      </c>
      <c r="G630" t="s"/>
      <c r="H630" t="s"/>
      <c r="I630" t="s"/>
      <c r="J630" t="n">
        <v>0.9796</v>
      </c>
      <c r="K630" t="n">
        <v>0</v>
      </c>
      <c r="L630" t="n">
        <v>0.406</v>
      </c>
      <c r="M630" t="n">
        <v>0.594</v>
      </c>
    </row>
    <row r="631" spans="1:13">
      <c r="A631" s="1">
        <f>HYPERLINK("http://www.twitter.com/NathanBLawrence/status/991878310983450625", "991878310983450625")</f>
        <v/>
      </c>
      <c r="B631" s="2" t="n">
        <v>43223.13416666666</v>
      </c>
      <c r="C631" t="n">
        <v>0</v>
      </c>
      <c r="D631" t="n">
        <v>2194</v>
      </c>
      <c r="E631" t="s">
        <v>641</v>
      </c>
      <c r="F631" t="s"/>
      <c r="G631" t="s"/>
      <c r="H631" t="s"/>
      <c r="I631" t="s"/>
      <c r="J631" t="n">
        <v>-0.4767</v>
      </c>
      <c r="K631" t="n">
        <v>0.237</v>
      </c>
      <c r="L631" t="n">
        <v>0.763</v>
      </c>
      <c r="M631" t="n">
        <v>0</v>
      </c>
    </row>
    <row r="632" spans="1:13">
      <c r="A632" s="1">
        <f>HYPERLINK("http://www.twitter.com/NathanBLawrence/status/991878258588254208", "991878258588254208")</f>
        <v/>
      </c>
      <c r="B632" s="2" t="n">
        <v>43223.1340162037</v>
      </c>
      <c r="C632" t="n">
        <v>0</v>
      </c>
      <c r="D632" t="n">
        <v>7944</v>
      </c>
      <c r="E632" t="s">
        <v>642</v>
      </c>
      <c r="F632" t="s"/>
      <c r="G632" t="s"/>
      <c r="H632" t="s"/>
      <c r="I632" t="s"/>
      <c r="J632" t="n">
        <v>0.2263</v>
      </c>
      <c r="K632" t="n">
        <v>0.1</v>
      </c>
      <c r="L632" t="n">
        <v>0.763</v>
      </c>
      <c r="M632" t="n">
        <v>0.137</v>
      </c>
    </row>
    <row r="633" spans="1:13">
      <c r="A633" s="1">
        <f>HYPERLINK("http://www.twitter.com/NathanBLawrence/status/991878209628135424", "991878209628135424")</f>
        <v/>
      </c>
      <c r="B633" s="2" t="n">
        <v>43223.13388888889</v>
      </c>
      <c r="C633" t="n">
        <v>0</v>
      </c>
      <c r="D633" t="n">
        <v>2471</v>
      </c>
      <c r="E633" t="s">
        <v>643</v>
      </c>
      <c r="F633">
        <f>HYPERLINK("https://video.twimg.com/amplify_video/991853727459012608/vid/1280x720/rCeglyB1vgq5_46g.mp4?tag=2", "https://video.twimg.com/amplify_video/991853727459012608/vid/1280x720/rCeglyB1vgq5_46g.mp4?tag=2")</f>
        <v/>
      </c>
      <c r="G633" t="s"/>
      <c r="H633" t="s"/>
      <c r="I633" t="s"/>
      <c r="J633" t="n">
        <v>-0.8481</v>
      </c>
      <c r="K633" t="n">
        <v>0.365</v>
      </c>
      <c r="L633" t="n">
        <v>0.635</v>
      </c>
      <c r="M633" t="n">
        <v>0</v>
      </c>
    </row>
    <row r="634" spans="1:13">
      <c r="A634" s="1">
        <f>HYPERLINK("http://www.twitter.com/NathanBLawrence/status/991878050387132416", "991878050387132416")</f>
        <v/>
      </c>
      <c r="B634" s="2" t="n">
        <v>43223.13344907408</v>
      </c>
      <c r="C634" t="n">
        <v>0</v>
      </c>
      <c r="D634" t="n">
        <v>719</v>
      </c>
      <c r="E634" t="s">
        <v>644</v>
      </c>
      <c r="F634">
        <f>HYPERLINK("http://pbs.twimg.com/media/DcPVfNBV0AAyltU.jpg", "http://pbs.twimg.com/media/DcPVfNBV0AAyltU.jpg")</f>
        <v/>
      </c>
      <c r="G634" t="s"/>
      <c r="H634" t="s"/>
      <c r="I634" t="s"/>
      <c r="J634" t="n">
        <v>-0.4199</v>
      </c>
      <c r="K634" t="n">
        <v>0.113</v>
      </c>
      <c r="L634" t="n">
        <v>0.887</v>
      </c>
      <c r="M634" t="n">
        <v>0</v>
      </c>
    </row>
    <row r="635" spans="1:13">
      <c r="A635" s="1">
        <f>HYPERLINK("http://www.twitter.com/NathanBLawrence/status/991877960314507264", "991877960314507264")</f>
        <v/>
      </c>
      <c r="B635" s="2" t="n">
        <v>43223.13319444445</v>
      </c>
      <c r="C635" t="n">
        <v>0</v>
      </c>
      <c r="D635" t="n">
        <v>474</v>
      </c>
      <c r="E635" t="s">
        <v>645</v>
      </c>
      <c r="F635" t="s"/>
      <c r="G635" t="s"/>
      <c r="H635" t="s"/>
      <c r="I635" t="s"/>
      <c r="J635" t="n">
        <v>0</v>
      </c>
      <c r="K635" t="n">
        <v>0</v>
      </c>
      <c r="L635" t="n">
        <v>1</v>
      </c>
      <c r="M635" t="n">
        <v>0</v>
      </c>
    </row>
    <row r="636" spans="1:13">
      <c r="A636" s="1">
        <f>HYPERLINK("http://www.twitter.com/NathanBLawrence/status/991877728101019648", "991877728101019648")</f>
        <v/>
      </c>
      <c r="B636" s="2" t="n">
        <v>43223.13255787037</v>
      </c>
      <c r="C636" t="n">
        <v>0</v>
      </c>
      <c r="D636" t="n">
        <v>1534</v>
      </c>
      <c r="E636" t="s">
        <v>646</v>
      </c>
      <c r="F636" t="s"/>
      <c r="G636" t="s"/>
      <c r="H636" t="s"/>
      <c r="I636" t="s"/>
      <c r="J636" t="n">
        <v>-0.8625</v>
      </c>
      <c r="K636" t="n">
        <v>0.314</v>
      </c>
      <c r="L636" t="n">
        <v>0.6860000000000001</v>
      </c>
      <c r="M636" t="n">
        <v>0</v>
      </c>
    </row>
    <row r="637" spans="1:13">
      <c r="A637" s="1">
        <f>HYPERLINK("http://www.twitter.com/NathanBLawrence/status/991877508600483840", "991877508600483840")</f>
        <v/>
      </c>
      <c r="B637" s="2" t="n">
        <v>43223.13194444445</v>
      </c>
      <c r="C637" t="n">
        <v>0</v>
      </c>
      <c r="D637" t="n">
        <v>811</v>
      </c>
      <c r="E637" t="s">
        <v>647</v>
      </c>
      <c r="F637">
        <f>HYPERLINK("https://video.twimg.com/amplify_video/991853727459012608/vid/1280x720/rCeglyB1vgq5_46g.mp4?tag=2", "https://video.twimg.com/amplify_video/991853727459012608/vid/1280x720/rCeglyB1vgq5_46g.mp4?tag=2")</f>
        <v/>
      </c>
      <c r="G637" t="s"/>
      <c r="H637" t="s"/>
      <c r="I637" t="s"/>
      <c r="J637" t="n">
        <v>-0.3818</v>
      </c>
      <c r="K637" t="n">
        <v>0.12</v>
      </c>
      <c r="L637" t="n">
        <v>0.88</v>
      </c>
      <c r="M637" t="n">
        <v>0</v>
      </c>
    </row>
    <row r="638" spans="1:13">
      <c r="A638" s="1">
        <f>HYPERLINK("http://www.twitter.com/NathanBLawrence/status/991862084966146048", "991862084966146048")</f>
        <v/>
      </c>
      <c r="B638" s="2" t="n">
        <v>43223.08938657407</v>
      </c>
      <c r="C638" t="n">
        <v>0</v>
      </c>
      <c r="D638" t="n">
        <v>692</v>
      </c>
      <c r="E638" t="s">
        <v>648</v>
      </c>
      <c r="F638">
        <f>HYPERLINK("https://video.twimg.com/ext_tw_video/991678544836149248/pu/vid/720x720/PTTcOy7iiLrlO49f.mp4?tag=3", "https://video.twimg.com/ext_tw_video/991678544836149248/pu/vid/720x720/PTTcOy7iiLrlO49f.mp4?tag=3")</f>
        <v/>
      </c>
      <c r="G638" t="s"/>
      <c r="H638" t="s"/>
      <c r="I638" t="s"/>
      <c r="J638" t="n">
        <v>0.4263</v>
      </c>
      <c r="K638" t="n">
        <v>0.112</v>
      </c>
      <c r="L638" t="n">
        <v>0.708</v>
      </c>
      <c r="M638" t="n">
        <v>0.18</v>
      </c>
    </row>
    <row r="639" spans="1:13">
      <c r="A639" s="1">
        <f>HYPERLINK("http://www.twitter.com/NathanBLawrence/status/991861702059683840", "991861702059683840")</f>
        <v/>
      </c>
      <c r="B639" s="2" t="n">
        <v>43223.08833333333</v>
      </c>
      <c r="C639" t="n">
        <v>0</v>
      </c>
      <c r="D639" t="n">
        <v>954</v>
      </c>
      <c r="E639" t="s">
        <v>649</v>
      </c>
      <c r="F639">
        <f>HYPERLINK("http://pbs.twimg.com/media/DcPLv7yXUAErggT.jpg", "http://pbs.twimg.com/media/DcPLv7yXUAErggT.jpg")</f>
        <v/>
      </c>
      <c r="G639" t="s"/>
      <c r="H639" t="s"/>
      <c r="I639" t="s"/>
      <c r="J639" t="n">
        <v>0</v>
      </c>
      <c r="K639" t="n">
        <v>0</v>
      </c>
      <c r="L639" t="n">
        <v>1</v>
      </c>
      <c r="M639" t="n">
        <v>0</v>
      </c>
    </row>
    <row r="640" spans="1:13">
      <c r="A640" s="1">
        <f>HYPERLINK("http://www.twitter.com/NathanBLawrence/status/991861613442433024", "991861613442433024")</f>
        <v/>
      </c>
      <c r="B640" s="2" t="n">
        <v>43223.08809027778</v>
      </c>
      <c r="C640" t="n">
        <v>0</v>
      </c>
      <c r="D640" t="n">
        <v>1098</v>
      </c>
      <c r="E640" t="s">
        <v>650</v>
      </c>
      <c r="F640" t="s"/>
      <c r="G640" t="s"/>
      <c r="H640" t="s"/>
      <c r="I640" t="s"/>
      <c r="J640" t="n">
        <v>-0.296</v>
      </c>
      <c r="K640" t="n">
        <v>0.091</v>
      </c>
      <c r="L640" t="n">
        <v>0.909</v>
      </c>
      <c r="M640" t="n">
        <v>0</v>
      </c>
    </row>
    <row r="641" spans="1:13">
      <c r="A641" s="1">
        <f>HYPERLINK("http://www.twitter.com/NathanBLawrence/status/991861568345227264", "991861568345227264")</f>
        <v/>
      </c>
      <c r="B641" s="2" t="n">
        <v>43223.08796296296</v>
      </c>
      <c r="C641" t="n">
        <v>0</v>
      </c>
      <c r="D641" t="n">
        <v>2054</v>
      </c>
      <c r="E641" t="s">
        <v>651</v>
      </c>
      <c r="F641">
        <f>HYPERLINK("http://pbs.twimg.com/media/DcPJmd9X4AE4mjw.jpg", "http://pbs.twimg.com/media/DcPJmd9X4AE4mjw.jpg")</f>
        <v/>
      </c>
      <c r="G641" t="s"/>
      <c r="H641" t="s"/>
      <c r="I641" t="s"/>
      <c r="J641" t="n">
        <v>0</v>
      </c>
      <c r="K641" t="n">
        <v>0</v>
      </c>
      <c r="L641" t="n">
        <v>1</v>
      </c>
      <c r="M641" t="n">
        <v>0</v>
      </c>
    </row>
    <row r="642" spans="1:13">
      <c r="A642" s="1">
        <f>HYPERLINK("http://www.twitter.com/NathanBLawrence/status/991861404956217344", "991861404956217344")</f>
        <v/>
      </c>
      <c r="B642" s="2" t="n">
        <v>43223.08751157407</v>
      </c>
      <c r="C642" t="n">
        <v>0</v>
      </c>
      <c r="D642" t="n">
        <v>1791</v>
      </c>
      <c r="E642" t="s">
        <v>652</v>
      </c>
      <c r="F642">
        <f>HYPERLINK("https://video.twimg.com/amplify_video/991393772343775233/vid/1280x720/lHC7SEZ1Oat3_7P6.mp4?tag=2", "https://video.twimg.com/amplify_video/991393772343775233/vid/1280x720/lHC7SEZ1Oat3_7P6.mp4?tag=2")</f>
        <v/>
      </c>
      <c r="G642" t="s"/>
      <c r="H642" t="s"/>
      <c r="I642" t="s"/>
      <c r="J642" t="n">
        <v>-0.7003</v>
      </c>
      <c r="K642" t="n">
        <v>0.194</v>
      </c>
      <c r="L642" t="n">
        <v>0.806</v>
      </c>
      <c r="M642" t="n">
        <v>0</v>
      </c>
    </row>
    <row r="643" spans="1:13">
      <c r="A643" s="1">
        <f>HYPERLINK("http://www.twitter.com/NathanBLawrence/status/991858751924662272", "991858751924662272")</f>
        <v/>
      </c>
      <c r="B643" s="2" t="n">
        <v>43223.08018518519</v>
      </c>
      <c r="C643" t="n">
        <v>0</v>
      </c>
      <c r="D643" t="n">
        <v>1064</v>
      </c>
      <c r="E643" t="s">
        <v>653</v>
      </c>
      <c r="F643" t="s"/>
      <c r="G643" t="s"/>
      <c r="H643" t="s"/>
      <c r="I643" t="s"/>
      <c r="J643" t="n">
        <v>-0.3612</v>
      </c>
      <c r="K643" t="n">
        <v>0.201</v>
      </c>
      <c r="L643" t="n">
        <v>0.6830000000000001</v>
      </c>
      <c r="M643" t="n">
        <v>0.116</v>
      </c>
    </row>
    <row r="644" spans="1:13">
      <c r="A644" s="1">
        <f>HYPERLINK("http://www.twitter.com/NathanBLawrence/status/991858698090831872", "991858698090831872")</f>
        <v/>
      </c>
      <c r="B644" s="2" t="n">
        <v>43223.08004629629</v>
      </c>
      <c r="C644" t="n">
        <v>0</v>
      </c>
      <c r="D644" t="n">
        <v>729</v>
      </c>
      <c r="E644" t="s">
        <v>654</v>
      </c>
      <c r="F644" t="s"/>
      <c r="G644" t="s"/>
      <c r="H644" t="s"/>
      <c r="I644" t="s"/>
      <c r="J644" t="n">
        <v>0</v>
      </c>
      <c r="K644" t="n">
        <v>0</v>
      </c>
      <c r="L644" t="n">
        <v>1</v>
      </c>
      <c r="M644" t="n">
        <v>0</v>
      </c>
    </row>
    <row r="645" spans="1:13">
      <c r="A645" s="1">
        <f>HYPERLINK("http://www.twitter.com/NathanBLawrence/status/991858540552773632", "991858540552773632")</f>
        <v/>
      </c>
      <c r="B645" s="2" t="n">
        <v>43223.07960648148</v>
      </c>
      <c r="C645" t="n">
        <v>0</v>
      </c>
      <c r="D645" t="n">
        <v>344</v>
      </c>
      <c r="E645" t="s">
        <v>655</v>
      </c>
      <c r="F645" t="s"/>
      <c r="G645" t="s"/>
      <c r="H645" t="s"/>
      <c r="I645" t="s"/>
      <c r="J645" t="n">
        <v>0.2023</v>
      </c>
      <c r="K645" t="n">
        <v>0.137</v>
      </c>
      <c r="L645" t="n">
        <v>0.6840000000000001</v>
      </c>
      <c r="M645" t="n">
        <v>0.179</v>
      </c>
    </row>
    <row r="646" spans="1:13">
      <c r="A646" s="1">
        <f>HYPERLINK("http://www.twitter.com/NathanBLawrence/status/991775159928307713", "991775159928307713")</f>
        <v/>
      </c>
      <c r="B646" s="2" t="n">
        <v>43222.84952546296</v>
      </c>
      <c r="C646" t="n">
        <v>5</v>
      </c>
      <c r="D646" t="n">
        <v>3</v>
      </c>
      <c r="E646" t="s">
        <v>656</v>
      </c>
      <c r="F646" t="s"/>
      <c r="G646" t="s"/>
      <c r="H646" t="s"/>
      <c r="I646" t="s"/>
      <c r="J646" t="n">
        <v>0.5106000000000001</v>
      </c>
      <c r="K646" t="n">
        <v>0</v>
      </c>
      <c r="L646" t="n">
        <v>0.798</v>
      </c>
      <c r="M646" t="n">
        <v>0.202</v>
      </c>
    </row>
    <row r="647" spans="1:13">
      <c r="A647" s="1">
        <f>HYPERLINK("http://www.twitter.com/NathanBLawrence/status/991768302711070721", "991768302711070721")</f>
        <v/>
      </c>
      <c r="B647" s="2" t="n">
        <v>43222.83060185185</v>
      </c>
      <c r="C647" t="n">
        <v>0</v>
      </c>
      <c r="D647" t="n">
        <v>982</v>
      </c>
      <c r="E647" t="s">
        <v>657</v>
      </c>
      <c r="F647">
        <f>HYPERLINK("http://pbs.twimg.com/media/DcNto6qUQAAtez2.jpg", "http://pbs.twimg.com/media/DcNto6qUQAAtez2.jpg")</f>
        <v/>
      </c>
      <c r="G647" t="s"/>
      <c r="H647" t="s"/>
      <c r="I647" t="s"/>
      <c r="J647" t="n">
        <v>-0.5859</v>
      </c>
      <c r="K647" t="n">
        <v>0.16</v>
      </c>
      <c r="L647" t="n">
        <v>0.84</v>
      </c>
      <c r="M647" t="n">
        <v>0</v>
      </c>
    </row>
    <row r="648" spans="1:13">
      <c r="A648" s="1">
        <f>HYPERLINK("http://www.twitter.com/NathanBLawrence/status/991768243747471360", "991768243747471360")</f>
        <v/>
      </c>
      <c r="B648" s="2" t="n">
        <v>43222.83043981482</v>
      </c>
      <c r="C648" t="n">
        <v>0</v>
      </c>
      <c r="D648" t="n">
        <v>1364</v>
      </c>
      <c r="E648" t="s">
        <v>658</v>
      </c>
      <c r="F648">
        <f>HYPERLINK("http://pbs.twimg.com/media/DcNek2aW4AEodmH.jpg", "http://pbs.twimg.com/media/DcNek2aW4AEodmH.jpg")</f>
        <v/>
      </c>
      <c r="G648" t="s"/>
      <c r="H648" t="s"/>
      <c r="I648" t="s"/>
      <c r="J648" t="n">
        <v>-0.1984</v>
      </c>
      <c r="K648" t="n">
        <v>0.078</v>
      </c>
      <c r="L648" t="n">
        <v>0.922</v>
      </c>
      <c r="M648" t="n">
        <v>0</v>
      </c>
    </row>
    <row r="649" spans="1:13">
      <c r="A649" s="1">
        <f>HYPERLINK("http://www.twitter.com/NathanBLawrence/status/991768149413347329", "991768149413347329")</f>
        <v/>
      </c>
      <c r="B649" s="2" t="n">
        <v>43222.83017361111</v>
      </c>
      <c r="C649" t="n">
        <v>0</v>
      </c>
      <c r="D649" t="n">
        <v>557</v>
      </c>
      <c r="E649" t="s">
        <v>659</v>
      </c>
      <c r="F649" t="s"/>
      <c r="G649" t="s"/>
      <c r="H649" t="s"/>
      <c r="I649" t="s"/>
      <c r="J649" t="n">
        <v>0</v>
      </c>
      <c r="K649" t="n">
        <v>0</v>
      </c>
      <c r="L649" t="n">
        <v>1</v>
      </c>
      <c r="M649" t="n">
        <v>0</v>
      </c>
    </row>
    <row r="650" spans="1:13">
      <c r="A650" s="1">
        <f>HYPERLINK("http://www.twitter.com/NathanBLawrence/status/991768081163632640", "991768081163632640")</f>
        <v/>
      </c>
      <c r="B650" s="2" t="n">
        <v>43222.82998842592</v>
      </c>
      <c r="C650" t="n">
        <v>0</v>
      </c>
      <c r="D650" t="n">
        <v>232</v>
      </c>
      <c r="E650" t="s">
        <v>660</v>
      </c>
      <c r="F650">
        <f>HYPERLINK("http://pbs.twimg.com/media/DcNxBPLXkAACGp-.jpg", "http://pbs.twimg.com/media/DcNxBPLXkAACGp-.jpg")</f>
        <v/>
      </c>
      <c r="G650" t="s"/>
      <c r="H650" t="s"/>
      <c r="I650" t="s"/>
      <c r="J650" t="n">
        <v>0</v>
      </c>
      <c r="K650" t="n">
        <v>0</v>
      </c>
      <c r="L650" t="n">
        <v>1</v>
      </c>
      <c r="M650" t="n">
        <v>0</v>
      </c>
    </row>
    <row r="651" spans="1:13">
      <c r="A651" s="1">
        <f>HYPERLINK("http://www.twitter.com/NathanBLawrence/status/991767752435163136", "991767752435163136")</f>
        <v/>
      </c>
      <c r="B651" s="2" t="n">
        <v>43222.82907407408</v>
      </c>
      <c r="C651" t="n">
        <v>0</v>
      </c>
      <c r="D651" t="n">
        <v>329</v>
      </c>
      <c r="E651" t="s">
        <v>661</v>
      </c>
      <c r="F651">
        <f>HYPERLINK("http://pbs.twimg.com/media/DcNovknVwAES-80.jpg", "http://pbs.twimg.com/media/DcNovknVwAES-80.jpg")</f>
        <v/>
      </c>
      <c r="G651" t="s"/>
      <c r="H651" t="s"/>
      <c r="I651" t="s"/>
      <c r="J651" t="n">
        <v>0</v>
      </c>
      <c r="K651" t="n">
        <v>0</v>
      </c>
      <c r="L651" t="n">
        <v>1</v>
      </c>
      <c r="M651" t="n">
        <v>0</v>
      </c>
    </row>
    <row r="652" spans="1:13">
      <c r="A652" s="1">
        <f>HYPERLINK("http://www.twitter.com/NathanBLawrence/status/991767716120817664", "991767716120817664")</f>
        <v/>
      </c>
      <c r="B652" s="2" t="n">
        <v>43222.82898148148</v>
      </c>
      <c r="C652" t="n">
        <v>0</v>
      </c>
      <c r="D652" t="n">
        <v>1974</v>
      </c>
      <c r="E652" t="s">
        <v>662</v>
      </c>
      <c r="F652">
        <f>HYPERLINK("http://pbs.twimg.com/media/DcNbNO9W4AIAj9A.jpg", "http://pbs.twimg.com/media/DcNbNO9W4AIAj9A.jpg")</f>
        <v/>
      </c>
      <c r="G652" t="s"/>
      <c r="H652" t="s"/>
      <c r="I652" t="s"/>
      <c r="J652" t="n">
        <v>-0.6908</v>
      </c>
      <c r="K652" t="n">
        <v>0.347</v>
      </c>
      <c r="L652" t="n">
        <v>0.461</v>
      </c>
      <c r="M652" t="n">
        <v>0.192</v>
      </c>
    </row>
    <row r="653" spans="1:13">
      <c r="A653" s="1">
        <f>HYPERLINK("http://www.twitter.com/NathanBLawrence/status/991767437354844161", "991767437354844161")</f>
        <v/>
      </c>
      <c r="B653" s="2" t="n">
        <v>43222.82820601852</v>
      </c>
      <c r="C653" t="n">
        <v>0</v>
      </c>
      <c r="D653" t="n">
        <v>8</v>
      </c>
      <c r="E653" t="s">
        <v>663</v>
      </c>
      <c r="F653">
        <f>HYPERLINK("http://pbs.twimg.com/media/DcNermnVMAANwfy.jpg", "http://pbs.twimg.com/media/DcNermnVMAANwfy.jpg")</f>
        <v/>
      </c>
      <c r="G653" t="s"/>
      <c r="H653" t="s"/>
      <c r="I653" t="s"/>
      <c r="J653" t="n">
        <v>0</v>
      </c>
      <c r="K653" t="n">
        <v>0</v>
      </c>
      <c r="L653" t="n">
        <v>1</v>
      </c>
      <c r="M653" t="n">
        <v>0</v>
      </c>
    </row>
    <row r="654" spans="1:13">
      <c r="A654" s="1">
        <f>HYPERLINK("http://www.twitter.com/NathanBLawrence/status/991767396619702273", "991767396619702273")</f>
        <v/>
      </c>
      <c r="B654" s="2" t="n">
        <v>43222.82810185185</v>
      </c>
      <c r="C654" t="n">
        <v>0</v>
      </c>
      <c r="D654" t="n">
        <v>443</v>
      </c>
      <c r="E654" t="s">
        <v>664</v>
      </c>
      <c r="F654">
        <f>HYPERLINK("http://pbs.twimg.com/media/DcNVn7WV4AEOOJF.jpg", "http://pbs.twimg.com/media/DcNVn7WV4AEOOJF.jpg")</f>
        <v/>
      </c>
      <c r="G654" t="s"/>
      <c r="H654" t="s"/>
      <c r="I654" t="s"/>
      <c r="J654" t="n">
        <v>0</v>
      </c>
      <c r="K654" t="n">
        <v>0</v>
      </c>
      <c r="L654" t="n">
        <v>1</v>
      </c>
      <c r="M654" t="n">
        <v>0</v>
      </c>
    </row>
    <row r="655" spans="1:13">
      <c r="A655" s="1">
        <f>HYPERLINK("http://www.twitter.com/NathanBLawrence/status/991767344224419841", "991767344224419841")</f>
        <v/>
      </c>
      <c r="B655" s="2" t="n">
        <v>43222.82795138889</v>
      </c>
      <c r="C655" t="n">
        <v>0</v>
      </c>
      <c r="D655" t="n">
        <v>281</v>
      </c>
      <c r="E655" t="s">
        <v>665</v>
      </c>
      <c r="F655">
        <f>HYPERLINK("http://pbs.twimg.com/media/DcNlYZwVAAAz0uF.jpg", "http://pbs.twimg.com/media/DcNlYZwVAAAz0uF.jpg")</f>
        <v/>
      </c>
      <c r="G655" t="s"/>
      <c r="H655" t="s"/>
      <c r="I655" t="s"/>
      <c r="J655" t="n">
        <v>0.6633</v>
      </c>
      <c r="K655" t="n">
        <v>0</v>
      </c>
      <c r="L655" t="n">
        <v>0.746</v>
      </c>
      <c r="M655" t="n">
        <v>0.254</v>
      </c>
    </row>
    <row r="656" spans="1:13">
      <c r="A656" s="1">
        <f>HYPERLINK("http://www.twitter.com/NathanBLawrence/status/991767184375332864", "991767184375332864")</f>
        <v/>
      </c>
      <c r="B656" s="2" t="n">
        <v>43222.82751157408</v>
      </c>
      <c r="C656" t="n">
        <v>0</v>
      </c>
      <c r="D656" t="n">
        <v>362</v>
      </c>
      <c r="E656" t="s">
        <v>666</v>
      </c>
      <c r="F656">
        <f>HYPERLINK("http://pbs.twimg.com/media/DcNb7vAXkAAfMZR.jpg", "http://pbs.twimg.com/media/DcNb7vAXkAAfMZR.jpg")</f>
        <v/>
      </c>
      <c r="G656" t="s"/>
      <c r="H656" t="s"/>
      <c r="I656" t="s"/>
      <c r="J656" t="n">
        <v>0.5242</v>
      </c>
      <c r="K656" t="n">
        <v>0.117</v>
      </c>
      <c r="L656" t="n">
        <v>0.639</v>
      </c>
      <c r="M656" t="n">
        <v>0.244</v>
      </c>
    </row>
    <row r="657" spans="1:13">
      <c r="A657" s="1">
        <f>HYPERLINK("http://www.twitter.com/NathanBLawrence/status/991767143208243200", "991767143208243200")</f>
        <v/>
      </c>
      <c r="B657" s="2" t="n">
        <v>43222.82739583333</v>
      </c>
      <c r="C657" t="n">
        <v>0</v>
      </c>
      <c r="D657" t="n">
        <v>1528</v>
      </c>
      <c r="E657" t="s">
        <v>667</v>
      </c>
      <c r="F657">
        <f>HYPERLINK("http://pbs.twimg.com/media/DcNfIYeX4AABG1s.jpg", "http://pbs.twimg.com/media/DcNfIYeX4AABG1s.jpg")</f>
        <v/>
      </c>
      <c r="G657" t="s"/>
      <c r="H657" t="s"/>
      <c r="I657" t="s"/>
      <c r="J657" t="n">
        <v>0.5707</v>
      </c>
      <c r="K657" t="n">
        <v>0</v>
      </c>
      <c r="L657" t="n">
        <v>0.779</v>
      </c>
      <c r="M657" t="n">
        <v>0.221</v>
      </c>
    </row>
    <row r="658" spans="1:13">
      <c r="A658" s="1">
        <f>HYPERLINK("http://www.twitter.com/NathanBLawrence/status/991766993144397824", "991766993144397824")</f>
        <v/>
      </c>
      <c r="B658" s="2" t="n">
        <v>43222.82697916667</v>
      </c>
      <c r="C658" t="n">
        <v>0</v>
      </c>
      <c r="D658" t="n">
        <v>81</v>
      </c>
      <c r="E658" t="s">
        <v>668</v>
      </c>
      <c r="F658" t="s"/>
      <c r="G658" t="s"/>
      <c r="H658" t="s"/>
      <c r="I658" t="s"/>
      <c r="J658" t="n">
        <v>-0.4023</v>
      </c>
      <c r="K658" t="n">
        <v>0.125</v>
      </c>
      <c r="L658" t="n">
        <v>0.875</v>
      </c>
      <c r="M658" t="n">
        <v>0</v>
      </c>
    </row>
    <row r="659" spans="1:13">
      <c r="A659" s="1">
        <f>HYPERLINK("http://www.twitter.com/NathanBLawrence/status/991722408632504320", "991722408632504320")</f>
        <v/>
      </c>
      <c r="B659" s="2" t="n">
        <v>43222.70395833333</v>
      </c>
      <c r="C659" t="n">
        <v>0</v>
      </c>
      <c r="D659" t="n">
        <v>901</v>
      </c>
      <c r="E659" t="s">
        <v>669</v>
      </c>
      <c r="F659">
        <f>HYPERLINK("https://video.twimg.com/amplify_video/991465872798646272/vid/1280x720/ryfhzLcuR0FSU8-f.mp4?tag=2", "https://video.twimg.com/amplify_video/991465872798646272/vid/1280x720/ryfhzLcuR0FSU8-f.mp4?tag=2")</f>
        <v/>
      </c>
      <c r="G659" t="s"/>
      <c r="H659" t="s"/>
      <c r="I659" t="s"/>
      <c r="J659" t="n">
        <v>0.4767</v>
      </c>
      <c r="K659" t="n">
        <v>0</v>
      </c>
      <c r="L659" t="n">
        <v>0.8139999999999999</v>
      </c>
      <c r="M659" t="n">
        <v>0.186</v>
      </c>
    </row>
    <row r="660" spans="1:13">
      <c r="A660" s="1">
        <f>HYPERLINK("http://www.twitter.com/NathanBLawrence/status/991722316965888000", "991722316965888000")</f>
        <v/>
      </c>
      <c r="B660" s="2" t="n">
        <v>43222.7037037037</v>
      </c>
      <c r="C660" t="n">
        <v>0</v>
      </c>
      <c r="D660" t="n">
        <v>24852</v>
      </c>
      <c r="E660" t="s">
        <v>670</v>
      </c>
      <c r="F660" t="s"/>
      <c r="G660" t="s"/>
      <c r="H660" t="s"/>
      <c r="I660" t="s"/>
      <c r="J660" t="n">
        <v>0.2003</v>
      </c>
      <c r="K660" t="n">
        <v>0.08400000000000001</v>
      </c>
      <c r="L660" t="n">
        <v>0.8</v>
      </c>
      <c r="M660" t="n">
        <v>0.116</v>
      </c>
    </row>
    <row r="661" spans="1:13">
      <c r="A661" s="1">
        <f>HYPERLINK("http://www.twitter.com/NathanBLawrence/status/991721385234841601", "991721385234841601")</f>
        <v/>
      </c>
      <c r="B661" s="2" t="n">
        <v>43222.70113425926</v>
      </c>
      <c r="C661" t="n">
        <v>0</v>
      </c>
      <c r="D661" t="n">
        <v>187</v>
      </c>
      <c r="E661" t="s">
        <v>671</v>
      </c>
      <c r="F661" t="s"/>
      <c r="G661" t="s"/>
      <c r="H661" t="s"/>
      <c r="I661" t="s"/>
      <c r="J661" t="n">
        <v>-0.6249</v>
      </c>
      <c r="K661" t="n">
        <v>0.177</v>
      </c>
      <c r="L661" t="n">
        <v>0.823</v>
      </c>
      <c r="M661" t="n">
        <v>0</v>
      </c>
    </row>
    <row r="662" spans="1:13">
      <c r="A662" s="1">
        <f>HYPERLINK("http://www.twitter.com/NathanBLawrence/status/991721149821210624", "991721149821210624")</f>
        <v/>
      </c>
      <c r="B662" s="2" t="n">
        <v>43222.70048611111</v>
      </c>
      <c r="C662" t="n">
        <v>0</v>
      </c>
      <c r="D662" t="n">
        <v>181</v>
      </c>
      <c r="E662" t="s">
        <v>672</v>
      </c>
      <c r="F662" t="s"/>
      <c r="G662" t="s"/>
      <c r="H662" t="s"/>
      <c r="I662" t="s"/>
      <c r="J662" t="n">
        <v>0.765</v>
      </c>
      <c r="K662" t="n">
        <v>0</v>
      </c>
      <c r="L662" t="n">
        <v>0.645</v>
      </c>
      <c r="M662" t="n">
        <v>0.355</v>
      </c>
    </row>
    <row r="663" spans="1:13">
      <c r="A663" s="1">
        <f>HYPERLINK("http://www.twitter.com/NathanBLawrence/status/991720929632796672", "991720929632796672")</f>
        <v/>
      </c>
      <c r="B663" s="2" t="n">
        <v>43222.69987268518</v>
      </c>
      <c r="C663" t="n">
        <v>0</v>
      </c>
      <c r="D663" t="n">
        <v>633</v>
      </c>
      <c r="E663" t="s">
        <v>673</v>
      </c>
      <c r="F663" t="s"/>
      <c r="G663" t="s"/>
      <c r="H663" t="s"/>
      <c r="I663" t="s"/>
      <c r="J663" t="n">
        <v>0</v>
      </c>
      <c r="K663" t="n">
        <v>0</v>
      </c>
      <c r="L663" t="n">
        <v>1</v>
      </c>
      <c r="M663" t="n">
        <v>0</v>
      </c>
    </row>
    <row r="664" spans="1:13">
      <c r="A664" s="1">
        <f>HYPERLINK("http://www.twitter.com/NathanBLawrence/status/991720820526338049", "991720820526338049")</f>
        <v/>
      </c>
      <c r="B664" s="2" t="n">
        <v>43222.69957175926</v>
      </c>
      <c r="C664" t="n">
        <v>0</v>
      </c>
      <c r="D664" t="n">
        <v>1355</v>
      </c>
      <c r="E664" t="s">
        <v>674</v>
      </c>
      <c r="F664" t="s"/>
      <c r="G664" t="s"/>
      <c r="H664" t="s"/>
      <c r="I664" t="s"/>
      <c r="J664" t="n">
        <v>0.3008</v>
      </c>
      <c r="K664" t="n">
        <v>0</v>
      </c>
      <c r="L664" t="n">
        <v>0.895</v>
      </c>
      <c r="M664" t="n">
        <v>0.105</v>
      </c>
    </row>
    <row r="665" spans="1:13">
      <c r="A665" s="1">
        <f>HYPERLINK("http://www.twitter.com/NathanBLawrence/status/991685365726523394", "991685365726523394")</f>
        <v/>
      </c>
      <c r="B665" s="2" t="n">
        <v>43222.60173611111</v>
      </c>
      <c r="C665" t="n">
        <v>19</v>
      </c>
      <c r="D665" t="n">
        <v>9</v>
      </c>
      <c r="E665" t="s">
        <v>675</v>
      </c>
      <c r="F665" t="s"/>
      <c r="G665" t="s"/>
      <c r="H665" t="s"/>
      <c r="I665" t="s"/>
      <c r="J665" t="n">
        <v>-0.128</v>
      </c>
      <c r="K665" t="n">
        <v>0.103</v>
      </c>
      <c r="L665" t="n">
        <v>0.897</v>
      </c>
      <c r="M665" t="n">
        <v>0</v>
      </c>
    </row>
    <row r="666" spans="1:13">
      <c r="A666" s="1">
        <f>HYPERLINK("http://www.twitter.com/NathanBLawrence/status/991683898831597568", "991683898831597568")</f>
        <v/>
      </c>
      <c r="B666" s="2" t="n">
        <v>43222.59768518519</v>
      </c>
      <c r="C666" t="n">
        <v>0</v>
      </c>
      <c r="D666" t="n">
        <v>1092</v>
      </c>
      <c r="E666" t="s">
        <v>676</v>
      </c>
      <c r="F666">
        <f>HYPERLINK("https://video.twimg.com/ext_tw_video/991289514286047232/pu/vid/1280x720/v-F_ahJjidpeGcYu.mp4?tag=3", "https://video.twimg.com/ext_tw_video/991289514286047232/pu/vid/1280x720/v-F_ahJjidpeGcYu.mp4?tag=3")</f>
        <v/>
      </c>
      <c r="G666" t="s"/>
      <c r="H666" t="s"/>
      <c r="I666" t="s"/>
      <c r="J666" t="n">
        <v>0.8209</v>
      </c>
      <c r="K666" t="n">
        <v>0</v>
      </c>
      <c r="L666" t="n">
        <v>0.704</v>
      </c>
      <c r="M666" t="n">
        <v>0.296</v>
      </c>
    </row>
    <row r="667" spans="1:13">
      <c r="A667" s="1">
        <f>HYPERLINK("http://www.twitter.com/NathanBLawrence/status/991683755621281792", "991683755621281792")</f>
        <v/>
      </c>
      <c r="B667" s="2" t="n">
        <v>43222.59729166667</v>
      </c>
      <c r="C667" t="n">
        <v>0</v>
      </c>
      <c r="D667" t="n">
        <v>15</v>
      </c>
      <c r="E667" t="s">
        <v>677</v>
      </c>
      <c r="F667" t="s"/>
      <c r="G667" t="s"/>
      <c r="H667" t="s"/>
      <c r="I667" t="s"/>
      <c r="J667" t="n">
        <v>-0.7003</v>
      </c>
      <c r="K667" t="n">
        <v>0.27</v>
      </c>
      <c r="L667" t="n">
        <v>0.73</v>
      </c>
      <c r="M667" t="n">
        <v>0</v>
      </c>
    </row>
    <row r="668" spans="1:13">
      <c r="A668" s="1">
        <f>HYPERLINK("http://www.twitter.com/NathanBLawrence/status/991683618857664512", "991683618857664512")</f>
        <v/>
      </c>
      <c r="B668" s="2" t="n">
        <v>43222.59690972222</v>
      </c>
      <c r="C668" t="n">
        <v>0</v>
      </c>
      <c r="D668" t="n">
        <v>6</v>
      </c>
      <c r="E668" t="s">
        <v>678</v>
      </c>
      <c r="F668" t="s"/>
      <c r="G668" t="s"/>
      <c r="H668" t="s"/>
      <c r="I668" t="s"/>
      <c r="J668" t="n">
        <v>-0.5859</v>
      </c>
      <c r="K668" t="n">
        <v>0.194</v>
      </c>
      <c r="L668" t="n">
        <v>0.806</v>
      </c>
      <c r="M668" t="n">
        <v>0</v>
      </c>
    </row>
    <row r="669" spans="1:13">
      <c r="A669" s="1">
        <f>HYPERLINK("http://www.twitter.com/NathanBLawrence/status/991547326568194048", "991547326568194048")</f>
        <v/>
      </c>
      <c r="B669" s="2" t="n">
        <v>43222.22082175926</v>
      </c>
      <c r="C669" t="n">
        <v>0</v>
      </c>
      <c r="D669" t="n">
        <v>2620</v>
      </c>
      <c r="E669" t="s">
        <v>679</v>
      </c>
      <c r="F669">
        <f>HYPERLINK("http://pbs.twimg.com/media/DZalOuxVwAAIe0F.jpg", "http://pbs.twimg.com/media/DZalOuxVwAAIe0F.jpg")</f>
        <v/>
      </c>
      <c r="G669" t="s"/>
      <c r="H669" t="s"/>
      <c r="I669" t="s"/>
      <c r="J669" t="n">
        <v>0.8934</v>
      </c>
      <c r="K669" t="n">
        <v>0</v>
      </c>
      <c r="L669" t="n">
        <v>0.606</v>
      </c>
      <c r="M669" t="n">
        <v>0.394</v>
      </c>
    </row>
    <row r="670" spans="1:13">
      <c r="A670" s="1">
        <f>HYPERLINK("http://www.twitter.com/NathanBLawrence/status/991546982127710208", "991546982127710208")</f>
        <v/>
      </c>
      <c r="B670" s="2" t="n">
        <v>43222.21987268519</v>
      </c>
      <c r="C670" t="n">
        <v>0</v>
      </c>
      <c r="D670" t="n">
        <v>42</v>
      </c>
      <c r="E670" t="s">
        <v>680</v>
      </c>
      <c r="F670" t="s"/>
      <c r="G670" t="s"/>
      <c r="H670" t="s"/>
      <c r="I670" t="s"/>
      <c r="J670" t="n">
        <v>-0.6486</v>
      </c>
      <c r="K670" t="n">
        <v>0.227</v>
      </c>
      <c r="L670" t="n">
        <v>0.773</v>
      </c>
      <c r="M670" t="n">
        <v>0</v>
      </c>
    </row>
    <row r="671" spans="1:13">
      <c r="A671" s="1">
        <f>HYPERLINK("http://www.twitter.com/NathanBLawrence/status/991546907628523520", "991546907628523520")</f>
        <v/>
      </c>
      <c r="B671" s="2" t="n">
        <v>43222.21966435185</v>
      </c>
      <c r="C671" t="n">
        <v>0</v>
      </c>
      <c r="D671" t="n">
        <v>783</v>
      </c>
      <c r="E671" t="s">
        <v>681</v>
      </c>
      <c r="F671">
        <f>HYPERLINK("http://pbs.twimg.com/media/DcKaYIaU0AAp0Ru.jpg", "http://pbs.twimg.com/media/DcKaYIaU0AAp0Ru.jpg")</f>
        <v/>
      </c>
      <c r="G671" t="s"/>
      <c r="H671" t="s"/>
      <c r="I671" t="s"/>
      <c r="J671" t="n">
        <v>0</v>
      </c>
      <c r="K671" t="n">
        <v>0</v>
      </c>
      <c r="L671" t="n">
        <v>1</v>
      </c>
      <c r="M671" t="n">
        <v>0</v>
      </c>
    </row>
    <row r="672" spans="1:13">
      <c r="A672" s="1">
        <f>HYPERLINK("http://www.twitter.com/NathanBLawrence/status/991546665201942529", "991546665201942529")</f>
        <v/>
      </c>
      <c r="B672" s="2" t="n">
        <v>43222.21899305555</v>
      </c>
      <c r="C672" t="n">
        <v>0</v>
      </c>
      <c r="D672" t="n">
        <v>152</v>
      </c>
      <c r="E672" t="s">
        <v>682</v>
      </c>
      <c r="F672">
        <f>HYPERLINK("http://pbs.twimg.com/media/DcKrBk5U8AEruhi.jpg", "http://pbs.twimg.com/media/DcKrBk5U8AEruhi.jpg")</f>
        <v/>
      </c>
      <c r="G672" t="s"/>
      <c r="H672" t="s"/>
      <c r="I672" t="s"/>
      <c r="J672" t="n">
        <v>0</v>
      </c>
      <c r="K672" t="n">
        <v>0</v>
      </c>
      <c r="L672" t="n">
        <v>1</v>
      </c>
      <c r="M672" t="n">
        <v>0</v>
      </c>
    </row>
    <row r="673" spans="1:13">
      <c r="A673" s="1">
        <f>HYPERLINK("http://www.twitter.com/NathanBLawrence/status/991546611930087424", "991546611930087424")</f>
        <v/>
      </c>
      <c r="B673" s="2" t="n">
        <v>43222.21884259259</v>
      </c>
      <c r="C673" t="n">
        <v>0</v>
      </c>
      <c r="D673" t="n">
        <v>895</v>
      </c>
      <c r="E673" t="s">
        <v>683</v>
      </c>
      <c r="F673">
        <f>HYPERLINK("http://pbs.twimg.com/media/DcKR3nUV4AAFOk4.jpg", "http://pbs.twimg.com/media/DcKR3nUV4AAFOk4.jpg")</f>
        <v/>
      </c>
      <c r="G673" t="s"/>
      <c r="H673" t="s"/>
      <c r="I673" t="s"/>
      <c r="J673" t="n">
        <v>-0.3382</v>
      </c>
      <c r="K673" t="n">
        <v>0.097</v>
      </c>
      <c r="L673" t="n">
        <v>0.86</v>
      </c>
      <c r="M673" t="n">
        <v>0.043</v>
      </c>
    </row>
    <row r="674" spans="1:13">
      <c r="A674" s="1">
        <f>HYPERLINK("http://www.twitter.com/NathanBLawrence/status/991546562890293248", "991546562890293248")</f>
        <v/>
      </c>
      <c r="B674" s="2" t="n">
        <v>43222.21871527778</v>
      </c>
      <c r="C674" t="n">
        <v>0</v>
      </c>
      <c r="D674" t="n">
        <v>686</v>
      </c>
      <c r="E674" t="s">
        <v>684</v>
      </c>
      <c r="F674">
        <f>HYPERLINK("http://pbs.twimg.com/media/DcKROawX4AUsMIT.jpg", "http://pbs.twimg.com/media/DcKROawX4AUsMIT.jpg")</f>
        <v/>
      </c>
      <c r="G674" t="s"/>
      <c r="H674" t="s"/>
      <c r="I674" t="s"/>
      <c r="J674" t="n">
        <v>0.2732</v>
      </c>
      <c r="K674" t="n">
        <v>0.106</v>
      </c>
      <c r="L674" t="n">
        <v>0.751</v>
      </c>
      <c r="M674" t="n">
        <v>0.143</v>
      </c>
    </row>
    <row r="675" spans="1:13">
      <c r="A675" s="1">
        <f>HYPERLINK("http://www.twitter.com/NathanBLawrence/status/991546353145688064", "991546353145688064")</f>
        <v/>
      </c>
      <c r="B675" s="2" t="n">
        <v>43222.21813657408</v>
      </c>
      <c r="C675" t="n">
        <v>1</v>
      </c>
      <c r="D675" t="n">
        <v>0</v>
      </c>
      <c r="E675" t="s">
        <v>685</v>
      </c>
      <c r="F675" t="s"/>
      <c r="G675" t="s"/>
      <c r="H675" t="s"/>
      <c r="I675" t="s"/>
      <c r="J675" t="n">
        <v>0.5106000000000001</v>
      </c>
      <c r="K675" t="n">
        <v>0</v>
      </c>
      <c r="L675" t="n">
        <v>0.798</v>
      </c>
      <c r="M675" t="n">
        <v>0.202</v>
      </c>
    </row>
    <row r="676" spans="1:13">
      <c r="A676" s="1">
        <f>HYPERLINK("http://www.twitter.com/NathanBLawrence/status/991507274463039488", "991507274463039488")</f>
        <v/>
      </c>
      <c r="B676" s="2" t="n">
        <v>43222.11030092592</v>
      </c>
      <c r="C676" t="n">
        <v>0</v>
      </c>
      <c r="D676" t="n">
        <v>1820</v>
      </c>
      <c r="E676" t="s">
        <v>686</v>
      </c>
      <c r="F676" t="s"/>
      <c r="G676" t="s"/>
      <c r="H676" t="s"/>
      <c r="I676" t="s"/>
      <c r="J676" t="n">
        <v>-0.4019</v>
      </c>
      <c r="K676" t="n">
        <v>0.207</v>
      </c>
      <c r="L676" t="n">
        <v>0.6899999999999999</v>
      </c>
      <c r="M676" t="n">
        <v>0.103</v>
      </c>
    </row>
    <row r="677" spans="1:13">
      <c r="A677" s="1">
        <f>HYPERLINK("http://www.twitter.com/NathanBLawrence/status/991468208526802944", "991468208526802944")</f>
        <v/>
      </c>
      <c r="B677" s="2" t="n">
        <v>43222.0025</v>
      </c>
      <c r="C677" t="n">
        <v>0</v>
      </c>
      <c r="D677" t="n">
        <v>388</v>
      </c>
      <c r="E677" t="s">
        <v>687</v>
      </c>
      <c r="F677">
        <f>HYPERLINK("http://pbs.twimg.com/media/DcG7T2LWsAIgThq.jpg", "http://pbs.twimg.com/media/DcG7T2LWsAIgThq.jpg")</f>
        <v/>
      </c>
      <c r="G677" t="s"/>
      <c r="H677" t="s"/>
      <c r="I677" t="s"/>
      <c r="J677" t="n">
        <v>0.9265</v>
      </c>
      <c r="K677" t="n">
        <v>0</v>
      </c>
      <c r="L677" t="n">
        <v>0.584</v>
      </c>
      <c r="M677" t="n">
        <v>0.416</v>
      </c>
    </row>
    <row r="678" spans="1:13">
      <c r="A678" s="1">
        <f>HYPERLINK("http://www.twitter.com/NathanBLawrence/status/991468103652458496", "991468103652458496")</f>
        <v/>
      </c>
      <c r="B678" s="2" t="n">
        <v>43222.00221064815</v>
      </c>
      <c r="C678" t="n">
        <v>0</v>
      </c>
      <c r="D678" t="n">
        <v>10</v>
      </c>
      <c r="E678" t="s">
        <v>688</v>
      </c>
      <c r="F678">
        <f>HYPERLINK("http://pbs.twimg.com/media/DcDDJAiV0AAFkNx.jpg", "http://pbs.twimg.com/media/DcDDJAiV0AAFkNx.jpg")</f>
        <v/>
      </c>
      <c r="G678" t="s"/>
      <c r="H678" t="s"/>
      <c r="I678" t="s"/>
      <c r="J678" t="n">
        <v>0</v>
      </c>
      <c r="K678" t="n">
        <v>0</v>
      </c>
      <c r="L678" t="n">
        <v>1</v>
      </c>
      <c r="M678" t="n">
        <v>0</v>
      </c>
    </row>
    <row r="679" spans="1:13">
      <c r="A679" s="1">
        <f>HYPERLINK("http://www.twitter.com/NathanBLawrence/status/991468025466400768", "991468025466400768")</f>
        <v/>
      </c>
      <c r="B679" s="2" t="n">
        <v>43222.00199074074</v>
      </c>
      <c r="C679" t="n">
        <v>0</v>
      </c>
      <c r="D679" t="n">
        <v>147</v>
      </c>
      <c r="E679" t="s">
        <v>689</v>
      </c>
      <c r="F679" t="s"/>
      <c r="G679" t="s"/>
      <c r="H679" t="s"/>
      <c r="I679" t="s"/>
      <c r="J679" t="n">
        <v>0.4939</v>
      </c>
      <c r="K679" t="n">
        <v>0</v>
      </c>
      <c r="L679" t="n">
        <v>0.868</v>
      </c>
      <c r="M679" t="n">
        <v>0.132</v>
      </c>
    </row>
    <row r="680" spans="1:13">
      <c r="A680" s="1">
        <f>HYPERLINK("http://www.twitter.com/NathanBLawrence/status/991467462515417088", "991467462515417088")</f>
        <v/>
      </c>
      <c r="B680" s="2" t="n">
        <v>43222.00043981482</v>
      </c>
      <c r="C680" t="n">
        <v>0</v>
      </c>
      <c r="D680" t="n">
        <v>318</v>
      </c>
      <c r="E680" t="s">
        <v>690</v>
      </c>
      <c r="F680">
        <f>HYPERLINK("http://pbs.twimg.com/media/DcIKMkpVwAEQcwb.jpg", "http://pbs.twimg.com/media/DcIKMkpVwAEQcwb.jpg")</f>
        <v/>
      </c>
      <c r="G680" t="s"/>
      <c r="H680" t="s"/>
      <c r="I680" t="s"/>
      <c r="J680" t="n">
        <v>0</v>
      </c>
      <c r="K680" t="n">
        <v>0</v>
      </c>
      <c r="L680" t="n">
        <v>1</v>
      </c>
      <c r="M680" t="n">
        <v>0</v>
      </c>
    </row>
    <row r="681" spans="1:13">
      <c r="A681" s="1">
        <f>HYPERLINK("http://www.twitter.com/NathanBLawrence/status/991467371855462400", "991467371855462400")</f>
        <v/>
      </c>
      <c r="B681" s="2" t="n">
        <v>43222.00018518518</v>
      </c>
      <c r="C681" t="n">
        <v>0</v>
      </c>
      <c r="D681" t="n">
        <v>16</v>
      </c>
      <c r="E681" t="s">
        <v>691</v>
      </c>
      <c r="F681">
        <f>HYPERLINK("http://pbs.twimg.com/media/DcJlR0dV4AA2Z6g.jpg", "http://pbs.twimg.com/media/DcJlR0dV4AA2Z6g.jpg")</f>
        <v/>
      </c>
      <c r="G681" t="s"/>
      <c r="H681" t="s"/>
      <c r="I681" t="s"/>
      <c r="J681" t="n">
        <v>0</v>
      </c>
      <c r="K681" t="n">
        <v>0</v>
      </c>
      <c r="L681" t="n">
        <v>1</v>
      </c>
      <c r="M681" t="n">
        <v>0</v>
      </c>
    </row>
    <row r="682" spans="1:13">
      <c r="A682" s="1">
        <f>HYPERLINK("http://www.twitter.com/NathanBLawrence/status/991467034327199744", "991467034327199744")</f>
        <v/>
      </c>
      <c r="B682" s="2" t="n">
        <v>43221.99925925926</v>
      </c>
      <c r="C682" t="n">
        <v>0</v>
      </c>
      <c r="D682" t="n">
        <v>52</v>
      </c>
      <c r="E682" t="s">
        <v>692</v>
      </c>
      <c r="F682" t="s"/>
      <c r="G682" t="s"/>
      <c r="H682" t="s"/>
      <c r="I682" t="s"/>
      <c r="J682" t="n">
        <v>0</v>
      </c>
      <c r="K682" t="n">
        <v>0</v>
      </c>
      <c r="L682" t="n">
        <v>1</v>
      </c>
      <c r="M682" t="n">
        <v>0</v>
      </c>
    </row>
    <row r="683" spans="1:13">
      <c r="A683" s="1">
        <f>HYPERLINK("http://www.twitter.com/NathanBLawrence/status/991466973283344384", "991466973283344384")</f>
        <v/>
      </c>
      <c r="B683" s="2" t="n">
        <v>43221.99908564815</v>
      </c>
      <c r="C683" t="n">
        <v>0</v>
      </c>
      <c r="D683" t="n">
        <v>2245</v>
      </c>
      <c r="E683" t="s">
        <v>693</v>
      </c>
      <c r="F683">
        <f>HYPERLINK("http://pbs.twimg.com/media/DYaWCkdXcAAFr3D.jpg", "http://pbs.twimg.com/media/DYaWCkdXcAAFr3D.jpg")</f>
        <v/>
      </c>
      <c r="G683" t="s"/>
      <c r="H683" t="s"/>
      <c r="I683" t="s"/>
      <c r="J683" t="n">
        <v>-0.8636</v>
      </c>
      <c r="K683" t="n">
        <v>0.365</v>
      </c>
      <c r="L683" t="n">
        <v>0.635</v>
      </c>
      <c r="M683" t="n">
        <v>0</v>
      </c>
    </row>
    <row r="684" spans="1:13">
      <c r="A684" s="1">
        <f>HYPERLINK("http://www.twitter.com/NathanBLawrence/status/991466214160412673", "991466214160412673")</f>
        <v/>
      </c>
      <c r="B684" s="2" t="n">
        <v>43221.99699074074</v>
      </c>
      <c r="C684" t="n">
        <v>0</v>
      </c>
      <c r="D684" t="n">
        <v>224</v>
      </c>
      <c r="E684" t="s">
        <v>694</v>
      </c>
      <c r="F684">
        <f>HYPERLINK("http://pbs.twimg.com/media/DcJkiXSX4AA0J7l.jpg", "http://pbs.twimg.com/media/DcJkiXSX4AA0J7l.jpg")</f>
        <v/>
      </c>
      <c r="G684" t="s"/>
      <c r="H684" t="s"/>
      <c r="I684" t="s"/>
      <c r="J684" t="n">
        <v>0</v>
      </c>
      <c r="K684" t="n">
        <v>0</v>
      </c>
      <c r="L684" t="n">
        <v>1</v>
      </c>
      <c r="M684" t="n">
        <v>0</v>
      </c>
    </row>
    <row r="685" spans="1:13">
      <c r="A685" s="1">
        <f>HYPERLINK("http://www.twitter.com/NathanBLawrence/status/991466045226369025", "991466045226369025")</f>
        <v/>
      </c>
      <c r="B685" s="2" t="n">
        <v>43221.99652777778</v>
      </c>
      <c r="C685" t="n">
        <v>0</v>
      </c>
      <c r="D685" t="n">
        <v>3062</v>
      </c>
      <c r="E685" t="s">
        <v>695</v>
      </c>
      <c r="F685">
        <f>HYPERLINK("http://pbs.twimg.com/media/DcGdPFjXUAAVq6M.jpg", "http://pbs.twimg.com/media/DcGdPFjXUAAVq6M.jpg")</f>
        <v/>
      </c>
      <c r="G685" t="s"/>
      <c r="H685" t="s"/>
      <c r="I685" t="s"/>
      <c r="J685" t="n">
        <v>-0.6731</v>
      </c>
      <c r="K685" t="n">
        <v>0.272</v>
      </c>
      <c r="L685" t="n">
        <v>0.576</v>
      </c>
      <c r="M685" t="n">
        <v>0.152</v>
      </c>
    </row>
    <row r="686" spans="1:13">
      <c r="A686" s="1">
        <f>HYPERLINK("http://www.twitter.com/NathanBLawrence/status/991465945200640001", "991465945200640001")</f>
        <v/>
      </c>
      <c r="B686" s="2" t="n">
        <v>43221.99625</v>
      </c>
      <c r="C686" t="n">
        <v>0</v>
      </c>
      <c r="D686" t="n">
        <v>140</v>
      </c>
      <c r="E686" t="s">
        <v>696</v>
      </c>
      <c r="F686">
        <f>HYPERLINK("http://pbs.twimg.com/media/DcI8KuWVMAUTix3.jpg", "http://pbs.twimg.com/media/DcI8KuWVMAUTix3.jpg")</f>
        <v/>
      </c>
      <c r="G686" t="s"/>
      <c r="H686" t="s"/>
      <c r="I686" t="s"/>
      <c r="J686" t="n">
        <v>0</v>
      </c>
      <c r="K686" t="n">
        <v>0</v>
      </c>
      <c r="L686" t="n">
        <v>1</v>
      </c>
      <c r="M686" t="n">
        <v>0</v>
      </c>
    </row>
    <row r="687" spans="1:13">
      <c r="A687" s="1">
        <f>HYPERLINK("http://www.twitter.com/NathanBLawrence/status/991465843341967360", "991465843341967360")</f>
        <v/>
      </c>
      <c r="B687" s="2" t="n">
        <v>43221.99597222222</v>
      </c>
      <c r="C687" t="n">
        <v>0</v>
      </c>
      <c r="D687" t="n">
        <v>498</v>
      </c>
      <c r="E687" t="s">
        <v>697</v>
      </c>
      <c r="F687">
        <f>HYPERLINK("http://pbs.twimg.com/media/DcJTPxqXcAEFqbT.jpg", "http://pbs.twimg.com/media/DcJTPxqXcAEFqbT.jpg")</f>
        <v/>
      </c>
      <c r="G687" t="s"/>
      <c r="H687" t="s"/>
      <c r="I687" t="s"/>
      <c r="J687" t="n">
        <v>-0.7845</v>
      </c>
      <c r="K687" t="n">
        <v>0.305</v>
      </c>
      <c r="L687" t="n">
        <v>0.695</v>
      </c>
      <c r="M687" t="n">
        <v>0</v>
      </c>
    </row>
    <row r="688" spans="1:13">
      <c r="A688" s="1">
        <f>HYPERLINK("http://www.twitter.com/NathanBLawrence/status/991465764837191680", "991465764837191680")</f>
        <v/>
      </c>
      <c r="B688" s="2" t="n">
        <v>43221.99575231481</v>
      </c>
      <c r="C688" t="n">
        <v>0</v>
      </c>
      <c r="D688" t="n">
        <v>5187</v>
      </c>
      <c r="E688" t="s">
        <v>698</v>
      </c>
      <c r="F688">
        <f>HYPERLINK("http://pbs.twimg.com/media/DcJhumYWAAA-frb.jpg", "http://pbs.twimg.com/media/DcJhumYWAAA-frb.jpg")</f>
        <v/>
      </c>
      <c r="G688" t="s"/>
      <c r="H688" t="s"/>
      <c r="I688" t="s"/>
      <c r="J688" t="n">
        <v>-0.871</v>
      </c>
      <c r="K688" t="n">
        <v>0.388</v>
      </c>
      <c r="L688" t="n">
        <v>0.612</v>
      </c>
      <c r="M688" t="n">
        <v>0</v>
      </c>
    </row>
    <row r="689" spans="1:13">
      <c r="A689" s="1">
        <f>HYPERLINK("http://www.twitter.com/NathanBLawrence/status/991465251966074880", "991465251966074880")</f>
        <v/>
      </c>
      <c r="B689" s="2" t="n">
        <v>43221.99434027778</v>
      </c>
      <c r="C689" t="n">
        <v>0</v>
      </c>
      <c r="D689" t="n">
        <v>13</v>
      </c>
      <c r="E689" t="s">
        <v>699</v>
      </c>
      <c r="F689">
        <f>HYPERLINK("http://pbs.twimg.com/media/DcJiyouWkAArEU3.jpg", "http://pbs.twimg.com/media/DcJiyouWkAArEU3.jpg")</f>
        <v/>
      </c>
      <c r="G689" t="s"/>
      <c r="H689" t="s"/>
      <c r="I689" t="s"/>
      <c r="J689" t="n">
        <v>0</v>
      </c>
      <c r="K689" t="n">
        <v>0</v>
      </c>
      <c r="L689" t="n">
        <v>1</v>
      </c>
      <c r="M689" t="n">
        <v>0</v>
      </c>
    </row>
    <row r="690" spans="1:13">
      <c r="A690" s="1">
        <f>HYPERLINK("http://www.twitter.com/NathanBLawrence/status/991465202058080256", "991465202058080256")</f>
        <v/>
      </c>
      <c r="B690" s="2" t="n">
        <v>43221.99420138889</v>
      </c>
      <c r="C690" t="n">
        <v>0</v>
      </c>
      <c r="D690" t="n">
        <v>38</v>
      </c>
      <c r="E690" t="s">
        <v>700</v>
      </c>
      <c r="F690">
        <f>HYPERLINK("http://pbs.twimg.com/media/DcJgstuW4AITjsx.jpg", "http://pbs.twimg.com/media/DcJgstuW4AITjsx.jpg")</f>
        <v/>
      </c>
      <c r="G690" t="s"/>
      <c r="H690" t="s"/>
      <c r="I690" t="s"/>
      <c r="J690" t="n">
        <v>-0.296</v>
      </c>
      <c r="K690" t="n">
        <v>0.239</v>
      </c>
      <c r="L690" t="n">
        <v>0.761</v>
      </c>
      <c r="M690" t="n">
        <v>0</v>
      </c>
    </row>
    <row r="691" spans="1:13">
      <c r="A691" s="1">
        <f>HYPERLINK("http://www.twitter.com/NathanBLawrence/status/991465079555018753", "991465079555018753")</f>
        <v/>
      </c>
      <c r="B691" s="2" t="n">
        <v>43221.99386574074</v>
      </c>
      <c r="C691" t="n">
        <v>0</v>
      </c>
      <c r="D691" t="n">
        <v>3</v>
      </c>
      <c r="E691" t="s">
        <v>701</v>
      </c>
      <c r="F691">
        <f>HYPERLINK("http://pbs.twimg.com/media/DcJWP7QW0AACBBS.jpg", "http://pbs.twimg.com/media/DcJWP7QW0AACBBS.jpg")</f>
        <v/>
      </c>
      <c r="G691" t="s"/>
      <c r="H691" t="s"/>
      <c r="I691" t="s"/>
      <c r="J691" t="n">
        <v>0</v>
      </c>
      <c r="K691" t="n">
        <v>0</v>
      </c>
      <c r="L691" t="n">
        <v>1</v>
      </c>
      <c r="M691" t="n">
        <v>0</v>
      </c>
    </row>
    <row r="692" spans="1:13">
      <c r="A692" s="1">
        <f>HYPERLINK("http://www.twitter.com/NathanBLawrence/status/991464990736437248", "991464990736437248")</f>
        <v/>
      </c>
      <c r="B692" s="2" t="n">
        <v>43221.99361111111</v>
      </c>
      <c r="C692" t="n">
        <v>0</v>
      </c>
      <c r="D692" t="n">
        <v>735</v>
      </c>
      <c r="E692" t="s">
        <v>702</v>
      </c>
      <c r="F692">
        <f>HYPERLINK("http://pbs.twimg.com/media/DcJVL1MU8AAkTYa.jpg", "http://pbs.twimg.com/media/DcJVL1MU8AAkTYa.jpg")</f>
        <v/>
      </c>
      <c r="G692" t="s"/>
      <c r="H692" t="s"/>
      <c r="I692" t="s"/>
      <c r="J692" t="n">
        <v>-0.508</v>
      </c>
      <c r="K692" t="n">
        <v>0.154</v>
      </c>
      <c r="L692" t="n">
        <v>0.846</v>
      </c>
      <c r="M692" t="n">
        <v>0</v>
      </c>
    </row>
    <row r="693" spans="1:13">
      <c r="A693" s="1">
        <f>HYPERLINK("http://www.twitter.com/NathanBLawrence/status/991464885371392000", "991464885371392000")</f>
        <v/>
      </c>
      <c r="B693" s="2" t="n">
        <v>43221.99332175926</v>
      </c>
      <c r="C693" t="n">
        <v>0</v>
      </c>
      <c r="D693" t="n">
        <v>727</v>
      </c>
      <c r="E693" t="s">
        <v>703</v>
      </c>
      <c r="F693">
        <f>HYPERLINK("http://pbs.twimg.com/media/DcJPlh3XcAAfis-.jpg", "http://pbs.twimg.com/media/DcJPlh3XcAAfis-.jpg")</f>
        <v/>
      </c>
      <c r="G693" t="s"/>
      <c r="H693" t="s"/>
      <c r="I693" t="s"/>
      <c r="J693" t="n">
        <v>0.2732</v>
      </c>
      <c r="K693" t="n">
        <v>0.093</v>
      </c>
      <c r="L693" t="n">
        <v>0.734</v>
      </c>
      <c r="M693" t="n">
        <v>0.174</v>
      </c>
    </row>
    <row r="694" spans="1:13">
      <c r="A694" s="1">
        <f>HYPERLINK("http://www.twitter.com/NathanBLawrence/status/991464863795838977", "991464863795838977")</f>
        <v/>
      </c>
      <c r="B694" s="2" t="n">
        <v>43221.99326388889</v>
      </c>
      <c r="C694" t="n">
        <v>0</v>
      </c>
      <c r="D694" t="n">
        <v>1834</v>
      </c>
      <c r="E694" t="s">
        <v>704</v>
      </c>
      <c r="F694">
        <f>HYPERLINK("http://pbs.twimg.com/media/DcJQoynU8AEw3ry.jpg", "http://pbs.twimg.com/media/DcJQoynU8AEw3ry.jpg")</f>
        <v/>
      </c>
      <c r="G694" t="s"/>
      <c r="H694" t="s"/>
      <c r="I694" t="s"/>
      <c r="J694" t="n">
        <v>-0.25</v>
      </c>
      <c r="K694" t="n">
        <v>0.214</v>
      </c>
      <c r="L694" t="n">
        <v>0.611</v>
      </c>
      <c r="M694" t="n">
        <v>0.176</v>
      </c>
    </row>
    <row r="695" spans="1:13">
      <c r="A695" s="1">
        <f>HYPERLINK("http://www.twitter.com/NathanBLawrence/status/991464812948348928", "991464812948348928")</f>
        <v/>
      </c>
      <c r="B695" s="2" t="n">
        <v>43221.993125</v>
      </c>
      <c r="C695" t="n">
        <v>0</v>
      </c>
      <c r="D695" t="n">
        <v>121</v>
      </c>
      <c r="E695" t="s">
        <v>705</v>
      </c>
      <c r="F695">
        <f>HYPERLINK("http://pbs.twimg.com/media/DcJM2zoVQAA6UbQ.jpg", "http://pbs.twimg.com/media/DcJM2zoVQAA6UbQ.jpg")</f>
        <v/>
      </c>
      <c r="G695" t="s"/>
      <c r="H695" t="s"/>
      <c r="I695" t="s"/>
      <c r="J695" t="n">
        <v>-0.3987</v>
      </c>
      <c r="K695" t="n">
        <v>0.183</v>
      </c>
      <c r="L695" t="n">
        <v>0.8169999999999999</v>
      </c>
      <c r="M695" t="n">
        <v>0</v>
      </c>
    </row>
    <row r="696" spans="1:13">
      <c r="A696" s="1">
        <f>HYPERLINK("http://www.twitter.com/NathanBLawrence/status/991428213942337536", "991428213942337536")</f>
        <v/>
      </c>
      <c r="B696" s="2" t="n">
        <v>43221.89212962963</v>
      </c>
      <c r="C696" t="n">
        <v>0</v>
      </c>
      <c r="D696" t="n">
        <v>24</v>
      </c>
      <c r="E696" t="s">
        <v>706</v>
      </c>
      <c r="F696">
        <f>HYPERLINK("http://pbs.twimg.com/media/DcI8sFGUwAA_Flb.jpg", "http://pbs.twimg.com/media/DcI8sFGUwAA_Flb.jpg")</f>
        <v/>
      </c>
      <c r="G696" t="s"/>
      <c r="H696" t="s"/>
      <c r="I696" t="s"/>
      <c r="J696" t="n">
        <v>0</v>
      </c>
      <c r="K696" t="n">
        <v>0</v>
      </c>
      <c r="L696" t="n">
        <v>1</v>
      </c>
      <c r="M696" t="n">
        <v>0</v>
      </c>
    </row>
    <row r="697" spans="1:13">
      <c r="A697" s="1">
        <f>HYPERLINK("http://www.twitter.com/NathanBLawrence/status/991427739130384384", "991427739130384384")</f>
        <v/>
      </c>
      <c r="B697" s="2" t="n">
        <v>43221.89082175926</v>
      </c>
      <c r="C697" t="n">
        <v>5</v>
      </c>
      <c r="D697" t="n">
        <v>4</v>
      </c>
      <c r="E697" t="s">
        <v>707</v>
      </c>
      <c r="F697" t="s"/>
      <c r="G697" t="s"/>
      <c r="H697" t="s"/>
      <c r="I697" t="s"/>
      <c r="J697" t="n">
        <v>0</v>
      </c>
      <c r="K697" t="n">
        <v>0</v>
      </c>
      <c r="L697" t="n">
        <v>1</v>
      </c>
      <c r="M697" t="n">
        <v>0</v>
      </c>
    </row>
    <row r="698" spans="1:13">
      <c r="A698" s="1">
        <f>HYPERLINK("http://www.twitter.com/NathanBLawrence/status/991426693385469954", "991426693385469954")</f>
        <v/>
      </c>
      <c r="B698" s="2" t="n">
        <v>43221.88793981481</v>
      </c>
      <c r="C698" t="n">
        <v>3</v>
      </c>
      <c r="D698" t="n">
        <v>4</v>
      </c>
      <c r="E698" t="s">
        <v>708</v>
      </c>
      <c r="F698" t="s"/>
      <c r="G698" t="s"/>
      <c r="H698" t="s"/>
      <c r="I698" t="s"/>
      <c r="J698" t="n">
        <v>0</v>
      </c>
      <c r="K698" t="n">
        <v>0</v>
      </c>
      <c r="L698" t="n">
        <v>1</v>
      </c>
      <c r="M698" t="n">
        <v>0</v>
      </c>
    </row>
    <row r="699" spans="1:13">
      <c r="A699" s="1">
        <f>HYPERLINK("http://www.twitter.com/NathanBLawrence/status/991422651049504768", "991422651049504768")</f>
        <v/>
      </c>
      <c r="B699" s="2" t="n">
        <v>43221.87678240741</v>
      </c>
      <c r="C699" t="n">
        <v>5</v>
      </c>
      <c r="D699" t="n">
        <v>11</v>
      </c>
      <c r="E699" t="s">
        <v>709</v>
      </c>
      <c r="F699" t="s"/>
      <c r="G699" t="s"/>
      <c r="H699" t="s"/>
      <c r="I699" t="s"/>
      <c r="J699" t="n">
        <v>-0.802</v>
      </c>
      <c r="K699" t="n">
        <v>0.275</v>
      </c>
      <c r="L699" t="n">
        <v>0.725</v>
      </c>
      <c r="M699" t="n">
        <v>0</v>
      </c>
    </row>
    <row r="700" spans="1:13">
      <c r="A700" s="1">
        <f>HYPERLINK("http://www.twitter.com/NathanBLawrence/status/991406015491915776", "991406015491915776")</f>
        <v/>
      </c>
      <c r="B700" s="2" t="n">
        <v>43221.83087962963</v>
      </c>
      <c r="C700" t="n">
        <v>0</v>
      </c>
      <c r="D700" t="n">
        <v>6216</v>
      </c>
      <c r="E700" t="s">
        <v>710</v>
      </c>
      <c r="F700">
        <f>HYPERLINK("http://pbs.twimg.com/media/DO4cBm8VQAE79eF.jpg", "http://pbs.twimg.com/media/DO4cBm8VQAE79eF.jpg")</f>
        <v/>
      </c>
      <c r="G700" t="s"/>
      <c r="H700" t="s"/>
      <c r="I700" t="s"/>
      <c r="J700" t="n">
        <v>0.4199</v>
      </c>
      <c r="K700" t="n">
        <v>0</v>
      </c>
      <c r="L700" t="n">
        <v>0.823</v>
      </c>
      <c r="M700" t="n">
        <v>0.177</v>
      </c>
    </row>
    <row r="701" spans="1:13">
      <c r="A701" s="1">
        <f>HYPERLINK("http://www.twitter.com/NathanBLawrence/status/991405870264139776", "991405870264139776")</f>
        <v/>
      </c>
      <c r="B701" s="2" t="n">
        <v>43221.83047453704</v>
      </c>
      <c r="C701" t="n">
        <v>0</v>
      </c>
      <c r="D701" t="n">
        <v>473</v>
      </c>
      <c r="E701" t="s">
        <v>711</v>
      </c>
      <c r="F701">
        <f>HYPERLINK("http://pbs.twimg.com/media/DcItiQHV4AEfwcq.jpg", "http://pbs.twimg.com/media/DcItiQHV4AEfwcq.jpg")</f>
        <v/>
      </c>
      <c r="G701" t="s"/>
      <c r="H701" t="s"/>
      <c r="I701" t="s"/>
      <c r="J701" t="n">
        <v>0.6892</v>
      </c>
      <c r="K701" t="n">
        <v>0</v>
      </c>
      <c r="L701" t="n">
        <v>0.738</v>
      </c>
      <c r="M701" t="n">
        <v>0.262</v>
      </c>
    </row>
    <row r="702" spans="1:13">
      <c r="A702" s="1">
        <f>HYPERLINK("http://www.twitter.com/NathanBLawrence/status/991404541345128448", "991404541345128448")</f>
        <v/>
      </c>
      <c r="B702" s="2" t="n">
        <v>43221.82680555555</v>
      </c>
      <c r="C702" t="n">
        <v>0</v>
      </c>
      <c r="D702" t="n">
        <v>6</v>
      </c>
      <c r="E702" t="s">
        <v>712</v>
      </c>
      <c r="F702">
        <f>HYPERLINK("http://pbs.twimg.com/media/DcIsVW-VMAASOJP.jpg", "http://pbs.twimg.com/media/DcIsVW-VMAASOJP.jpg")</f>
        <v/>
      </c>
      <c r="G702" t="s"/>
      <c r="H702" t="s"/>
      <c r="I702" t="s"/>
      <c r="J702" t="n">
        <v>0.8442</v>
      </c>
      <c r="K702" t="n">
        <v>0</v>
      </c>
      <c r="L702" t="n">
        <v>0.651</v>
      </c>
      <c r="M702" t="n">
        <v>0.349</v>
      </c>
    </row>
    <row r="703" spans="1:13">
      <c r="A703" s="1">
        <f>HYPERLINK("http://www.twitter.com/NathanBLawrence/status/991404454107795456", "991404454107795456")</f>
        <v/>
      </c>
      <c r="B703" s="2" t="n">
        <v>43221.8265625</v>
      </c>
      <c r="C703" t="n">
        <v>0</v>
      </c>
      <c r="D703" t="n">
        <v>1225</v>
      </c>
      <c r="E703" t="s">
        <v>713</v>
      </c>
      <c r="F703" t="s"/>
      <c r="G703" t="s"/>
      <c r="H703" t="s"/>
      <c r="I703" t="s"/>
      <c r="J703" t="n">
        <v>0.6289</v>
      </c>
      <c r="K703" t="n">
        <v>0.117</v>
      </c>
      <c r="L703" t="n">
        <v>0.6</v>
      </c>
      <c r="M703" t="n">
        <v>0.283</v>
      </c>
    </row>
    <row r="704" spans="1:13">
      <c r="A704" s="1">
        <f>HYPERLINK("http://www.twitter.com/NathanBLawrence/status/991404384759132160", "991404384759132160")</f>
        <v/>
      </c>
      <c r="B704" s="2" t="n">
        <v>43221.82637731481</v>
      </c>
      <c r="C704" t="n">
        <v>0</v>
      </c>
      <c r="D704" t="n">
        <v>3151</v>
      </c>
      <c r="E704" t="s">
        <v>714</v>
      </c>
      <c r="F704">
        <f>HYPERLINK("http://pbs.twimg.com/media/DcHXUuaX4AA18ML.jpg", "http://pbs.twimg.com/media/DcHXUuaX4AA18ML.jpg")</f>
        <v/>
      </c>
      <c r="G704" t="s"/>
      <c r="H704" t="s"/>
      <c r="I704" t="s"/>
      <c r="J704" t="n">
        <v>0</v>
      </c>
      <c r="K704" t="n">
        <v>0</v>
      </c>
      <c r="L704" t="n">
        <v>1</v>
      </c>
      <c r="M704" t="n">
        <v>0</v>
      </c>
    </row>
    <row r="705" spans="1:13">
      <c r="A705" s="1">
        <f>HYPERLINK("http://www.twitter.com/NathanBLawrence/status/991404312659083264", "991404312659083264")</f>
        <v/>
      </c>
      <c r="B705" s="2" t="n">
        <v>43221.82618055555</v>
      </c>
      <c r="C705" t="n">
        <v>0</v>
      </c>
      <c r="D705" t="n">
        <v>374</v>
      </c>
      <c r="E705" t="s">
        <v>715</v>
      </c>
      <c r="F705">
        <f>HYPERLINK("http://pbs.twimg.com/media/DcIs0E8V4AAkOte.jpg", "http://pbs.twimg.com/media/DcIs0E8V4AAkOte.jpg")</f>
        <v/>
      </c>
      <c r="G705" t="s"/>
      <c r="H705" t="s"/>
      <c r="I705" t="s"/>
      <c r="J705" t="n">
        <v>0</v>
      </c>
      <c r="K705" t="n">
        <v>0</v>
      </c>
      <c r="L705" t="n">
        <v>1</v>
      </c>
      <c r="M705" t="n">
        <v>0</v>
      </c>
    </row>
    <row r="706" spans="1:13">
      <c r="A706" s="1">
        <f>HYPERLINK("http://www.twitter.com/NathanBLawrence/status/991404102599917568", "991404102599917568")</f>
        <v/>
      </c>
      <c r="B706" s="2" t="n">
        <v>43221.82560185185</v>
      </c>
      <c r="C706" t="n">
        <v>10</v>
      </c>
      <c r="D706" t="n">
        <v>5</v>
      </c>
      <c r="E706" t="s">
        <v>716</v>
      </c>
      <c r="F706">
        <f>HYPERLINK("http://pbs.twimg.com/media/DcIswWLUwAAD8ha.jpg", "http://pbs.twimg.com/media/DcIswWLUwAAD8ha.jpg")</f>
        <v/>
      </c>
      <c r="G706" t="s"/>
      <c r="H706" t="s"/>
      <c r="I706" t="s"/>
      <c r="J706" t="n">
        <v>0</v>
      </c>
      <c r="K706" t="n">
        <v>0</v>
      </c>
      <c r="L706" t="n">
        <v>1</v>
      </c>
      <c r="M706" t="n">
        <v>0</v>
      </c>
    </row>
    <row r="707" spans="1:13">
      <c r="A707" s="1">
        <f>HYPERLINK("http://www.twitter.com/NathanBLawrence/status/991403686688575488", "991403686688575488")</f>
        <v/>
      </c>
      <c r="B707" s="2" t="n">
        <v>43221.82444444444</v>
      </c>
      <c r="C707" t="n">
        <v>0</v>
      </c>
      <c r="D707" t="n">
        <v>15</v>
      </c>
      <c r="E707" t="s">
        <v>717</v>
      </c>
      <c r="F707">
        <f>HYPERLINK("http://pbs.twimg.com/media/DbuUMInU8AA3JDZ.jpg", "http://pbs.twimg.com/media/DbuUMInU8AA3JDZ.jpg")</f>
        <v/>
      </c>
      <c r="G707" t="s"/>
      <c r="H707" t="s"/>
      <c r="I707" t="s"/>
      <c r="J707" t="n">
        <v>-0.2023</v>
      </c>
      <c r="K707" t="n">
        <v>0.096</v>
      </c>
      <c r="L707" t="n">
        <v>0.904</v>
      </c>
      <c r="M707" t="n">
        <v>0</v>
      </c>
    </row>
    <row r="708" spans="1:13">
      <c r="A708" s="1">
        <f>HYPERLINK("http://www.twitter.com/NathanBLawrence/status/991403176392773632", "991403176392773632")</f>
        <v/>
      </c>
      <c r="B708" s="2" t="n">
        <v>43221.82304398148</v>
      </c>
      <c r="C708" t="n">
        <v>0</v>
      </c>
      <c r="D708" t="n">
        <v>100</v>
      </c>
      <c r="E708" t="s">
        <v>718</v>
      </c>
      <c r="F708" t="s"/>
      <c r="G708" t="s"/>
      <c r="H708" t="s"/>
      <c r="I708" t="s"/>
      <c r="J708" t="n">
        <v>0</v>
      </c>
      <c r="K708" t="n">
        <v>0</v>
      </c>
      <c r="L708" t="n">
        <v>1</v>
      </c>
      <c r="M708" t="n">
        <v>0</v>
      </c>
    </row>
    <row r="709" spans="1:13">
      <c r="A709" s="1">
        <f>HYPERLINK("http://www.twitter.com/NathanBLawrence/status/991403113906036736", "991403113906036736")</f>
        <v/>
      </c>
      <c r="B709" s="2" t="n">
        <v>43221.82287037037</v>
      </c>
      <c r="C709" t="n">
        <v>0</v>
      </c>
      <c r="D709" t="n">
        <v>550</v>
      </c>
      <c r="E709" t="s">
        <v>719</v>
      </c>
      <c r="F709">
        <f>HYPERLINK("http://pbs.twimg.com/media/DcHqaPIWsAIZq_I.jpg", "http://pbs.twimg.com/media/DcHqaPIWsAIZq_I.jpg")</f>
        <v/>
      </c>
      <c r="G709" t="s"/>
      <c r="H709" t="s"/>
      <c r="I709" t="s"/>
      <c r="J709" t="n">
        <v>-0.2905</v>
      </c>
      <c r="K709" t="n">
        <v>0.153</v>
      </c>
      <c r="L709" t="n">
        <v>0.847</v>
      </c>
      <c r="M709" t="n">
        <v>0</v>
      </c>
    </row>
    <row r="710" spans="1:13">
      <c r="A710" s="1">
        <f>HYPERLINK("http://www.twitter.com/NathanBLawrence/status/991403051985453058", "991403051985453058")</f>
        <v/>
      </c>
      <c r="B710" s="2" t="n">
        <v>43221.82269675926</v>
      </c>
      <c r="C710" t="n">
        <v>0</v>
      </c>
      <c r="D710" t="n">
        <v>15432</v>
      </c>
      <c r="E710" t="s">
        <v>720</v>
      </c>
      <c r="F710">
        <f>HYPERLINK("https://video.twimg.com/ext_tw_video/991401973114163201/pu/vid/1280x720/dXV0XjBY1lWTianC.mp4?tag=3", "https://video.twimg.com/ext_tw_video/991401973114163201/pu/vid/1280x720/dXV0XjBY1lWTianC.mp4?tag=3")</f>
        <v/>
      </c>
      <c r="G710" t="s"/>
      <c r="H710" t="s"/>
      <c r="I710" t="s"/>
      <c r="J710" t="n">
        <v>0.9468</v>
      </c>
      <c r="K710" t="n">
        <v>0</v>
      </c>
      <c r="L710" t="n">
        <v>0.509</v>
      </c>
      <c r="M710" t="n">
        <v>0.491</v>
      </c>
    </row>
    <row r="711" spans="1:13">
      <c r="A711" s="1">
        <f>HYPERLINK("http://www.twitter.com/NathanBLawrence/status/991401310694993920", "991401310694993920")</f>
        <v/>
      </c>
      <c r="B711" s="2" t="n">
        <v>43221.81789351852</v>
      </c>
      <c r="C711" t="n">
        <v>0</v>
      </c>
      <c r="D711" t="n">
        <v>883</v>
      </c>
      <c r="E711" t="s">
        <v>721</v>
      </c>
      <c r="F711">
        <f>HYPERLINK("http://pbs.twimg.com/media/DcIpTgxWkAMyrNt.jpg", "http://pbs.twimg.com/media/DcIpTgxWkAMyrNt.jpg")</f>
        <v/>
      </c>
      <c r="G711" t="s"/>
      <c r="H711" t="s"/>
      <c r="I711" t="s"/>
      <c r="J711" t="n">
        <v>0.1779</v>
      </c>
      <c r="K711" t="n">
        <v>0.095</v>
      </c>
      <c r="L711" t="n">
        <v>0.779</v>
      </c>
      <c r="M711" t="n">
        <v>0.126</v>
      </c>
    </row>
    <row r="712" spans="1:13">
      <c r="A712" s="1">
        <f>HYPERLINK("http://www.twitter.com/NathanBLawrence/status/991399555450089472", "991399555450089472")</f>
        <v/>
      </c>
      <c r="B712" s="2" t="n">
        <v>43221.81304398148</v>
      </c>
      <c r="C712" t="n">
        <v>0</v>
      </c>
      <c r="D712" t="n">
        <v>260</v>
      </c>
      <c r="E712" t="s">
        <v>722</v>
      </c>
      <c r="F712">
        <f>HYPERLINK("http://pbs.twimg.com/media/DcHjx7QVMAAsf9L.jpg", "http://pbs.twimg.com/media/DcHjx7QVMAAsf9L.jpg")</f>
        <v/>
      </c>
      <c r="G712" t="s"/>
      <c r="H712" t="s"/>
      <c r="I712" t="s"/>
      <c r="J712" t="n">
        <v>-0.4588</v>
      </c>
      <c r="K712" t="n">
        <v>0.237</v>
      </c>
      <c r="L712" t="n">
        <v>0.625</v>
      </c>
      <c r="M712" t="n">
        <v>0.138</v>
      </c>
    </row>
    <row r="713" spans="1:13">
      <c r="A713" s="1">
        <f>HYPERLINK("http://www.twitter.com/NathanBLawrence/status/991395570412544000", "991395570412544000")</f>
        <v/>
      </c>
      <c r="B713" s="2" t="n">
        <v>43221.80204861111</v>
      </c>
      <c r="C713" t="n">
        <v>0</v>
      </c>
      <c r="D713" t="n">
        <v>382</v>
      </c>
      <c r="E713" t="s">
        <v>723</v>
      </c>
      <c r="F713">
        <f>HYPERLINK("http://pbs.twimg.com/media/DcIkG0OWkAAPa7W.jpg", "http://pbs.twimg.com/media/DcIkG0OWkAAPa7W.jpg")</f>
        <v/>
      </c>
      <c r="G713" t="s"/>
      <c r="H713" t="s"/>
      <c r="I713" t="s"/>
      <c r="J713" t="n">
        <v>0</v>
      </c>
      <c r="K713" t="n">
        <v>0</v>
      </c>
      <c r="L713" t="n">
        <v>1</v>
      </c>
      <c r="M713" t="n">
        <v>0</v>
      </c>
    </row>
    <row r="714" spans="1:13">
      <c r="A714" s="1">
        <f>HYPERLINK("http://www.twitter.com/NathanBLawrence/status/991395460291031040", "991395460291031040")</f>
        <v/>
      </c>
      <c r="B714" s="2" t="n">
        <v>43221.80174768518</v>
      </c>
      <c r="C714" t="n">
        <v>0</v>
      </c>
      <c r="D714" t="n">
        <v>2</v>
      </c>
      <c r="E714" t="s">
        <v>724</v>
      </c>
      <c r="F714" t="s"/>
      <c r="G714" t="s"/>
      <c r="H714" t="s"/>
      <c r="I714" t="s"/>
      <c r="J714" t="n">
        <v>-0.7783</v>
      </c>
      <c r="K714" t="n">
        <v>0.493</v>
      </c>
      <c r="L714" t="n">
        <v>0.507</v>
      </c>
      <c r="M714" t="n">
        <v>0</v>
      </c>
    </row>
    <row r="715" spans="1:13">
      <c r="A715" s="1">
        <f>HYPERLINK("http://www.twitter.com/NathanBLawrence/status/991395405412745216", "991395405412745216")</f>
        <v/>
      </c>
      <c r="B715" s="2" t="n">
        <v>43221.80159722222</v>
      </c>
      <c r="C715" t="n">
        <v>0</v>
      </c>
      <c r="D715" t="n">
        <v>431</v>
      </c>
      <c r="E715" t="s">
        <v>725</v>
      </c>
      <c r="F715">
        <f>HYPERLINK("http://pbs.twimg.com/media/DcIkEf6X0AAAjnT.jpg", "http://pbs.twimg.com/media/DcIkEf6X0AAAjnT.jpg")</f>
        <v/>
      </c>
      <c r="G715" t="s"/>
      <c r="H715" t="s"/>
      <c r="I715" t="s"/>
      <c r="J715" t="n">
        <v>-0.1032</v>
      </c>
      <c r="K715" t="n">
        <v>0.104</v>
      </c>
      <c r="L715" t="n">
        <v>0.8080000000000001</v>
      </c>
      <c r="M715" t="n">
        <v>0.08799999999999999</v>
      </c>
    </row>
    <row r="716" spans="1:13">
      <c r="A716" s="1">
        <f>HYPERLINK("http://www.twitter.com/NathanBLawrence/status/991395357538959360", "991395357538959360")</f>
        <v/>
      </c>
      <c r="B716" s="2" t="n">
        <v>43221.8014699074</v>
      </c>
      <c r="C716" t="n">
        <v>0</v>
      </c>
      <c r="D716" t="n">
        <v>75</v>
      </c>
      <c r="E716" t="s">
        <v>726</v>
      </c>
      <c r="F716">
        <f>HYPERLINK("http://pbs.twimg.com/media/DcHjOJjXcAYRMBi.jpg", "http://pbs.twimg.com/media/DcHjOJjXcAYRMBi.jpg")</f>
        <v/>
      </c>
      <c r="G716" t="s"/>
      <c r="H716" t="s"/>
      <c r="I716" t="s"/>
      <c r="J716" t="n">
        <v>0.3612</v>
      </c>
      <c r="K716" t="n">
        <v>0</v>
      </c>
      <c r="L716" t="n">
        <v>0.667</v>
      </c>
      <c r="M716" t="n">
        <v>0.333</v>
      </c>
    </row>
    <row r="717" spans="1:13">
      <c r="A717" s="1">
        <f>HYPERLINK("http://www.twitter.com/NathanBLawrence/status/991395140139798528", "991395140139798528")</f>
        <v/>
      </c>
      <c r="B717" s="2" t="n">
        <v>43221.80086805556</v>
      </c>
      <c r="C717" t="n">
        <v>0</v>
      </c>
      <c r="D717" t="n">
        <v>118</v>
      </c>
      <c r="E717" t="s">
        <v>727</v>
      </c>
      <c r="F717">
        <f>HYPERLINK("http://pbs.twimg.com/media/DcGAZsgU8AUbATP.jpg", "http://pbs.twimg.com/media/DcGAZsgU8AUbATP.jpg")</f>
        <v/>
      </c>
      <c r="G717" t="s"/>
      <c r="H717" t="s"/>
      <c r="I717" t="s"/>
      <c r="J717" t="n">
        <v>0.5719</v>
      </c>
      <c r="K717" t="n">
        <v>0</v>
      </c>
      <c r="L717" t="n">
        <v>0.8120000000000001</v>
      </c>
      <c r="M717" t="n">
        <v>0.188</v>
      </c>
    </row>
    <row r="718" spans="1:13">
      <c r="A718" s="1">
        <f>HYPERLINK("http://www.twitter.com/NathanBLawrence/status/991395036456669184", "991395036456669184")</f>
        <v/>
      </c>
      <c r="B718" s="2" t="n">
        <v>43221.8005787037</v>
      </c>
      <c r="C718" t="n">
        <v>0</v>
      </c>
      <c r="D718" t="n">
        <v>15</v>
      </c>
      <c r="E718" t="s">
        <v>728</v>
      </c>
      <c r="F718">
        <f>HYPERLINK("http://pbs.twimg.com/media/DcIhl_qXUAAA4O2.jpg", "http://pbs.twimg.com/media/DcIhl_qXUAAA4O2.jpg")</f>
        <v/>
      </c>
      <c r="G718" t="s"/>
      <c r="H718" t="s"/>
      <c r="I718" t="s"/>
      <c r="J718" t="n">
        <v>-0.7925</v>
      </c>
      <c r="K718" t="n">
        <v>0.27</v>
      </c>
      <c r="L718" t="n">
        <v>0.73</v>
      </c>
      <c r="M718" t="n">
        <v>0</v>
      </c>
    </row>
    <row r="719" spans="1:13">
      <c r="A719" s="1">
        <f>HYPERLINK("http://www.twitter.com/NathanBLawrence/status/991394950385352704", "991394950385352704")</f>
        <v/>
      </c>
      <c r="B719" s="2" t="n">
        <v>43221.80034722222</v>
      </c>
      <c r="C719" t="n">
        <v>0</v>
      </c>
      <c r="D719" t="n">
        <v>3029</v>
      </c>
      <c r="E719" t="s">
        <v>729</v>
      </c>
      <c r="F719" t="s"/>
      <c r="G719" t="s"/>
      <c r="H719" t="s"/>
      <c r="I719" t="s"/>
      <c r="J719" t="n">
        <v>0.25</v>
      </c>
      <c r="K719" t="n">
        <v>0.098</v>
      </c>
      <c r="L719" t="n">
        <v>0.759</v>
      </c>
      <c r="M719" t="n">
        <v>0.143</v>
      </c>
    </row>
    <row r="720" spans="1:13">
      <c r="A720" s="1">
        <f>HYPERLINK("http://www.twitter.com/NathanBLawrence/status/991394803190398976", "991394803190398976")</f>
        <v/>
      </c>
      <c r="B720" s="2" t="n">
        <v>43221.79993055556</v>
      </c>
      <c r="C720" t="n">
        <v>0</v>
      </c>
      <c r="D720" t="n">
        <v>429</v>
      </c>
      <c r="E720" t="s">
        <v>730</v>
      </c>
      <c r="F720">
        <f>HYPERLINK("http://pbs.twimg.com/media/DcH4PBiWAAADl_p.jpg", "http://pbs.twimg.com/media/DcH4PBiWAAADl_p.jpg")</f>
        <v/>
      </c>
      <c r="G720" t="s"/>
      <c r="H720" t="s"/>
      <c r="I720" t="s"/>
      <c r="J720" t="n">
        <v>0</v>
      </c>
      <c r="K720" t="n">
        <v>0</v>
      </c>
      <c r="L720" t="n">
        <v>1</v>
      </c>
      <c r="M720" t="n">
        <v>0</v>
      </c>
    </row>
    <row r="721" spans="1:13">
      <c r="A721" s="1">
        <f>HYPERLINK("http://www.twitter.com/NathanBLawrence/status/991394520670453760", "991394520670453760")</f>
        <v/>
      </c>
      <c r="B721" s="2" t="n">
        <v>43221.79915509259</v>
      </c>
      <c r="C721" t="n">
        <v>0</v>
      </c>
      <c r="D721" t="n">
        <v>192</v>
      </c>
      <c r="E721" t="s">
        <v>731</v>
      </c>
      <c r="F721">
        <f>HYPERLINK("http://pbs.twimg.com/media/DcIeWeqVQAAbyIC.jpg", "http://pbs.twimg.com/media/DcIeWeqVQAAbyIC.jpg")</f>
        <v/>
      </c>
      <c r="G721" t="s"/>
      <c r="H721" t="s"/>
      <c r="I721" t="s"/>
      <c r="J721" t="n">
        <v>0</v>
      </c>
      <c r="K721" t="n">
        <v>0</v>
      </c>
      <c r="L721" t="n">
        <v>1</v>
      </c>
      <c r="M721" t="n">
        <v>0</v>
      </c>
    </row>
    <row r="722" spans="1:13">
      <c r="A722" s="1">
        <f>HYPERLINK("http://www.twitter.com/NathanBLawrence/status/991393387281448960", "991393387281448960")</f>
        <v/>
      </c>
      <c r="B722" s="2" t="n">
        <v>43221.79603009259</v>
      </c>
      <c r="C722" t="n">
        <v>0</v>
      </c>
      <c r="D722" t="n">
        <v>428</v>
      </c>
      <c r="E722" t="s">
        <v>732</v>
      </c>
      <c r="F722">
        <f>HYPERLINK("http://pbs.twimg.com/media/DcIhfo0W0AEg7Nj.jpg", "http://pbs.twimg.com/media/DcIhfo0W0AEg7Nj.jpg")</f>
        <v/>
      </c>
      <c r="G722" t="s"/>
      <c r="H722" t="s"/>
      <c r="I722" t="s"/>
      <c r="J722" t="n">
        <v>0.5423</v>
      </c>
      <c r="K722" t="n">
        <v>0</v>
      </c>
      <c r="L722" t="n">
        <v>0.857</v>
      </c>
      <c r="M722" t="n">
        <v>0.143</v>
      </c>
    </row>
    <row r="723" spans="1:13">
      <c r="A723" s="1">
        <f>HYPERLINK("http://www.twitter.com/NathanBLawrence/status/991392975224786950", "991392975224786950")</f>
        <v/>
      </c>
      <c r="B723" s="2" t="n">
        <v>43221.79489583334</v>
      </c>
      <c r="C723" t="n">
        <v>0</v>
      </c>
      <c r="D723" t="n">
        <v>110</v>
      </c>
      <c r="E723" t="s">
        <v>733</v>
      </c>
      <c r="F723">
        <f>HYPERLINK("http://pbs.twimg.com/media/DcGPWKXUwAAbpUV.jpg", "http://pbs.twimg.com/media/DcGPWKXUwAAbpUV.jpg")</f>
        <v/>
      </c>
      <c r="G723" t="s"/>
      <c r="H723" t="s"/>
      <c r="I723" t="s"/>
      <c r="J723" t="n">
        <v>0.6249</v>
      </c>
      <c r="K723" t="n">
        <v>0</v>
      </c>
      <c r="L723" t="n">
        <v>0.843</v>
      </c>
      <c r="M723" t="n">
        <v>0.157</v>
      </c>
    </row>
    <row r="724" spans="1:13">
      <c r="A724" s="1">
        <f>HYPERLINK("http://www.twitter.com/NathanBLawrence/status/991392689848442880", "991392689848442880")</f>
        <v/>
      </c>
      <c r="B724" s="2" t="n">
        <v>43221.7941087963</v>
      </c>
      <c r="C724" t="n">
        <v>0</v>
      </c>
      <c r="D724" t="n">
        <v>167</v>
      </c>
      <c r="E724" t="s">
        <v>734</v>
      </c>
      <c r="F724" t="s"/>
      <c r="G724" t="s"/>
      <c r="H724" t="s"/>
      <c r="I724" t="s"/>
      <c r="J724" t="n">
        <v>0</v>
      </c>
      <c r="K724" t="n">
        <v>0</v>
      </c>
      <c r="L724" t="n">
        <v>1</v>
      </c>
      <c r="M724" t="n">
        <v>0</v>
      </c>
    </row>
    <row r="725" spans="1:13">
      <c r="A725" s="1">
        <f>HYPERLINK("http://www.twitter.com/NathanBLawrence/status/991392644927340544", "991392644927340544")</f>
        <v/>
      </c>
      <c r="B725" s="2" t="n">
        <v>43221.79398148148</v>
      </c>
      <c r="C725" t="n">
        <v>0</v>
      </c>
      <c r="D725" t="n">
        <v>343</v>
      </c>
      <c r="E725" t="s">
        <v>735</v>
      </c>
      <c r="F725">
        <f>HYPERLINK("http://pbs.twimg.com/media/DcIS1rFW0AA7kKC.jpg", "http://pbs.twimg.com/media/DcIS1rFW0AA7kKC.jpg")</f>
        <v/>
      </c>
      <c r="G725" t="s"/>
      <c r="H725" t="s"/>
      <c r="I725" t="s"/>
      <c r="J725" t="n">
        <v>-0.0772</v>
      </c>
      <c r="K725" t="n">
        <v>0.056</v>
      </c>
      <c r="L725" t="n">
        <v>0.944</v>
      </c>
      <c r="M725" t="n">
        <v>0</v>
      </c>
    </row>
    <row r="726" spans="1:13">
      <c r="A726" s="1">
        <f>HYPERLINK("http://www.twitter.com/NathanBLawrence/status/991392318249779200", "991392318249779200")</f>
        <v/>
      </c>
      <c r="B726" s="2" t="n">
        <v>43221.7930787037</v>
      </c>
      <c r="C726" t="n">
        <v>12</v>
      </c>
      <c r="D726" t="n">
        <v>5</v>
      </c>
      <c r="E726" t="s">
        <v>736</v>
      </c>
      <c r="F726" t="s"/>
      <c r="G726" t="s"/>
      <c r="H726" t="s"/>
      <c r="I726" t="s"/>
      <c r="J726" t="n">
        <v>0.4374</v>
      </c>
      <c r="K726" t="n">
        <v>0</v>
      </c>
      <c r="L726" t="n">
        <v>0.776</v>
      </c>
      <c r="M726" t="n">
        <v>0.224</v>
      </c>
    </row>
    <row r="727" spans="1:13">
      <c r="A727" s="1">
        <f>HYPERLINK("http://www.twitter.com/NathanBLawrence/status/991391922781536256", "991391922781536256")</f>
        <v/>
      </c>
      <c r="B727" s="2" t="n">
        <v>43221.79199074074</v>
      </c>
      <c r="C727" t="n">
        <v>0</v>
      </c>
      <c r="D727" t="n">
        <v>4</v>
      </c>
      <c r="E727" t="s">
        <v>737</v>
      </c>
      <c r="F727" t="s"/>
      <c r="G727" t="s"/>
      <c r="H727" t="s"/>
      <c r="I727" t="s"/>
      <c r="J727" t="n">
        <v>-0.5106000000000001</v>
      </c>
      <c r="K727" t="n">
        <v>0.281</v>
      </c>
      <c r="L727" t="n">
        <v>0.719</v>
      </c>
      <c r="M727" t="n">
        <v>0</v>
      </c>
    </row>
    <row r="728" spans="1:13">
      <c r="A728" s="1">
        <f>HYPERLINK("http://www.twitter.com/NathanBLawrence/status/991391365010309120", "991391365010309120")</f>
        <v/>
      </c>
      <c r="B728" s="2" t="n">
        <v>43221.79045138889</v>
      </c>
      <c r="C728" t="n">
        <v>0</v>
      </c>
      <c r="D728" t="n">
        <v>1848</v>
      </c>
      <c r="E728" t="s">
        <v>738</v>
      </c>
      <c r="F728">
        <f>HYPERLINK("https://video.twimg.com/ext_tw_video/991342022190510081/pu/vid/1280x720/tHzBZSeuSWdl698Y.mp4?tag=3", "https://video.twimg.com/ext_tw_video/991342022190510081/pu/vid/1280x720/tHzBZSeuSWdl698Y.mp4?tag=3")</f>
        <v/>
      </c>
      <c r="G728" t="s"/>
      <c r="H728" t="s"/>
      <c r="I728" t="s"/>
      <c r="J728" t="n">
        <v>0.2732</v>
      </c>
      <c r="K728" t="n">
        <v>0</v>
      </c>
      <c r="L728" t="n">
        <v>0.913</v>
      </c>
      <c r="M728" t="n">
        <v>0.08699999999999999</v>
      </c>
    </row>
    <row r="729" spans="1:13">
      <c r="A729" s="1">
        <f>HYPERLINK("http://www.twitter.com/NathanBLawrence/status/991391280180555776", "991391280180555776")</f>
        <v/>
      </c>
      <c r="B729" s="2" t="n">
        <v>43221.79021990741</v>
      </c>
      <c r="C729" t="n">
        <v>0</v>
      </c>
      <c r="D729" t="n">
        <v>392</v>
      </c>
      <c r="E729" t="s">
        <v>739</v>
      </c>
      <c r="F729">
        <f>HYPERLINK("http://pbs.twimg.com/media/DcH-qQ9XUAAZWNO.jpg", "http://pbs.twimg.com/media/DcH-qQ9XUAAZWNO.jpg")</f>
        <v/>
      </c>
      <c r="G729" t="s"/>
      <c r="H729" t="s"/>
      <c r="I729" t="s"/>
      <c r="J729" t="n">
        <v>0.5719</v>
      </c>
      <c r="K729" t="n">
        <v>0</v>
      </c>
      <c r="L729" t="n">
        <v>0.83</v>
      </c>
      <c r="M729" t="n">
        <v>0.17</v>
      </c>
    </row>
    <row r="730" spans="1:13">
      <c r="A730" s="1">
        <f>HYPERLINK("http://www.twitter.com/NathanBLawrence/status/991391139881144321", "991391139881144321")</f>
        <v/>
      </c>
      <c r="B730" s="2" t="n">
        <v>43221.78982638889</v>
      </c>
      <c r="C730" t="n">
        <v>0</v>
      </c>
      <c r="D730" t="n">
        <v>233</v>
      </c>
      <c r="E730" t="s">
        <v>740</v>
      </c>
      <c r="F730">
        <f>HYPERLINK("http://pbs.twimg.com/media/DcHQQflUwAAocmd.jpg", "http://pbs.twimg.com/media/DcHQQflUwAAocmd.jpg")</f>
        <v/>
      </c>
      <c r="G730" t="s"/>
      <c r="H730" t="s"/>
      <c r="I730" t="s"/>
      <c r="J730" t="n">
        <v>0</v>
      </c>
      <c r="K730" t="n">
        <v>0</v>
      </c>
      <c r="L730" t="n">
        <v>1</v>
      </c>
      <c r="M730" t="n">
        <v>0</v>
      </c>
    </row>
    <row r="731" spans="1:13">
      <c r="A731" s="1">
        <f>HYPERLINK("http://www.twitter.com/NathanBLawrence/status/991383383698587648", "991383383698587648")</f>
        <v/>
      </c>
      <c r="B731" s="2" t="n">
        <v>43221.76842592593</v>
      </c>
      <c r="C731" t="n">
        <v>0</v>
      </c>
      <c r="D731" t="n">
        <v>95</v>
      </c>
      <c r="E731" t="s">
        <v>741</v>
      </c>
      <c r="F731">
        <f>HYPERLINK("http://pbs.twimg.com/media/DcIOAFIXkAAF35_.jpg", "http://pbs.twimg.com/media/DcIOAFIXkAAF35_.jpg")</f>
        <v/>
      </c>
      <c r="G731" t="s"/>
      <c r="H731" t="s"/>
      <c r="I731" t="s"/>
      <c r="J731" t="n">
        <v>0</v>
      </c>
      <c r="K731" t="n">
        <v>0</v>
      </c>
      <c r="L731" t="n">
        <v>1</v>
      </c>
      <c r="M731" t="n">
        <v>0</v>
      </c>
    </row>
    <row r="732" spans="1:13">
      <c r="A732" s="1">
        <f>HYPERLINK("http://www.twitter.com/NathanBLawrence/status/991381500242231296", "991381500242231296")</f>
        <v/>
      </c>
      <c r="B732" s="2" t="n">
        <v>43221.76322916667</v>
      </c>
      <c r="C732" t="n">
        <v>0</v>
      </c>
      <c r="D732" t="n">
        <v>5</v>
      </c>
      <c r="E732" t="s">
        <v>742</v>
      </c>
      <c r="F732" t="s"/>
      <c r="G732" t="s"/>
      <c r="H732" t="s"/>
      <c r="I732" t="s"/>
      <c r="J732" t="n">
        <v>0</v>
      </c>
      <c r="K732" t="n">
        <v>0</v>
      </c>
      <c r="L732" t="n">
        <v>1</v>
      </c>
      <c r="M732" t="n">
        <v>0</v>
      </c>
    </row>
    <row r="733" spans="1:13">
      <c r="A733" s="1">
        <f>HYPERLINK("http://www.twitter.com/NathanBLawrence/status/991381370965389312", "991381370965389312")</f>
        <v/>
      </c>
      <c r="B733" s="2" t="n">
        <v>43221.76287037037</v>
      </c>
      <c r="C733" t="n">
        <v>0</v>
      </c>
      <c r="D733" t="n">
        <v>528</v>
      </c>
      <c r="E733" t="s">
        <v>743</v>
      </c>
      <c r="F733" t="s"/>
      <c r="G733" t="s"/>
      <c r="H733" t="s"/>
      <c r="I733" t="s"/>
      <c r="J733" t="n">
        <v>-0.555</v>
      </c>
      <c r="K733" t="n">
        <v>0.172</v>
      </c>
      <c r="L733" t="n">
        <v>0.828</v>
      </c>
      <c r="M733" t="n">
        <v>0</v>
      </c>
    </row>
    <row r="734" spans="1:13">
      <c r="A734" s="1">
        <f>HYPERLINK("http://www.twitter.com/NathanBLawrence/status/991381318729584640", "991381318729584640")</f>
        <v/>
      </c>
      <c r="B734" s="2" t="n">
        <v>43221.76273148148</v>
      </c>
      <c r="C734" t="n">
        <v>0</v>
      </c>
      <c r="D734" t="n">
        <v>192</v>
      </c>
      <c r="E734" t="s">
        <v>744</v>
      </c>
      <c r="F734" t="s"/>
      <c r="G734" t="s"/>
      <c r="H734" t="s"/>
      <c r="I734" t="s"/>
      <c r="J734" t="n">
        <v>0.7717000000000001</v>
      </c>
      <c r="K734" t="n">
        <v>0</v>
      </c>
      <c r="L734" t="n">
        <v>0.7</v>
      </c>
      <c r="M734" t="n">
        <v>0.3</v>
      </c>
    </row>
    <row r="735" spans="1:13">
      <c r="A735" s="1">
        <f>HYPERLINK("http://www.twitter.com/NathanBLawrence/status/991381117604282368", "991381117604282368")</f>
        <v/>
      </c>
      <c r="B735" s="2" t="n">
        <v>43221.76217592593</v>
      </c>
      <c r="C735" t="n">
        <v>0</v>
      </c>
      <c r="D735" t="n">
        <v>10925</v>
      </c>
      <c r="E735" t="s">
        <v>745</v>
      </c>
      <c r="F735">
        <f>HYPERLINK("https://video.twimg.com/ext_tw_video/991380126372958208/pu/vid/1280x720/mK7TpHCNdxOiO5Xn.mp4?tag=3", "https://video.twimg.com/ext_tw_video/991380126372958208/pu/vid/1280x720/mK7TpHCNdxOiO5Xn.mp4?tag=3")</f>
        <v/>
      </c>
      <c r="G735" t="s"/>
      <c r="H735" t="s"/>
      <c r="I735" t="s"/>
      <c r="J735" t="n">
        <v>0.636</v>
      </c>
      <c r="K735" t="n">
        <v>0</v>
      </c>
      <c r="L735" t="n">
        <v>0.488</v>
      </c>
      <c r="M735" t="n">
        <v>0.512</v>
      </c>
    </row>
    <row r="736" spans="1:13">
      <c r="A736" s="1">
        <f>HYPERLINK("http://www.twitter.com/NathanBLawrence/status/991380532595380224", "991380532595380224")</f>
        <v/>
      </c>
      <c r="B736" s="2" t="n">
        <v>43221.76055555556</v>
      </c>
      <c r="C736" t="n">
        <v>0</v>
      </c>
      <c r="D736" t="n">
        <v>4</v>
      </c>
      <c r="E736" t="s">
        <v>746</v>
      </c>
      <c r="F736">
        <f>HYPERLINK("http://pbs.twimg.com/media/DcIMGCDVAAAdmSs.jpg", "http://pbs.twimg.com/media/DcIMGCDVAAAdmSs.jpg")</f>
        <v/>
      </c>
      <c r="G736" t="s"/>
      <c r="H736" t="s"/>
      <c r="I736" t="s"/>
      <c r="J736" t="n">
        <v>0.7707000000000001</v>
      </c>
      <c r="K736" t="n">
        <v>0</v>
      </c>
      <c r="L736" t="n">
        <v>0.767</v>
      </c>
      <c r="M736" t="n">
        <v>0.233</v>
      </c>
    </row>
    <row r="737" spans="1:13">
      <c r="A737" s="1">
        <f>HYPERLINK("http://www.twitter.com/NathanBLawrence/status/991380050481102849", "991380050481102849")</f>
        <v/>
      </c>
      <c r="B737" s="2" t="n">
        <v>43221.75922453704</v>
      </c>
      <c r="C737" t="n">
        <v>0</v>
      </c>
      <c r="D737" t="n">
        <v>855</v>
      </c>
      <c r="E737" t="s">
        <v>747</v>
      </c>
      <c r="F737">
        <f>HYPERLINK("https://video.twimg.com/ext_tw_video/991356983839256577/pu/vid/640x360/2WYKViIIpfv9TQM8.mp4?tag=3", "https://video.twimg.com/ext_tw_video/991356983839256577/pu/vid/640x360/2WYKViIIpfv9TQM8.mp4?tag=3")</f>
        <v/>
      </c>
      <c r="G737" t="s"/>
      <c r="H737" t="s"/>
      <c r="I737" t="s"/>
      <c r="J737" t="n">
        <v>0.4767</v>
      </c>
      <c r="K737" t="n">
        <v>0</v>
      </c>
      <c r="L737" t="n">
        <v>0.89</v>
      </c>
      <c r="M737" t="n">
        <v>0.11</v>
      </c>
    </row>
    <row r="738" spans="1:13">
      <c r="A738" s="1">
        <f>HYPERLINK("http://www.twitter.com/NathanBLawrence/status/991379703880536065", "991379703880536065")</f>
        <v/>
      </c>
      <c r="B738" s="2" t="n">
        <v>43221.75827546296</v>
      </c>
      <c r="C738" t="n">
        <v>0</v>
      </c>
      <c r="D738" t="n">
        <v>817</v>
      </c>
      <c r="E738" t="s">
        <v>748</v>
      </c>
      <c r="F738">
        <f>HYPERLINK("http://pbs.twimg.com/media/DcD5JpzXUAECZtz.jpg", "http://pbs.twimg.com/media/DcD5JpzXUAECZtz.jpg")</f>
        <v/>
      </c>
      <c r="G738" t="s"/>
      <c r="H738" t="s"/>
      <c r="I738" t="s"/>
      <c r="J738" t="n">
        <v>0.9313</v>
      </c>
      <c r="K738" t="n">
        <v>0</v>
      </c>
      <c r="L738" t="n">
        <v>0.578</v>
      </c>
      <c r="M738" t="n">
        <v>0.422</v>
      </c>
    </row>
    <row r="739" spans="1:13">
      <c r="A739" s="1">
        <f>HYPERLINK("http://www.twitter.com/NathanBLawrence/status/991379469708378112", "991379469708378112")</f>
        <v/>
      </c>
      <c r="B739" s="2" t="n">
        <v>43221.75762731482</v>
      </c>
      <c r="C739" t="n">
        <v>0</v>
      </c>
      <c r="D739" t="n">
        <v>962</v>
      </c>
      <c r="E739" t="s">
        <v>749</v>
      </c>
      <c r="F739">
        <f>HYPERLINK("http://pbs.twimg.com/media/DcISxmmW0AAJ4ST.jpg", "http://pbs.twimg.com/media/DcISxmmW0AAJ4ST.jpg")</f>
        <v/>
      </c>
      <c r="G739" t="s"/>
      <c r="H739" t="s"/>
      <c r="I739" t="s"/>
      <c r="J739" t="n">
        <v>0</v>
      </c>
      <c r="K739" t="n">
        <v>0</v>
      </c>
      <c r="L739" t="n">
        <v>1</v>
      </c>
      <c r="M739" t="n">
        <v>0</v>
      </c>
    </row>
    <row r="740" spans="1:13">
      <c r="A740" s="1">
        <f>HYPERLINK("http://www.twitter.com/NathanBLawrence/status/991379232868614144", "991379232868614144")</f>
        <v/>
      </c>
      <c r="B740" s="2" t="n">
        <v>43221.75696759259</v>
      </c>
      <c r="C740" t="n">
        <v>0</v>
      </c>
      <c r="D740" t="n">
        <v>630</v>
      </c>
      <c r="E740" t="s">
        <v>750</v>
      </c>
      <c r="F740">
        <f>HYPERLINK("http://pbs.twimg.com/media/DcISHN8V4AAkk7g.jpg", "http://pbs.twimg.com/media/DcISHN8V4AAkk7g.jpg")</f>
        <v/>
      </c>
      <c r="G740" t="s"/>
      <c r="H740" t="s"/>
      <c r="I740" t="s"/>
      <c r="J740" t="n">
        <v>0.3382</v>
      </c>
      <c r="K740" t="n">
        <v>0</v>
      </c>
      <c r="L740" t="n">
        <v>0.893</v>
      </c>
      <c r="M740" t="n">
        <v>0.107</v>
      </c>
    </row>
    <row r="741" spans="1:13">
      <c r="A741" s="1">
        <f>HYPERLINK("http://www.twitter.com/NathanBLawrence/status/991379050286407680", "991379050286407680")</f>
        <v/>
      </c>
      <c r="B741" s="2" t="n">
        <v>43221.75646990741</v>
      </c>
      <c r="C741" t="n">
        <v>0</v>
      </c>
      <c r="D741" t="n">
        <v>894</v>
      </c>
      <c r="E741" t="s">
        <v>751</v>
      </c>
      <c r="F741">
        <f>HYPERLINK("http://pbs.twimg.com/media/DcG6a-fWkAAvt_t.jpg", "http://pbs.twimg.com/media/DcG6a-fWkAAvt_t.jpg")</f>
        <v/>
      </c>
      <c r="G741" t="s"/>
      <c r="H741" t="s"/>
      <c r="I741" t="s"/>
      <c r="J741" t="n">
        <v>0.3818</v>
      </c>
      <c r="K741" t="n">
        <v>0</v>
      </c>
      <c r="L741" t="n">
        <v>0.894</v>
      </c>
      <c r="M741" t="n">
        <v>0.106</v>
      </c>
    </row>
    <row r="742" spans="1:13">
      <c r="A742" s="1">
        <f>HYPERLINK("http://www.twitter.com/NathanBLawrence/status/991378862570323969", "991378862570323969")</f>
        <v/>
      </c>
      <c r="B742" s="2" t="n">
        <v>43221.75594907408</v>
      </c>
      <c r="C742" t="n">
        <v>0</v>
      </c>
      <c r="D742" t="n">
        <v>529</v>
      </c>
      <c r="E742" t="s">
        <v>752</v>
      </c>
      <c r="F742">
        <f>HYPERLINK("http://pbs.twimg.com/media/DcIT0DiVQAAcRtZ.jpg", "http://pbs.twimg.com/media/DcIT0DiVQAAcRtZ.jpg")</f>
        <v/>
      </c>
      <c r="G742" t="s"/>
      <c r="H742" t="s"/>
      <c r="I742" t="s"/>
      <c r="J742" t="n">
        <v>0.3818</v>
      </c>
      <c r="K742" t="n">
        <v>0</v>
      </c>
      <c r="L742" t="n">
        <v>0.898</v>
      </c>
      <c r="M742" t="n">
        <v>0.102</v>
      </c>
    </row>
    <row r="743" spans="1:13">
      <c r="A743" s="1">
        <f>HYPERLINK("http://www.twitter.com/NathanBLawrence/status/991378538140917760", "991378538140917760")</f>
        <v/>
      </c>
      <c r="B743" s="2" t="n">
        <v>43221.75505787037</v>
      </c>
      <c r="C743" t="n">
        <v>0</v>
      </c>
      <c r="D743" t="n">
        <v>575</v>
      </c>
      <c r="E743" t="s">
        <v>753</v>
      </c>
      <c r="F743" t="s"/>
      <c r="G743" t="s"/>
      <c r="H743" t="s"/>
      <c r="I743" t="s"/>
      <c r="J743" t="n">
        <v>0.7944</v>
      </c>
      <c r="K743" t="n">
        <v>0</v>
      </c>
      <c r="L743" t="n">
        <v>0.706</v>
      </c>
      <c r="M743" t="n">
        <v>0.294</v>
      </c>
    </row>
    <row r="744" spans="1:13">
      <c r="A744" s="1">
        <f>HYPERLINK("http://www.twitter.com/NathanBLawrence/status/991250481090514944", "991250481090514944")</f>
        <v/>
      </c>
      <c r="B744" s="2" t="n">
        <v>43221.40167824074</v>
      </c>
      <c r="C744" t="n">
        <v>0</v>
      </c>
      <c r="D744" t="n">
        <v>1358</v>
      </c>
      <c r="E744" t="s">
        <v>754</v>
      </c>
      <c r="F744">
        <f>HYPERLINK("https://video.twimg.com/ext_tw_video/991129334353022976/pu/vid/720x720/LAKoQ9h45JW4emru.mp4?tag=3", "https://video.twimg.com/ext_tw_video/991129334353022976/pu/vid/720x720/LAKoQ9h45JW4emru.mp4?tag=3")</f>
        <v/>
      </c>
      <c r="G744" t="s"/>
      <c r="H744" t="s"/>
      <c r="I744" t="s"/>
      <c r="J744" t="n">
        <v>-0.87</v>
      </c>
      <c r="K744" t="n">
        <v>0.366</v>
      </c>
      <c r="L744" t="n">
        <v>0.634</v>
      </c>
      <c r="M744" t="n">
        <v>0</v>
      </c>
    </row>
    <row r="745" spans="1:13">
      <c r="A745" s="1">
        <f>HYPERLINK("http://www.twitter.com/NathanBLawrence/status/991250059370020864", "991250059370020864")</f>
        <v/>
      </c>
      <c r="B745" s="2" t="n">
        <v>43221.40052083333</v>
      </c>
      <c r="C745" t="n">
        <v>0</v>
      </c>
      <c r="D745" t="n">
        <v>694</v>
      </c>
      <c r="E745" t="s">
        <v>755</v>
      </c>
      <c r="F745">
        <f>HYPERLINK("http://pbs.twimg.com/media/DcEBu5OX0AElsVi.jpg", "http://pbs.twimg.com/media/DcEBu5OX0AElsVi.jpg")</f>
        <v/>
      </c>
      <c r="G745" t="s"/>
      <c r="H745" t="s"/>
      <c r="I745" t="s"/>
      <c r="J745" t="n">
        <v>0</v>
      </c>
      <c r="K745" t="n">
        <v>0</v>
      </c>
      <c r="L745" t="n">
        <v>1</v>
      </c>
      <c r="M745" t="n">
        <v>0</v>
      </c>
    </row>
    <row r="746" spans="1:13">
      <c r="A746" s="1">
        <f>HYPERLINK("http://www.twitter.com/NathanBLawrence/status/991249832827224064", "991249832827224064")</f>
        <v/>
      </c>
      <c r="B746" s="2" t="n">
        <v>43221.39989583333</v>
      </c>
      <c r="C746" t="n">
        <v>0</v>
      </c>
      <c r="D746" t="n">
        <v>28</v>
      </c>
      <c r="E746" t="s">
        <v>756</v>
      </c>
      <c r="F746">
        <f>HYPERLINK("http://pbs.twimg.com/media/DcFYE_SXkAUoGAB.jpg", "http://pbs.twimg.com/media/DcFYE_SXkAUoGAB.jpg")</f>
        <v/>
      </c>
      <c r="G746" t="s"/>
      <c r="H746" t="s"/>
      <c r="I746" t="s"/>
      <c r="J746" t="n">
        <v>0.4466</v>
      </c>
      <c r="K746" t="n">
        <v>0.152</v>
      </c>
      <c r="L746" t="n">
        <v>0.584</v>
      </c>
      <c r="M746" t="n">
        <v>0.265</v>
      </c>
    </row>
    <row r="747" spans="1:13">
      <c r="A747" s="1">
        <f>HYPERLINK("http://www.twitter.com/NathanBLawrence/status/991249786811465728", "991249786811465728")</f>
        <v/>
      </c>
      <c r="B747" s="2" t="n">
        <v>43221.39976851852</v>
      </c>
      <c r="C747" t="n">
        <v>0</v>
      </c>
      <c r="D747" t="n">
        <v>19</v>
      </c>
      <c r="E747" t="s">
        <v>757</v>
      </c>
      <c r="F747">
        <f>HYPERLINK("http://pbs.twimg.com/media/DcFdoSkV0AE_k0Q.jpg", "http://pbs.twimg.com/media/DcFdoSkV0AE_k0Q.jpg")</f>
        <v/>
      </c>
      <c r="G747" t="s"/>
      <c r="H747" t="s"/>
      <c r="I747" t="s"/>
      <c r="J747" t="n">
        <v>0</v>
      </c>
      <c r="K747" t="n">
        <v>0</v>
      </c>
      <c r="L747" t="n">
        <v>1</v>
      </c>
      <c r="M747" t="n">
        <v>0</v>
      </c>
    </row>
    <row r="748" spans="1:13">
      <c r="A748" s="1">
        <f>HYPERLINK("http://www.twitter.com/NathanBLawrence/status/991249629801951232", "991249629801951232")</f>
        <v/>
      </c>
      <c r="B748" s="2" t="n">
        <v>43221.3993287037</v>
      </c>
      <c r="C748" t="n">
        <v>0</v>
      </c>
      <c r="D748" t="n">
        <v>389</v>
      </c>
      <c r="E748" t="s">
        <v>758</v>
      </c>
      <c r="F748">
        <f>HYPERLINK("http://pbs.twimg.com/media/DcFDVYTVQAUNUqV.jpg", "http://pbs.twimg.com/media/DcFDVYTVQAUNUqV.jpg")</f>
        <v/>
      </c>
      <c r="G748">
        <f>HYPERLINK("http://pbs.twimg.com/media/DcFDVYRU8AIjyur.jpg", "http://pbs.twimg.com/media/DcFDVYRU8AIjyur.jpg")</f>
        <v/>
      </c>
      <c r="H748" t="s"/>
      <c r="I748" t="s"/>
      <c r="J748" t="n">
        <v>0.0258</v>
      </c>
      <c r="K748" t="n">
        <v>0</v>
      </c>
      <c r="L748" t="n">
        <v>0.9419999999999999</v>
      </c>
      <c r="M748" t="n">
        <v>0.058</v>
      </c>
    </row>
    <row r="749" spans="1:13">
      <c r="A749" s="1">
        <f>HYPERLINK("http://www.twitter.com/NathanBLawrence/status/991203595742732288", "991203595742732288")</f>
        <v/>
      </c>
      <c r="B749" s="2" t="n">
        <v>43221.27230324074</v>
      </c>
      <c r="C749" t="n">
        <v>0</v>
      </c>
      <c r="D749" t="n">
        <v>26</v>
      </c>
      <c r="E749" t="s">
        <v>759</v>
      </c>
      <c r="F749" t="s"/>
      <c r="G749" t="s"/>
      <c r="H749" t="s"/>
      <c r="I749" t="s"/>
      <c r="J749" t="n">
        <v>0</v>
      </c>
      <c r="K749" t="n">
        <v>0</v>
      </c>
      <c r="L749" t="n">
        <v>1</v>
      </c>
      <c r="M749" t="n">
        <v>0</v>
      </c>
    </row>
    <row r="750" spans="1:13">
      <c r="A750" s="1">
        <f>HYPERLINK("http://www.twitter.com/NathanBLawrence/status/991203534644301824", "991203534644301824")</f>
        <v/>
      </c>
      <c r="B750" s="2" t="n">
        <v>43221.27212962963</v>
      </c>
      <c r="C750" t="n">
        <v>0</v>
      </c>
      <c r="D750" t="n">
        <v>2506</v>
      </c>
      <c r="E750" t="s">
        <v>760</v>
      </c>
      <c r="F750">
        <f>HYPERLINK("http://pbs.twimg.com/media/DcFUVC4VQAAZamS.jpg", "http://pbs.twimg.com/media/DcFUVC4VQAAZamS.jpg")</f>
        <v/>
      </c>
      <c r="G750" t="s"/>
      <c r="H750" t="s"/>
      <c r="I750" t="s"/>
      <c r="J750" t="n">
        <v>0.5574</v>
      </c>
      <c r="K750" t="n">
        <v>0</v>
      </c>
      <c r="L750" t="n">
        <v>0.827</v>
      </c>
      <c r="M750" t="n">
        <v>0.173</v>
      </c>
    </row>
    <row r="751" spans="1:13">
      <c r="A751" s="1">
        <f>HYPERLINK("http://www.twitter.com/NathanBLawrence/status/991203464565866497", "991203464565866497")</f>
        <v/>
      </c>
      <c r="B751" s="2" t="n">
        <v>43221.27194444444</v>
      </c>
      <c r="C751" t="n">
        <v>0</v>
      </c>
      <c r="D751" t="n">
        <v>173</v>
      </c>
      <c r="E751" t="s">
        <v>761</v>
      </c>
      <c r="F751">
        <f>HYPERLINK("http://pbs.twimg.com/media/DcE7joqXUAAtQae.jpg", "http://pbs.twimg.com/media/DcE7joqXUAAtQae.jpg")</f>
        <v/>
      </c>
      <c r="G751" t="s"/>
      <c r="H751" t="s"/>
      <c r="I751" t="s"/>
      <c r="J751" t="n">
        <v>0.3331</v>
      </c>
      <c r="K751" t="n">
        <v>0.082</v>
      </c>
      <c r="L751" t="n">
        <v>0.785</v>
      </c>
      <c r="M751" t="n">
        <v>0.133</v>
      </c>
    </row>
    <row r="752" spans="1:13">
      <c r="A752" s="1">
        <f>HYPERLINK("http://www.twitter.com/NathanBLawrence/status/991203373624971264", "991203373624971264")</f>
        <v/>
      </c>
      <c r="B752" s="2" t="n">
        <v>43221.27168981481</v>
      </c>
      <c r="C752" t="n">
        <v>0</v>
      </c>
      <c r="D752" t="n">
        <v>155</v>
      </c>
      <c r="E752" t="s">
        <v>762</v>
      </c>
      <c r="F752">
        <f>HYPERLINK("http://pbs.twimg.com/media/DcFHe_0W0AASUr_.jpg", "http://pbs.twimg.com/media/DcFHe_0W0AASUr_.jpg")</f>
        <v/>
      </c>
      <c r="G752" t="s"/>
      <c r="H752" t="s"/>
      <c r="I752" t="s"/>
      <c r="J752" t="n">
        <v>0.2695</v>
      </c>
      <c r="K752" t="n">
        <v>0.142</v>
      </c>
      <c r="L752" t="n">
        <v>0.652</v>
      </c>
      <c r="M752" t="n">
        <v>0.206</v>
      </c>
    </row>
    <row r="753" spans="1:13">
      <c r="A753" s="1">
        <f>HYPERLINK("http://www.twitter.com/NathanBLawrence/status/991203330562117632", "991203330562117632")</f>
        <v/>
      </c>
      <c r="B753" s="2" t="n">
        <v>43221.27157407408</v>
      </c>
      <c r="C753" t="n">
        <v>0</v>
      </c>
      <c r="D753" t="n">
        <v>1873</v>
      </c>
      <c r="E753" t="s">
        <v>763</v>
      </c>
      <c r="F753">
        <f>HYPERLINK("http://pbs.twimg.com/media/DcFGV40VMAAiL5Q.jpg", "http://pbs.twimg.com/media/DcFGV40VMAAiL5Q.jpg")</f>
        <v/>
      </c>
      <c r="G753" t="s"/>
      <c r="H753" t="s"/>
      <c r="I753" t="s"/>
      <c r="J753" t="n">
        <v>-0.8374</v>
      </c>
      <c r="K753" t="n">
        <v>0.344</v>
      </c>
      <c r="L753" t="n">
        <v>0.656</v>
      </c>
      <c r="M753" t="n">
        <v>0</v>
      </c>
    </row>
    <row r="754" spans="1:13">
      <c r="A754" s="1">
        <f>HYPERLINK("http://www.twitter.com/NathanBLawrence/status/991203229835845632", "991203229835845632")</f>
        <v/>
      </c>
      <c r="B754" s="2" t="n">
        <v>43221.2712962963</v>
      </c>
      <c r="C754" t="n">
        <v>0</v>
      </c>
      <c r="D754" t="n">
        <v>614</v>
      </c>
      <c r="E754" t="s">
        <v>764</v>
      </c>
      <c r="F754">
        <f>HYPERLINK("http://pbs.twimg.com/media/DcD_rS8XkAEkVNj.jpg", "http://pbs.twimg.com/media/DcD_rS8XkAEkVNj.jpg")</f>
        <v/>
      </c>
      <c r="G754" t="s"/>
      <c r="H754" t="s"/>
      <c r="I754" t="s"/>
      <c r="J754" t="n">
        <v>0</v>
      </c>
      <c r="K754" t="n">
        <v>0</v>
      </c>
      <c r="L754" t="n">
        <v>1</v>
      </c>
      <c r="M754" t="n">
        <v>0</v>
      </c>
    </row>
    <row r="755" spans="1:13">
      <c r="A755" s="1">
        <f>HYPERLINK("http://www.twitter.com/NathanBLawrence/status/991202032739602433", "991202032739602433")</f>
        <v/>
      </c>
      <c r="B755" s="2" t="n">
        <v>43221.26798611111</v>
      </c>
      <c r="C755" t="n">
        <v>58</v>
      </c>
      <c r="D755" t="n">
        <v>16</v>
      </c>
      <c r="E755" t="s">
        <v>765</v>
      </c>
      <c r="F755" t="s"/>
      <c r="G755" t="s"/>
      <c r="H755" t="s"/>
      <c r="I755" t="s"/>
      <c r="J755" t="n">
        <v>-0.9371</v>
      </c>
      <c r="K755" t="n">
        <v>0.643</v>
      </c>
      <c r="L755" t="n">
        <v>0.357</v>
      </c>
      <c r="M755" t="n">
        <v>0</v>
      </c>
    </row>
    <row r="756" spans="1:13">
      <c r="A756" s="1">
        <f>HYPERLINK("http://www.twitter.com/NathanBLawrence/status/991201655717814272", "991201655717814272")</f>
        <v/>
      </c>
      <c r="B756" s="2" t="n">
        <v>43221.26695601852</v>
      </c>
      <c r="C756" t="n">
        <v>19</v>
      </c>
      <c r="D756" t="n">
        <v>5</v>
      </c>
      <c r="E756" t="s">
        <v>766</v>
      </c>
      <c r="F756" t="s"/>
      <c r="G756" t="s"/>
      <c r="H756" t="s"/>
      <c r="I756" t="s"/>
      <c r="J756" t="n">
        <v>0.4359</v>
      </c>
      <c r="K756" t="n">
        <v>0.239</v>
      </c>
      <c r="L756" t="n">
        <v>0.473</v>
      </c>
      <c r="M756" t="n">
        <v>0.288</v>
      </c>
    </row>
    <row r="757" spans="1:13">
      <c r="A757" s="1">
        <f>HYPERLINK("http://www.twitter.com/NathanBLawrence/status/991198974722768896", "991198974722768896")</f>
        <v/>
      </c>
      <c r="B757" s="2" t="n">
        <v>43221.25954861111</v>
      </c>
      <c r="C757" t="n">
        <v>8</v>
      </c>
      <c r="D757" t="n">
        <v>2</v>
      </c>
      <c r="E757" t="s">
        <v>767</v>
      </c>
      <c r="F757" t="s"/>
      <c r="G757" t="s"/>
      <c r="H757" t="s"/>
      <c r="I757" t="s"/>
      <c r="J757" t="n">
        <v>0</v>
      </c>
      <c r="K757" t="n">
        <v>0</v>
      </c>
      <c r="L757" t="n">
        <v>1</v>
      </c>
      <c r="M757" t="n">
        <v>0</v>
      </c>
    </row>
    <row r="758" spans="1:13">
      <c r="A758" s="1">
        <f>HYPERLINK("http://www.twitter.com/NathanBLawrence/status/991127499529572352", "991127499529572352")</f>
        <v/>
      </c>
      <c r="B758" s="2" t="n">
        <v>43221.06231481482</v>
      </c>
      <c r="C758" t="n">
        <v>11</v>
      </c>
      <c r="D758" t="n">
        <v>4</v>
      </c>
      <c r="E758" t="s">
        <v>768</v>
      </c>
      <c r="F758" t="s"/>
      <c r="G758" t="s"/>
      <c r="H758" t="s"/>
      <c r="I758" t="s"/>
      <c r="J758" t="n">
        <v>-0.7184</v>
      </c>
      <c r="K758" t="n">
        <v>0.273</v>
      </c>
      <c r="L758" t="n">
        <v>0.727</v>
      </c>
      <c r="M758" t="n">
        <v>0</v>
      </c>
    </row>
    <row r="759" spans="1:13">
      <c r="A759" s="1">
        <f>HYPERLINK("http://www.twitter.com/NathanBLawrence/status/991127013476909062", "991127013476909062")</f>
        <v/>
      </c>
      <c r="B759" s="2" t="n">
        <v>43221.06097222222</v>
      </c>
      <c r="C759" t="n">
        <v>14</v>
      </c>
      <c r="D759" t="n">
        <v>1</v>
      </c>
      <c r="E759" t="s">
        <v>769</v>
      </c>
      <c r="F759" t="s"/>
      <c r="G759" t="s"/>
      <c r="H759" t="s"/>
      <c r="I759" t="s"/>
      <c r="J759" t="n">
        <v>-0.3818</v>
      </c>
      <c r="K759" t="n">
        <v>0.271</v>
      </c>
      <c r="L759" t="n">
        <v>0.729</v>
      </c>
      <c r="M759" t="n">
        <v>0</v>
      </c>
    </row>
    <row r="760" spans="1:13">
      <c r="A760" s="1">
        <f>HYPERLINK("http://www.twitter.com/NathanBLawrence/status/991126759142604803", "991126759142604803")</f>
        <v/>
      </c>
      <c r="B760" s="2" t="n">
        <v>43221.06027777777</v>
      </c>
      <c r="C760" t="n">
        <v>4</v>
      </c>
      <c r="D760" t="n">
        <v>1</v>
      </c>
      <c r="E760" t="s">
        <v>770</v>
      </c>
      <c r="F760" t="s"/>
      <c r="G760" t="s"/>
      <c r="H760" t="s"/>
      <c r="I760" t="s"/>
      <c r="J760" t="n">
        <v>-0.8481</v>
      </c>
      <c r="K760" t="n">
        <v>0.338</v>
      </c>
      <c r="L760" t="n">
        <v>0.662</v>
      </c>
      <c r="M760" t="n">
        <v>0</v>
      </c>
    </row>
    <row r="761" spans="1:13">
      <c r="A761" s="1">
        <f>HYPERLINK("http://www.twitter.com/NathanBLawrence/status/991126103698755584", "991126103698755584")</f>
        <v/>
      </c>
      <c r="B761" s="2" t="n">
        <v>43221.05847222222</v>
      </c>
      <c r="C761" t="n">
        <v>0</v>
      </c>
      <c r="D761" t="n">
        <v>844</v>
      </c>
      <c r="E761" t="s">
        <v>771</v>
      </c>
      <c r="F761">
        <f>HYPERLINK("http://pbs.twimg.com/media/DcCUIt5VAAEron2.jpg", "http://pbs.twimg.com/media/DcCUIt5VAAEron2.jpg")</f>
        <v/>
      </c>
      <c r="G761" t="s"/>
      <c r="H761" t="s"/>
      <c r="I761" t="s"/>
      <c r="J761" t="n">
        <v>-0.4404</v>
      </c>
      <c r="K761" t="n">
        <v>0.187</v>
      </c>
      <c r="L761" t="n">
        <v>0.712</v>
      </c>
      <c r="M761" t="n">
        <v>0.101</v>
      </c>
    </row>
    <row r="762" spans="1:13">
      <c r="A762" s="1">
        <f>HYPERLINK("http://www.twitter.com/NathanBLawrence/status/991125257317629952", "991125257317629952")</f>
        <v/>
      </c>
      <c r="B762" s="2" t="n">
        <v>43221.05613425926</v>
      </c>
      <c r="C762" t="n">
        <v>0</v>
      </c>
      <c r="D762" t="n">
        <v>24332</v>
      </c>
      <c r="E762" t="s">
        <v>772</v>
      </c>
      <c r="F762" t="s"/>
      <c r="G762" t="s"/>
      <c r="H762" t="s"/>
      <c r="I762" t="s"/>
      <c r="J762" t="n">
        <v>-0.5266999999999999</v>
      </c>
      <c r="K762" t="n">
        <v>0.18</v>
      </c>
      <c r="L762" t="n">
        <v>0.82</v>
      </c>
      <c r="M762" t="n">
        <v>0</v>
      </c>
    </row>
    <row r="763" spans="1:13">
      <c r="A763" s="1">
        <f>HYPERLINK("http://www.twitter.com/NathanBLawrence/status/991124761278271488", "991124761278271488")</f>
        <v/>
      </c>
      <c r="B763" s="2" t="n">
        <v>43221.05475694445</v>
      </c>
      <c r="C763" t="n">
        <v>0</v>
      </c>
      <c r="D763" t="n">
        <v>105</v>
      </c>
      <c r="E763" t="s">
        <v>773</v>
      </c>
      <c r="F763">
        <f>HYPERLINK("http://pbs.twimg.com/media/DcEtZ2jV4AAQ4PI.jpg", "http://pbs.twimg.com/media/DcEtZ2jV4AAQ4PI.jpg")</f>
        <v/>
      </c>
      <c r="G763" t="s"/>
      <c r="H763" t="s"/>
      <c r="I763" t="s"/>
      <c r="J763" t="n">
        <v>0</v>
      </c>
      <c r="K763" t="n">
        <v>0</v>
      </c>
      <c r="L763" t="n">
        <v>1</v>
      </c>
      <c r="M763" t="n">
        <v>0</v>
      </c>
    </row>
    <row r="764" spans="1:13">
      <c r="A764" s="1">
        <f>HYPERLINK("http://www.twitter.com/NathanBLawrence/status/991124622039920640", "991124622039920640")</f>
        <v/>
      </c>
      <c r="B764" s="2" t="n">
        <v>43221.054375</v>
      </c>
      <c r="C764" t="n">
        <v>0</v>
      </c>
      <c r="D764" t="n">
        <v>1165</v>
      </c>
      <c r="E764" t="s">
        <v>774</v>
      </c>
      <c r="F764">
        <f>HYPERLINK("http://pbs.twimg.com/media/DcB_GaMWkAI46m0.jpg", "http://pbs.twimg.com/media/DcB_GaMWkAI46m0.jpg")</f>
        <v/>
      </c>
      <c r="G764" t="s"/>
      <c r="H764" t="s"/>
      <c r="I764" t="s"/>
      <c r="J764" t="n">
        <v>0.2808</v>
      </c>
      <c r="K764" t="n">
        <v>0</v>
      </c>
      <c r="L764" t="n">
        <v>0.912</v>
      </c>
      <c r="M764" t="n">
        <v>0.08799999999999999</v>
      </c>
    </row>
    <row r="765" spans="1:13">
      <c r="A765" s="1">
        <f>HYPERLINK("http://www.twitter.com/NathanBLawrence/status/991124433845698561", "991124433845698561")</f>
        <v/>
      </c>
      <c r="B765" s="2" t="n">
        <v>43221.05385416667</v>
      </c>
      <c r="C765" t="n">
        <v>0</v>
      </c>
      <c r="D765" t="n">
        <v>338</v>
      </c>
      <c r="E765" t="s">
        <v>775</v>
      </c>
      <c r="F765">
        <f>HYPERLINK("http://pbs.twimg.com/media/DcEtER2V0AAf5on.jpg", "http://pbs.twimg.com/media/DcEtER2V0AAf5on.jpg")</f>
        <v/>
      </c>
      <c r="G765" t="s"/>
      <c r="H765" t="s"/>
      <c r="I765" t="s"/>
      <c r="J765" t="n">
        <v>0.25</v>
      </c>
      <c r="K765" t="n">
        <v>0</v>
      </c>
      <c r="L765" t="n">
        <v>0.909</v>
      </c>
      <c r="M765" t="n">
        <v>0.091</v>
      </c>
    </row>
    <row r="766" spans="1:13">
      <c r="A766" s="1">
        <f>HYPERLINK("http://www.twitter.com/NathanBLawrence/status/991124384977833984", "991124384977833984")</f>
        <v/>
      </c>
      <c r="B766" s="2" t="n">
        <v>43221.05372685185</v>
      </c>
      <c r="C766" t="n">
        <v>8</v>
      </c>
      <c r="D766" t="n">
        <v>0</v>
      </c>
      <c r="E766" t="s">
        <v>776</v>
      </c>
      <c r="F766" t="s"/>
      <c r="G766" t="s"/>
      <c r="H766" t="s"/>
      <c r="I766" t="s"/>
      <c r="J766" t="n">
        <v>0.5093</v>
      </c>
      <c r="K766" t="n">
        <v>0</v>
      </c>
      <c r="L766" t="n">
        <v>0.233</v>
      </c>
      <c r="M766" t="n">
        <v>0.767</v>
      </c>
    </row>
    <row r="767" spans="1:13">
      <c r="A767" s="1">
        <f>HYPERLINK("http://www.twitter.com/NathanBLawrence/status/991124285291835392", "991124285291835392")</f>
        <v/>
      </c>
      <c r="B767" s="2" t="n">
        <v>43221.05344907408</v>
      </c>
      <c r="C767" t="n">
        <v>17</v>
      </c>
      <c r="D767" t="n">
        <v>5</v>
      </c>
      <c r="E767" t="s">
        <v>777</v>
      </c>
      <c r="F767" t="s"/>
      <c r="G767" t="s"/>
      <c r="H767" t="s"/>
      <c r="I767" t="s"/>
      <c r="J767" t="n">
        <v>-0.9059</v>
      </c>
      <c r="K767" t="n">
        <v>0.417</v>
      </c>
      <c r="L767" t="n">
        <v>0.583</v>
      </c>
      <c r="M767" t="n">
        <v>0</v>
      </c>
    </row>
    <row r="768" spans="1:13">
      <c r="A768" s="1">
        <f>HYPERLINK("http://www.twitter.com/NathanBLawrence/status/991123636642697216", "991123636642697216")</f>
        <v/>
      </c>
      <c r="B768" s="2" t="n">
        <v>43221.05165509259</v>
      </c>
      <c r="C768" t="n">
        <v>0</v>
      </c>
      <c r="D768" t="n">
        <v>180</v>
      </c>
      <c r="E768" t="s">
        <v>778</v>
      </c>
      <c r="F768">
        <f>HYPERLINK("http://pbs.twimg.com/media/DcEtRg3W0AIlkHk.jpg", "http://pbs.twimg.com/media/DcEtRg3W0AIlkHk.jpg")</f>
        <v/>
      </c>
      <c r="G768" t="s"/>
      <c r="H768" t="s"/>
      <c r="I768" t="s"/>
      <c r="J768" t="n">
        <v>0.516</v>
      </c>
      <c r="K768" t="n">
        <v>0.171</v>
      </c>
      <c r="L768" t="n">
        <v>0.524</v>
      </c>
      <c r="M768" t="n">
        <v>0.305</v>
      </c>
    </row>
    <row r="769" spans="1:13">
      <c r="A769" s="1">
        <f>HYPERLINK("http://www.twitter.com/NathanBLawrence/status/991123014086348800", "991123014086348800")</f>
        <v/>
      </c>
      <c r="B769" s="2" t="n">
        <v>43221.04994212963</v>
      </c>
      <c r="C769" t="n">
        <v>0</v>
      </c>
      <c r="D769" t="n">
        <v>30</v>
      </c>
      <c r="E769" t="s">
        <v>779</v>
      </c>
      <c r="F769" t="s"/>
      <c r="G769" t="s"/>
      <c r="H769" t="s"/>
      <c r="I769" t="s"/>
      <c r="J769" t="n">
        <v>-0.5719</v>
      </c>
      <c r="K769" t="n">
        <v>0.125</v>
      </c>
      <c r="L769" t="n">
        <v>0.875</v>
      </c>
      <c r="M769" t="n">
        <v>0</v>
      </c>
    </row>
    <row r="770" spans="1:13">
      <c r="A770" s="1">
        <f>HYPERLINK("http://www.twitter.com/NathanBLawrence/status/991122681629106176", "991122681629106176")</f>
        <v/>
      </c>
      <c r="B770" s="2" t="n">
        <v>43221.04902777778</v>
      </c>
      <c r="C770" t="n">
        <v>0</v>
      </c>
      <c r="D770" t="n">
        <v>170</v>
      </c>
      <c r="E770" t="s">
        <v>780</v>
      </c>
      <c r="F770">
        <f>HYPERLINK("https://video.twimg.com/amplify_video/991095955398291458/vid/1280x720/_lP3rkCowoCQalJJ.mp4?tag=2", "https://video.twimg.com/amplify_video/991095955398291458/vid/1280x720/_lP3rkCowoCQalJJ.mp4?tag=2")</f>
        <v/>
      </c>
      <c r="G770" t="s"/>
      <c r="H770" t="s"/>
      <c r="I770" t="s"/>
      <c r="J770" t="n">
        <v>-0.34</v>
      </c>
      <c r="K770" t="n">
        <v>0.13</v>
      </c>
      <c r="L770" t="n">
        <v>0.87</v>
      </c>
      <c r="M770" t="n">
        <v>0</v>
      </c>
    </row>
    <row r="771" spans="1:13">
      <c r="A771" s="1">
        <f>HYPERLINK("http://www.twitter.com/NathanBLawrence/status/991122430956486656", "991122430956486656")</f>
        <v/>
      </c>
      <c r="B771" s="2" t="n">
        <v>43221.04833333333</v>
      </c>
      <c r="C771" t="n">
        <v>0</v>
      </c>
      <c r="D771" t="n">
        <v>992</v>
      </c>
      <c r="E771" t="s">
        <v>781</v>
      </c>
      <c r="F771">
        <f>HYPERLINK("http://pbs.twimg.com/media/DcEfmS9VAAEPgqX.jpg", "http://pbs.twimg.com/media/DcEfmS9VAAEPgqX.jpg")</f>
        <v/>
      </c>
      <c r="G771" t="s"/>
      <c r="H771" t="s"/>
      <c r="I771" t="s"/>
      <c r="J771" t="n">
        <v>0</v>
      </c>
      <c r="K771" t="n">
        <v>0</v>
      </c>
      <c r="L771" t="n">
        <v>1</v>
      </c>
      <c r="M771" t="n">
        <v>0</v>
      </c>
    </row>
    <row r="772" spans="1:13">
      <c r="A772" s="1">
        <f>HYPERLINK("http://www.twitter.com/NathanBLawrence/status/991029231046963205", "991029231046963205")</f>
        <v/>
      </c>
      <c r="B772" s="2" t="n">
        <v>43220.79114583333</v>
      </c>
      <c r="C772" t="n">
        <v>0</v>
      </c>
      <c r="D772" t="n">
        <v>3620</v>
      </c>
      <c r="E772" t="s">
        <v>782</v>
      </c>
      <c r="F772">
        <f>HYPERLINK("https://video.twimg.com/ext_tw_video/990979211195138048/pu/vid/512x640/ewI4I5S2A2D3BR3K.mp4?tag=3", "https://video.twimg.com/ext_tw_video/990979211195138048/pu/vid/512x640/ewI4I5S2A2D3BR3K.mp4?tag=3")</f>
        <v/>
      </c>
      <c r="G772" t="s"/>
      <c r="H772" t="s"/>
      <c r="I772" t="s"/>
      <c r="J772" t="n">
        <v>0.1531</v>
      </c>
      <c r="K772" t="n">
        <v>0</v>
      </c>
      <c r="L772" t="n">
        <v>0.9350000000000001</v>
      </c>
      <c r="M772" t="n">
        <v>0.065</v>
      </c>
    </row>
    <row r="773" spans="1:13">
      <c r="A773" s="1">
        <f>HYPERLINK("http://www.twitter.com/NathanBLawrence/status/991028964398264320", "991028964398264320")</f>
        <v/>
      </c>
      <c r="B773" s="2" t="n">
        <v>43220.79041666666</v>
      </c>
      <c r="C773" t="n">
        <v>14</v>
      </c>
      <c r="D773" t="n">
        <v>3</v>
      </c>
      <c r="E773" t="s">
        <v>783</v>
      </c>
      <c r="F773" t="s"/>
      <c r="G773" t="s"/>
      <c r="H773" t="s"/>
      <c r="I773" t="s"/>
      <c r="J773" t="n">
        <v>-0.6820000000000001</v>
      </c>
      <c r="K773" t="n">
        <v>0.302</v>
      </c>
      <c r="L773" t="n">
        <v>0.698</v>
      </c>
      <c r="M773" t="n">
        <v>0</v>
      </c>
    </row>
    <row r="774" spans="1:13">
      <c r="A774" s="1">
        <f>HYPERLINK("http://www.twitter.com/NathanBLawrence/status/991028425279266816", "991028425279266816")</f>
        <v/>
      </c>
      <c r="B774" s="2" t="n">
        <v>43220.78892361111</v>
      </c>
      <c r="C774" t="n">
        <v>0</v>
      </c>
      <c r="D774" t="n">
        <v>1895</v>
      </c>
      <c r="E774" t="s">
        <v>784</v>
      </c>
      <c r="F774">
        <f>HYPERLINK("http://pbs.twimg.com/media/DcCwRH3VAAAW0ar.jpg", "http://pbs.twimg.com/media/DcCwRH3VAAAW0ar.jpg")</f>
        <v/>
      </c>
      <c r="G774" t="s"/>
      <c r="H774" t="s"/>
      <c r="I774" t="s"/>
      <c r="J774" t="n">
        <v>0</v>
      </c>
      <c r="K774" t="n">
        <v>0</v>
      </c>
      <c r="L774" t="n">
        <v>1</v>
      </c>
      <c r="M774" t="n">
        <v>0</v>
      </c>
    </row>
    <row r="775" spans="1:13">
      <c r="A775" s="1">
        <f>HYPERLINK("http://www.twitter.com/NathanBLawrence/status/991028341816754176", "991028341816754176")</f>
        <v/>
      </c>
      <c r="B775" s="2" t="n">
        <v>43220.78869212963</v>
      </c>
      <c r="C775" t="n">
        <v>0</v>
      </c>
      <c r="D775" t="n">
        <v>962</v>
      </c>
      <c r="E775" t="s">
        <v>785</v>
      </c>
      <c r="F775" t="s"/>
      <c r="G775" t="s"/>
      <c r="H775" t="s"/>
      <c r="I775" t="s"/>
      <c r="J775" t="n">
        <v>0</v>
      </c>
      <c r="K775" t="n">
        <v>0</v>
      </c>
      <c r="L775" t="n">
        <v>1</v>
      </c>
      <c r="M775" t="n">
        <v>0</v>
      </c>
    </row>
    <row r="776" spans="1:13">
      <c r="A776" s="1">
        <f>HYPERLINK("http://www.twitter.com/NathanBLawrence/status/990890009744977920", "990890009744977920")</f>
        <v/>
      </c>
      <c r="B776" s="2" t="n">
        <v>43220.40696759259</v>
      </c>
      <c r="C776" t="n">
        <v>0</v>
      </c>
      <c r="D776" t="n">
        <v>162</v>
      </c>
      <c r="E776" t="s">
        <v>786</v>
      </c>
      <c r="F776">
        <f>HYPERLINK("http://pbs.twimg.com/media/DcABHwuW4AIKEIm.jpg", "http://pbs.twimg.com/media/DcABHwuW4AIKEIm.jpg")</f>
        <v/>
      </c>
      <c r="G776" t="s"/>
      <c r="H776" t="s"/>
      <c r="I776" t="s"/>
      <c r="J776" t="n">
        <v>0.3237</v>
      </c>
      <c r="K776" t="n">
        <v>0</v>
      </c>
      <c r="L776" t="n">
        <v>0.844</v>
      </c>
      <c r="M776" t="n">
        <v>0.156</v>
      </c>
    </row>
    <row r="777" spans="1:13">
      <c r="A777" s="1">
        <f>HYPERLINK("http://www.twitter.com/NathanBLawrence/status/990889880967233536", "990889880967233536")</f>
        <v/>
      </c>
      <c r="B777" s="2" t="n">
        <v>43220.40662037037</v>
      </c>
      <c r="C777" t="n">
        <v>0</v>
      </c>
      <c r="D777" t="n">
        <v>50</v>
      </c>
      <c r="E777" t="s">
        <v>787</v>
      </c>
      <c r="F777" t="s"/>
      <c r="G777" t="s"/>
      <c r="H777" t="s"/>
      <c r="I777" t="s"/>
      <c r="J777" t="n">
        <v>-0.7003</v>
      </c>
      <c r="K777" t="n">
        <v>0.225</v>
      </c>
      <c r="L777" t="n">
        <v>0.775</v>
      </c>
      <c r="M777" t="n">
        <v>0</v>
      </c>
    </row>
    <row r="778" spans="1:13">
      <c r="A778" s="1">
        <f>HYPERLINK("http://www.twitter.com/NathanBLawrence/status/990889515270066176", "990889515270066176")</f>
        <v/>
      </c>
      <c r="B778" s="2" t="n">
        <v>43220.40560185185</v>
      </c>
      <c r="C778" t="n">
        <v>0</v>
      </c>
      <c r="D778" t="n">
        <v>2183</v>
      </c>
      <c r="E778" t="s">
        <v>788</v>
      </c>
      <c r="F778" t="s"/>
      <c r="G778" t="s"/>
      <c r="H778" t="s"/>
      <c r="I778" t="s"/>
      <c r="J778" t="n">
        <v>0.6625</v>
      </c>
      <c r="K778" t="n">
        <v>0</v>
      </c>
      <c r="L778" t="n">
        <v>0.768</v>
      </c>
      <c r="M778" t="n">
        <v>0.232</v>
      </c>
    </row>
    <row r="779" spans="1:13">
      <c r="A779" s="1">
        <f>HYPERLINK("http://www.twitter.com/NathanBLawrence/status/990889313175924736", "990889313175924736")</f>
        <v/>
      </c>
      <c r="B779" s="2" t="n">
        <v>43220.4050462963</v>
      </c>
      <c r="C779" t="n">
        <v>0</v>
      </c>
      <c r="D779" t="n">
        <v>26</v>
      </c>
      <c r="E779" t="s">
        <v>789</v>
      </c>
      <c r="F779">
        <f>HYPERLINK("http://pbs.twimg.com/media/DcAwNdxVAAAsV0J.jpg", "http://pbs.twimg.com/media/DcAwNdxVAAAsV0J.jpg")</f>
        <v/>
      </c>
      <c r="G779" t="s"/>
      <c r="H779" t="s"/>
      <c r="I779" t="s"/>
      <c r="J779" t="n">
        <v>0</v>
      </c>
      <c r="K779" t="n">
        <v>0</v>
      </c>
      <c r="L779" t="n">
        <v>1</v>
      </c>
      <c r="M779" t="n">
        <v>0</v>
      </c>
    </row>
    <row r="780" spans="1:13">
      <c r="A780" s="1">
        <f>HYPERLINK("http://www.twitter.com/NathanBLawrence/status/990889282305863680", "990889282305863680")</f>
        <v/>
      </c>
      <c r="B780" s="2" t="n">
        <v>43220.40496527778</v>
      </c>
      <c r="C780" t="n">
        <v>0</v>
      </c>
      <c r="D780" t="n">
        <v>180</v>
      </c>
      <c r="E780" t="s">
        <v>790</v>
      </c>
      <c r="F780">
        <f>HYPERLINK("http://pbs.twimg.com/media/DcABn1xX4AAozi3.jpg", "http://pbs.twimg.com/media/DcABn1xX4AAozi3.jpg")</f>
        <v/>
      </c>
      <c r="G780" t="s"/>
      <c r="H780" t="s"/>
      <c r="I780" t="s"/>
      <c r="J780" t="n">
        <v>0</v>
      </c>
      <c r="K780" t="n">
        <v>0</v>
      </c>
      <c r="L780" t="n">
        <v>1</v>
      </c>
      <c r="M780" t="n">
        <v>0</v>
      </c>
    </row>
    <row r="781" spans="1:13">
      <c r="A781" s="1">
        <f>HYPERLINK("http://www.twitter.com/NathanBLawrence/status/990889028294619136", "990889028294619136")</f>
        <v/>
      </c>
      <c r="B781" s="2" t="n">
        <v>43220.40425925926</v>
      </c>
      <c r="C781" t="n">
        <v>0</v>
      </c>
      <c r="D781" t="n">
        <v>2569</v>
      </c>
      <c r="E781" t="s">
        <v>791</v>
      </c>
      <c r="F781" t="s"/>
      <c r="G781" t="s"/>
      <c r="H781" t="s"/>
      <c r="I781" t="s"/>
      <c r="J781" t="n">
        <v>0</v>
      </c>
      <c r="K781" t="n">
        <v>0</v>
      </c>
      <c r="L781" t="n">
        <v>1</v>
      </c>
      <c r="M781" t="n">
        <v>0</v>
      </c>
    </row>
    <row r="782" spans="1:13">
      <c r="A782" s="1">
        <f>HYPERLINK("http://www.twitter.com/NathanBLawrence/status/990888938863656960", "990888938863656960")</f>
        <v/>
      </c>
      <c r="B782" s="2" t="n">
        <v>43220.40401620371</v>
      </c>
      <c r="C782" t="n">
        <v>0</v>
      </c>
      <c r="D782" t="n">
        <v>1377</v>
      </c>
      <c r="E782" t="s">
        <v>792</v>
      </c>
      <c r="F782">
        <f>HYPERLINK("http://pbs.twimg.com/media/DcAJOqSUQAMmmG2.jpg", "http://pbs.twimg.com/media/DcAJOqSUQAMmmG2.jpg")</f>
        <v/>
      </c>
      <c r="G782" t="s"/>
      <c r="H782" t="s"/>
      <c r="I782" t="s"/>
      <c r="J782" t="n">
        <v>0.7906</v>
      </c>
      <c r="K782" t="n">
        <v>0</v>
      </c>
      <c r="L782" t="n">
        <v>0.708</v>
      </c>
      <c r="M782" t="n">
        <v>0.292</v>
      </c>
    </row>
    <row r="783" spans="1:13">
      <c r="A783" s="1">
        <f>HYPERLINK("http://www.twitter.com/NathanBLawrence/status/990888638744379392", "990888638744379392")</f>
        <v/>
      </c>
      <c r="B783" s="2" t="n">
        <v>43220.40318287037</v>
      </c>
      <c r="C783" t="n">
        <v>0</v>
      </c>
      <c r="D783" t="n">
        <v>253</v>
      </c>
      <c r="E783" t="s">
        <v>793</v>
      </c>
      <c r="F783" t="s"/>
      <c r="G783" t="s"/>
      <c r="H783" t="s"/>
      <c r="I783" t="s"/>
      <c r="J783" t="n">
        <v>-0.8478</v>
      </c>
      <c r="K783" t="n">
        <v>0.406</v>
      </c>
      <c r="L783" t="n">
        <v>0.594</v>
      </c>
      <c r="M783" t="n">
        <v>0</v>
      </c>
    </row>
    <row r="784" spans="1:13">
      <c r="A784" s="1">
        <f>HYPERLINK("http://www.twitter.com/NathanBLawrence/status/990887921841356801", "990887921841356801")</f>
        <v/>
      </c>
      <c r="B784" s="2" t="n">
        <v>43220.40121527778</v>
      </c>
      <c r="C784" t="n">
        <v>0</v>
      </c>
      <c r="D784" t="n">
        <v>18</v>
      </c>
      <c r="E784" t="s">
        <v>794</v>
      </c>
      <c r="F784">
        <f>HYPERLINK("http://pbs.twimg.com/media/DcAdXjMVQAEAXqS.jpg", "http://pbs.twimg.com/media/DcAdXjMVQAEAXqS.jpg")</f>
        <v/>
      </c>
      <c r="G784" t="s"/>
      <c r="H784" t="s"/>
      <c r="I784" t="s"/>
      <c r="J784" t="n">
        <v>0</v>
      </c>
      <c r="K784" t="n">
        <v>0</v>
      </c>
      <c r="L784" t="n">
        <v>1</v>
      </c>
      <c r="M784" t="n">
        <v>0</v>
      </c>
    </row>
    <row r="785" spans="1:13">
      <c r="A785" s="1">
        <f>HYPERLINK("http://www.twitter.com/NathanBLawrence/status/990887805797593088", "990887805797593088")</f>
        <v/>
      </c>
      <c r="B785" s="2" t="n">
        <v>43220.4008912037</v>
      </c>
      <c r="C785" t="n">
        <v>0</v>
      </c>
      <c r="D785" t="n">
        <v>4995</v>
      </c>
      <c r="E785" t="s">
        <v>795</v>
      </c>
      <c r="F785">
        <f>HYPERLINK("http://pbs.twimg.com/media/Db_3EVmU0AAK9KC.jpg", "http://pbs.twimg.com/media/Db_3EVmU0AAK9KC.jpg")</f>
        <v/>
      </c>
      <c r="G785" t="s"/>
      <c r="H785" t="s"/>
      <c r="I785" t="s"/>
      <c r="J785" t="n">
        <v>0</v>
      </c>
      <c r="K785" t="n">
        <v>0</v>
      </c>
      <c r="L785" t="n">
        <v>1</v>
      </c>
      <c r="M785" t="n">
        <v>0</v>
      </c>
    </row>
    <row r="786" spans="1:13">
      <c r="A786" s="1">
        <f>HYPERLINK("http://www.twitter.com/NathanBLawrence/status/990887781097390080", "990887781097390080")</f>
        <v/>
      </c>
      <c r="B786" s="2" t="n">
        <v>43220.40082175926</v>
      </c>
      <c r="C786" t="n">
        <v>0</v>
      </c>
      <c r="D786" t="n">
        <v>1482</v>
      </c>
      <c r="E786" t="s">
        <v>796</v>
      </c>
      <c r="F786" t="s"/>
      <c r="G786" t="s"/>
      <c r="H786" t="s"/>
      <c r="I786" t="s"/>
      <c r="J786" t="n">
        <v>-0.5106000000000001</v>
      </c>
      <c r="K786" t="n">
        <v>0.185</v>
      </c>
      <c r="L786" t="n">
        <v>0.8149999999999999</v>
      </c>
      <c r="M786" t="n">
        <v>0</v>
      </c>
    </row>
    <row r="787" spans="1:13">
      <c r="A787" s="1">
        <f>HYPERLINK("http://www.twitter.com/NathanBLawrence/status/990887685999943680", "990887685999943680")</f>
        <v/>
      </c>
      <c r="B787" s="2" t="n">
        <v>43220.40055555556</v>
      </c>
      <c r="C787" t="n">
        <v>0</v>
      </c>
      <c r="D787" t="n">
        <v>1311</v>
      </c>
      <c r="E787" t="s">
        <v>797</v>
      </c>
      <c r="F787">
        <f>HYPERLINK("http://pbs.twimg.com/media/DcAeeJIUQAAvNr4.jpg", "http://pbs.twimg.com/media/DcAeeJIUQAAvNr4.jpg")</f>
        <v/>
      </c>
      <c r="G787" t="s"/>
      <c r="H787" t="s"/>
      <c r="I787" t="s"/>
      <c r="J787" t="n">
        <v>0</v>
      </c>
      <c r="K787" t="n">
        <v>0</v>
      </c>
      <c r="L787" t="n">
        <v>1</v>
      </c>
      <c r="M787" t="n">
        <v>0</v>
      </c>
    </row>
    <row r="788" spans="1:13">
      <c r="A788" s="1">
        <f>HYPERLINK("http://www.twitter.com/NathanBLawrence/status/990868240581603329", "990868240581603329")</f>
        <v/>
      </c>
      <c r="B788" s="2" t="n">
        <v>43220.34689814815</v>
      </c>
      <c r="C788" t="n">
        <v>0</v>
      </c>
      <c r="D788" t="n">
        <v>3577</v>
      </c>
      <c r="E788" t="s">
        <v>798</v>
      </c>
      <c r="F788" t="s"/>
      <c r="G788" t="s"/>
      <c r="H788" t="s"/>
      <c r="I788" t="s"/>
      <c r="J788" t="n">
        <v>-0.2621</v>
      </c>
      <c r="K788" t="n">
        <v>0.103</v>
      </c>
      <c r="L788" t="n">
        <v>0.843</v>
      </c>
      <c r="M788" t="n">
        <v>0.054</v>
      </c>
    </row>
    <row r="789" spans="1:13">
      <c r="A789" s="1">
        <f>HYPERLINK("http://www.twitter.com/NathanBLawrence/status/990868185011273730", "990868185011273730")</f>
        <v/>
      </c>
      <c r="B789" s="2" t="n">
        <v>43220.34674768519</v>
      </c>
      <c r="C789" t="n">
        <v>0</v>
      </c>
      <c r="D789" t="n">
        <v>19722</v>
      </c>
      <c r="E789" t="s">
        <v>799</v>
      </c>
      <c r="F789" t="s"/>
      <c r="G789" t="s"/>
      <c r="H789" t="s"/>
      <c r="I789" t="s"/>
      <c r="J789" t="n">
        <v>-0.6486</v>
      </c>
      <c r="K789" t="n">
        <v>0.229</v>
      </c>
      <c r="L789" t="n">
        <v>0.701</v>
      </c>
      <c r="M789" t="n">
        <v>0.07000000000000001</v>
      </c>
    </row>
    <row r="790" spans="1:13">
      <c r="A790" s="1">
        <f>HYPERLINK("http://www.twitter.com/NathanBLawrence/status/990818390183788545", "990818390183788545")</f>
        <v/>
      </c>
      <c r="B790" s="2" t="n">
        <v>43220.20934027778</v>
      </c>
      <c r="C790" t="n">
        <v>13</v>
      </c>
      <c r="D790" t="n">
        <v>1</v>
      </c>
      <c r="E790" t="s">
        <v>800</v>
      </c>
      <c r="F790" t="s"/>
      <c r="G790" t="s"/>
      <c r="H790" t="s"/>
      <c r="I790" t="s"/>
      <c r="J790" t="n">
        <v>0</v>
      </c>
      <c r="K790" t="n">
        <v>0</v>
      </c>
      <c r="L790" t="n">
        <v>1</v>
      </c>
      <c r="M790" t="n">
        <v>0</v>
      </c>
    </row>
    <row r="791" spans="1:13">
      <c r="A791" s="1">
        <f>HYPERLINK("http://www.twitter.com/NathanBLawrence/status/990775822247227394", "990775822247227394")</f>
        <v/>
      </c>
      <c r="B791" s="2" t="n">
        <v>43220.091875</v>
      </c>
      <c r="C791" t="n">
        <v>14</v>
      </c>
      <c r="D791" t="n">
        <v>2</v>
      </c>
      <c r="E791" t="s">
        <v>801</v>
      </c>
      <c r="F791">
        <f>HYPERLINK("http://pbs.twimg.com/media/Db_xXAAW0AEh6qu.jpg", "http://pbs.twimg.com/media/Db_xXAAW0AEh6qu.jpg")</f>
        <v/>
      </c>
      <c r="G791" t="s"/>
      <c r="H791" t="s"/>
      <c r="I791" t="s"/>
      <c r="J791" t="n">
        <v>0</v>
      </c>
      <c r="K791" t="n">
        <v>0</v>
      </c>
      <c r="L791" t="n">
        <v>1</v>
      </c>
      <c r="M791" t="n">
        <v>0</v>
      </c>
    </row>
    <row r="792" spans="1:13">
      <c r="A792" s="1">
        <f>HYPERLINK("http://www.twitter.com/NathanBLawrence/status/990659253949026304", "990659253949026304")</f>
        <v/>
      </c>
      <c r="B792" s="2" t="n">
        <v>43219.77020833334</v>
      </c>
      <c r="C792" t="n">
        <v>10</v>
      </c>
      <c r="D792" t="n">
        <v>4</v>
      </c>
      <c r="E792" t="s">
        <v>802</v>
      </c>
      <c r="F792" t="s"/>
      <c r="G792" t="s"/>
      <c r="H792" t="s"/>
      <c r="I792" t="s"/>
      <c r="J792" t="n">
        <v>0.7579</v>
      </c>
      <c r="K792" t="n">
        <v>0</v>
      </c>
      <c r="L792" t="n">
        <v>0.667</v>
      </c>
      <c r="M792" t="n">
        <v>0.333</v>
      </c>
    </row>
    <row r="793" spans="1:13">
      <c r="A793" s="1">
        <f>HYPERLINK("http://www.twitter.com/NathanBLawrence/status/990658269701009408", "990658269701009408")</f>
        <v/>
      </c>
      <c r="B793" s="2" t="n">
        <v>43219.76748842592</v>
      </c>
      <c r="C793" t="n">
        <v>0</v>
      </c>
      <c r="D793" t="n">
        <v>1803</v>
      </c>
      <c r="E793" t="s">
        <v>803</v>
      </c>
      <c r="F793">
        <f>HYPERLINK("https://video.twimg.com/ext_tw_video/990338243223867393/pu/vid/720x1280/t4CwHW0mzMsnFRmX.mp4?tag=3", "https://video.twimg.com/ext_tw_video/990338243223867393/pu/vid/720x1280/t4CwHW0mzMsnFRmX.mp4?tag=3")</f>
        <v/>
      </c>
      <c r="G793" t="s"/>
      <c r="H793" t="s"/>
      <c r="I793" t="s"/>
      <c r="J793" t="n">
        <v>0</v>
      </c>
      <c r="K793" t="n">
        <v>0</v>
      </c>
      <c r="L793" t="n">
        <v>1</v>
      </c>
      <c r="M793" t="n">
        <v>0</v>
      </c>
    </row>
    <row r="794" spans="1:13">
      <c r="A794" s="1">
        <f>HYPERLINK("http://www.twitter.com/NathanBLawrence/status/990658121625288706", "990658121625288706")</f>
        <v/>
      </c>
      <c r="B794" s="2" t="n">
        <v>43219.76708333333</v>
      </c>
      <c r="C794" t="n">
        <v>0</v>
      </c>
      <c r="D794" t="n">
        <v>14327</v>
      </c>
      <c r="E794" t="s">
        <v>804</v>
      </c>
      <c r="F794">
        <f>HYPERLINK("http://pbs.twimg.com/media/Db9gQslWsAIu8xS.jpg", "http://pbs.twimg.com/media/Db9gQslWsAIu8xS.jpg")</f>
        <v/>
      </c>
      <c r="G794" t="s"/>
      <c r="H794" t="s"/>
      <c r="I794" t="s"/>
      <c r="J794" t="n">
        <v>0</v>
      </c>
      <c r="K794" t="n">
        <v>0</v>
      </c>
      <c r="L794" t="n">
        <v>1</v>
      </c>
      <c r="M794" t="n">
        <v>0</v>
      </c>
    </row>
    <row r="795" spans="1:13">
      <c r="A795" s="1">
        <f>HYPERLINK("http://www.twitter.com/NathanBLawrence/status/990658070727409667", "990658070727409667")</f>
        <v/>
      </c>
      <c r="B795" s="2" t="n">
        <v>43219.76694444445</v>
      </c>
      <c r="C795" t="n">
        <v>11</v>
      </c>
      <c r="D795" t="n">
        <v>6</v>
      </c>
      <c r="E795" t="s">
        <v>805</v>
      </c>
      <c r="F795" t="s"/>
      <c r="G795" t="s"/>
      <c r="H795" t="s"/>
      <c r="I795" t="s"/>
      <c r="J795" t="n">
        <v>-0.6467000000000001</v>
      </c>
      <c r="K795" t="n">
        <v>0.141</v>
      </c>
      <c r="L795" t="n">
        <v>0.859</v>
      </c>
      <c r="M795" t="n">
        <v>0</v>
      </c>
    </row>
    <row r="796" spans="1:13">
      <c r="A796" s="1">
        <f>HYPERLINK("http://www.twitter.com/NathanBLawrence/status/990657007718825984", "990657007718825984")</f>
        <v/>
      </c>
      <c r="B796" s="2" t="n">
        <v>43219.76400462963</v>
      </c>
      <c r="C796" t="n">
        <v>0</v>
      </c>
      <c r="D796" t="n">
        <v>1061</v>
      </c>
      <c r="E796" t="s">
        <v>806</v>
      </c>
      <c r="F796" t="s"/>
      <c r="G796" t="s"/>
      <c r="H796" t="s"/>
      <c r="I796" t="s"/>
      <c r="J796" t="n">
        <v>0.7184</v>
      </c>
      <c r="K796" t="n">
        <v>0</v>
      </c>
      <c r="L796" t="n">
        <v>0.739</v>
      </c>
      <c r="M796" t="n">
        <v>0.261</v>
      </c>
    </row>
    <row r="797" spans="1:13">
      <c r="A797" s="1">
        <f>HYPERLINK("http://www.twitter.com/NathanBLawrence/status/990656958255448064", "990656958255448064")</f>
        <v/>
      </c>
      <c r="B797" s="2" t="n">
        <v>43219.76387731481</v>
      </c>
      <c r="C797" t="n">
        <v>0</v>
      </c>
      <c r="D797" t="n">
        <v>562</v>
      </c>
      <c r="E797" t="s">
        <v>807</v>
      </c>
      <c r="F797">
        <f>HYPERLINK("http://pbs.twimg.com/media/Db7XfeEUwAEz5nK.jpg", "http://pbs.twimg.com/media/Db7XfeEUwAEz5nK.jpg")</f>
        <v/>
      </c>
      <c r="G797" t="s"/>
      <c r="H797" t="s"/>
      <c r="I797" t="s"/>
      <c r="J797" t="n">
        <v>0.7269</v>
      </c>
      <c r="K797" t="n">
        <v>0.047</v>
      </c>
      <c r="L797" t="n">
        <v>0.722</v>
      </c>
      <c r="M797" t="n">
        <v>0.231</v>
      </c>
    </row>
    <row r="798" spans="1:13">
      <c r="A798" s="1">
        <f>HYPERLINK("http://www.twitter.com/NathanBLawrence/status/990656906602598400", "990656906602598400")</f>
        <v/>
      </c>
      <c r="B798" s="2" t="n">
        <v>43219.76372685185</v>
      </c>
      <c r="C798" t="n">
        <v>0</v>
      </c>
      <c r="D798" t="n">
        <v>1563</v>
      </c>
      <c r="E798" t="s">
        <v>808</v>
      </c>
      <c r="F798">
        <f>HYPERLINK("http://pbs.twimg.com/media/DbeRLf7XcAUfuAG.jpg", "http://pbs.twimg.com/media/DbeRLf7XcAUfuAG.jpg")</f>
        <v/>
      </c>
      <c r="G798" t="s"/>
      <c r="H798" t="s"/>
      <c r="I798" t="s"/>
      <c r="J798" t="n">
        <v>0.7243000000000001</v>
      </c>
      <c r="K798" t="n">
        <v>0</v>
      </c>
      <c r="L798" t="n">
        <v>0.737</v>
      </c>
      <c r="M798" t="n">
        <v>0.263</v>
      </c>
    </row>
    <row r="799" spans="1:13">
      <c r="A799" s="1">
        <f>HYPERLINK("http://www.twitter.com/NathanBLawrence/status/990656834837999616", "990656834837999616")</f>
        <v/>
      </c>
      <c r="B799" s="2" t="n">
        <v>43219.76353009259</v>
      </c>
      <c r="C799" t="n">
        <v>0</v>
      </c>
      <c r="D799" t="n">
        <v>467</v>
      </c>
      <c r="E799" t="s">
        <v>809</v>
      </c>
      <c r="F799">
        <f>HYPERLINK("http://pbs.twimg.com/media/Db9vyNgWkAA0yqk.jpg", "http://pbs.twimg.com/media/Db9vyNgWkAA0yqk.jpg")</f>
        <v/>
      </c>
      <c r="G799" t="s"/>
      <c r="H799" t="s"/>
      <c r="I799" t="s"/>
      <c r="J799" t="n">
        <v>-0.7622</v>
      </c>
      <c r="K799" t="n">
        <v>0.188</v>
      </c>
      <c r="L799" t="n">
        <v>0.8120000000000001</v>
      </c>
      <c r="M799" t="n">
        <v>0</v>
      </c>
    </row>
    <row r="800" spans="1:13">
      <c r="A800" s="1">
        <f>HYPERLINK("http://www.twitter.com/NathanBLawrence/status/990656735852429312", "990656735852429312")</f>
        <v/>
      </c>
      <c r="B800" s="2" t="n">
        <v>43219.76325231481</v>
      </c>
      <c r="C800" t="n">
        <v>0</v>
      </c>
      <c r="D800" t="n">
        <v>1962</v>
      </c>
      <c r="E800" t="s">
        <v>810</v>
      </c>
      <c r="F800">
        <f>HYPERLINK("https://video.twimg.com/amplify_video/990641755283435520/vid/1280x720/jZl-OqOEkbO-PRcT.mp4?tag=2", "https://video.twimg.com/amplify_video/990641755283435520/vid/1280x720/jZl-OqOEkbO-PRcT.mp4?tag=2")</f>
        <v/>
      </c>
      <c r="G800" t="s"/>
      <c r="H800" t="s"/>
      <c r="I800" t="s"/>
      <c r="J800" t="n">
        <v>0.4344</v>
      </c>
      <c r="K800" t="n">
        <v>0</v>
      </c>
      <c r="L800" t="n">
        <v>0.863</v>
      </c>
      <c r="M800" t="n">
        <v>0.137</v>
      </c>
    </row>
    <row r="801" spans="1:13">
      <c r="A801" s="1">
        <f>HYPERLINK("http://www.twitter.com/NathanBLawrence/status/990656662502490112", "990656662502490112")</f>
        <v/>
      </c>
      <c r="B801" s="2" t="n">
        <v>43219.76305555556</v>
      </c>
      <c r="C801" t="n">
        <v>0</v>
      </c>
      <c r="D801" t="n">
        <v>75</v>
      </c>
      <c r="E801" t="s">
        <v>811</v>
      </c>
      <c r="F801" t="s"/>
      <c r="G801" t="s"/>
      <c r="H801" t="s"/>
      <c r="I801" t="s"/>
      <c r="J801" t="n">
        <v>0</v>
      </c>
      <c r="K801" t="n">
        <v>0</v>
      </c>
      <c r="L801" t="n">
        <v>1</v>
      </c>
      <c r="M801" t="n">
        <v>0</v>
      </c>
    </row>
    <row r="802" spans="1:13">
      <c r="A802" s="1">
        <f>HYPERLINK("http://www.twitter.com/NathanBLawrence/status/990656603362754560", "990656603362754560")</f>
        <v/>
      </c>
      <c r="B802" s="2" t="n">
        <v>43219.76289351852</v>
      </c>
      <c r="C802" t="n">
        <v>0</v>
      </c>
      <c r="D802" t="n">
        <v>190</v>
      </c>
      <c r="E802" t="s">
        <v>812</v>
      </c>
      <c r="F802" t="s"/>
      <c r="G802" t="s"/>
      <c r="H802" t="s"/>
      <c r="I802" t="s"/>
      <c r="J802" t="n">
        <v>0.4215</v>
      </c>
      <c r="K802" t="n">
        <v>0</v>
      </c>
      <c r="L802" t="n">
        <v>0.882</v>
      </c>
      <c r="M802" t="n">
        <v>0.118</v>
      </c>
    </row>
    <row r="803" spans="1:13">
      <c r="A803" s="1">
        <f>HYPERLINK("http://www.twitter.com/NathanBLawrence/status/990656344641306624", "990656344641306624")</f>
        <v/>
      </c>
      <c r="B803" s="2" t="n">
        <v>43219.76217592593</v>
      </c>
      <c r="C803" t="n">
        <v>0</v>
      </c>
      <c r="D803" t="n">
        <v>21</v>
      </c>
      <c r="E803" t="s">
        <v>813</v>
      </c>
      <c r="F803">
        <f>HYPERLINK("https://video.twimg.com/amplify_video/990616727707938816/vid/318x180/NhQwSp1TDaqQnbBl.mp4?tag=2", "https://video.twimg.com/amplify_video/990616727707938816/vid/318x180/NhQwSp1TDaqQnbBl.mp4?tag=2")</f>
        <v/>
      </c>
      <c r="G803" t="s"/>
      <c r="H803" t="s"/>
      <c r="I803" t="s"/>
      <c r="J803" t="n">
        <v>-0.5994</v>
      </c>
      <c r="K803" t="n">
        <v>0.135</v>
      </c>
      <c r="L803" t="n">
        <v>0.865</v>
      </c>
      <c r="M803" t="n">
        <v>0</v>
      </c>
    </row>
    <row r="804" spans="1:13">
      <c r="A804" s="1">
        <f>HYPERLINK("http://www.twitter.com/NathanBLawrence/status/990656255130660864", "990656255130660864")</f>
        <v/>
      </c>
      <c r="B804" s="2" t="n">
        <v>43219.76193287037</v>
      </c>
      <c r="C804" t="n">
        <v>0</v>
      </c>
      <c r="D804" t="n">
        <v>20346</v>
      </c>
      <c r="E804" t="s">
        <v>814</v>
      </c>
      <c r="F804">
        <f>HYPERLINK("http://pbs.twimg.com/media/DbzWuOnV4AAb9pF.jpg", "http://pbs.twimg.com/media/DbzWuOnV4AAb9pF.jpg")</f>
        <v/>
      </c>
      <c r="G804">
        <f>HYPERLINK("http://pbs.twimg.com/media/DbzWuOnU0AAoJ-X.jpg", "http://pbs.twimg.com/media/DbzWuOnU0AAoJ-X.jpg")</f>
        <v/>
      </c>
      <c r="H804">
        <f>HYPERLINK("http://pbs.twimg.com/media/DbzWuOpV0AAGDxY.jpg", "http://pbs.twimg.com/media/DbzWuOpV0AAGDxY.jpg")</f>
        <v/>
      </c>
      <c r="I804" t="s"/>
      <c r="J804" t="n">
        <v>0.4215</v>
      </c>
      <c r="K804" t="n">
        <v>0</v>
      </c>
      <c r="L804" t="n">
        <v>0.899</v>
      </c>
      <c r="M804" t="n">
        <v>0.101</v>
      </c>
    </row>
    <row r="805" spans="1:13">
      <c r="A805" s="1">
        <f>HYPERLINK("http://www.twitter.com/NathanBLawrence/status/990656175749324800", "990656175749324800")</f>
        <v/>
      </c>
      <c r="B805" s="2" t="n">
        <v>43219.76171296297</v>
      </c>
      <c r="C805" t="n">
        <v>0</v>
      </c>
      <c r="D805" t="n">
        <v>428</v>
      </c>
      <c r="E805" t="s">
        <v>815</v>
      </c>
      <c r="F805" t="s"/>
      <c r="G805" t="s"/>
      <c r="H805" t="s"/>
      <c r="I805" t="s"/>
      <c r="J805" t="n">
        <v>0</v>
      </c>
      <c r="K805" t="n">
        <v>0</v>
      </c>
      <c r="L805" t="n">
        <v>1</v>
      </c>
      <c r="M805" t="n">
        <v>0</v>
      </c>
    </row>
    <row r="806" spans="1:13">
      <c r="A806" s="1">
        <f>HYPERLINK("http://www.twitter.com/NathanBLawrence/status/990656042101981185", "990656042101981185")</f>
        <v/>
      </c>
      <c r="B806" s="2" t="n">
        <v>43219.7613425926</v>
      </c>
      <c r="C806" t="n">
        <v>12</v>
      </c>
      <c r="D806" t="n">
        <v>14</v>
      </c>
      <c r="E806" t="s">
        <v>816</v>
      </c>
      <c r="F806" t="s"/>
      <c r="G806" t="s"/>
      <c r="H806" t="s"/>
      <c r="I806" t="s"/>
      <c r="J806" t="n">
        <v>-0.4753</v>
      </c>
      <c r="K806" t="n">
        <v>0.162</v>
      </c>
      <c r="L806" t="n">
        <v>0.838</v>
      </c>
      <c r="M806" t="n">
        <v>0</v>
      </c>
    </row>
    <row r="807" spans="1:13">
      <c r="A807" s="1">
        <f>HYPERLINK("http://www.twitter.com/NathanBLawrence/status/990655485714939904", "990655485714939904")</f>
        <v/>
      </c>
      <c r="B807" s="2" t="n">
        <v>43219.75980324074</v>
      </c>
      <c r="C807" t="n">
        <v>0</v>
      </c>
      <c r="D807" t="n">
        <v>9765</v>
      </c>
      <c r="E807" t="s">
        <v>817</v>
      </c>
      <c r="F807">
        <f>HYPERLINK("http://pbs.twimg.com/media/Db84utJV4AEfNiu.jpg", "http://pbs.twimg.com/media/Db84utJV4AEfNiu.jpg")</f>
        <v/>
      </c>
      <c r="G807">
        <f>HYPERLINK("http://pbs.twimg.com/media/Db84us1V0AANbOZ.jpg", "http://pbs.twimg.com/media/Db84us1V0AANbOZ.jpg")</f>
        <v/>
      </c>
      <c r="H807" t="s"/>
      <c r="I807" t="s"/>
      <c r="J807" t="n">
        <v>0.6249</v>
      </c>
      <c r="K807" t="n">
        <v>0</v>
      </c>
      <c r="L807" t="n">
        <v>0.843</v>
      </c>
      <c r="M807" t="n">
        <v>0.157</v>
      </c>
    </row>
    <row r="808" spans="1:13">
      <c r="A808" s="1">
        <f>HYPERLINK("http://www.twitter.com/NathanBLawrence/status/990655439967735808", "990655439967735808")</f>
        <v/>
      </c>
      <c r="B808" s="2" t="n">
        <v>43219.7596875</v>
      </c>
      <c r="C808" t="n">
        <v>0</v>
      </c>
      <c r="D808" t="n">
        <v>66</v>
      </c>
      <c r="E808" t="s">
        <v>818</v>
      </c>
      <c r="F808">
        <f>HYPERLINK("http://pbs.twimg.com/media/Db9ESL9WsAAwBdc.jpg", "http://pbs.twimg.com/media/Db9ESL9WsAAwBdc.jpg")</f>
        <v/>
      </c>
      <c r="G808" t="s"/>
      <c r="H808" t="s"/>
      <c r="I808" t="s"/>
      <c r="J808" t="n">
        <v>0.4019</v>
      </c>
      <c r="K808" t="n">
        <v>0.115</v>
      </c>
      <c r="L808" t="n">
        <v>0.669</v>
      </c>
      <c r="M808" t="n">
        <v>0.216</v>
      </c>
    </row>
    <row r="809" spans="1:13">
      <c r="A809" s="1">
        <f>HYPERLINK("http://www.twitter.com/NathanBLawrence/status/990655214226096128", "990655214226096128")</f>
        <v/>
      </c>
      <c r="B809" s="2" t="n">
        <v>43219.7590625</v>
      </c>
      <c r="C809" t="n">
        <v>0</v>
      </c>
      <c r="D809" t="n">
        <v>10189</v>
      </c>
      <c r="E809" t="s">
        <v>819</v>
      </c>
      <c r="F809" t="s"/>
      <c r="G809" t="s"/>
      <c r="H809" t="s"/>
      <c r="I809" t="s"/>
      <c r="J809" t="n">
        <v>-0.2732</v>
      </c>
      <c r="K809" t="n">
        <v>0.179</v>
      </c>
      <c r="L809" t="n">
        <v>0.717</v>
      </c>
      <c r="M809" t="n">
        <v>0.104</v>
      </c>
    </row>
    <row r="810" spans="1:13">
      <c r="A810" s="1">
        <f>HYPERLINK("http://www.twitter.com/NathanBLawrence/status/990655097381109760", "990655097381109760")</f>
        <v/>
      </c>
      <c r="B810" s="2" t="n">
        <v>43219.75873842592</v>
      </c>
      <c r="C810" t="n">
        <v>0</v>
      </c>
      <c r="D810" t="n">
        <v>2173</v>
      </c>
      <c r="E810" t="s">
        <v>820</v>
      </c>
      <c r="F810" t="s"/>
      <c r="G810" t="s"/>
      <c r="H810" t="s"/>
      <c r="I810" t="s"/>
      <c r="J810" t="n">
        <v>-0.5719</v>
      </c>
      <c r="K810" t="n">
        <v>0.134</v>
      </c>
      <c r="L810" t="n">
        <v>0.866</v>
      </c>
      <c r="M810" t="n">
        <v>0</v>
      </c>
    </row>
    <row r="811" spans="1:13">
      <c r="A811" s="1">
        <f>HYPERLINK("http://www.twitter.com/NathanBLawrence/status/990654995769966592", "990654995769966592")</f>
        <v/>
      </c>
      <c r="B811" s="2" t="n">
        <v>43219.75846064815</v>
      </c>
      <c r="C811" t="n">
        <v>0</v>
      </c>
      <c r="D811" t="n">
        <v>557</v>
      </c>
      <c r="E811" t="s">
        <v>821</v>
      </c>
      <c r="F811" t="s"/>
      <c r="G811" t="s"/>
      <c r="H811" t="s"/>
      <c r="I811" t="s"/>
      <c r="J811" t="n">
        <v>0</v>
      </c>
      <c r="K811" t="n">
        <v>0.201</v>
      </c>
      <c r="L811" t="n">
        <v>0.599</v>
      </c>
      <c r="M811" t="n">
        <v>0.201</v>
      </c>
    </row>
    <row r="812" spans="1:13">
      <c r="A812" s="1">
        <f>HYPERLINK("http://www.twitter.com/NathanBLawrence/status/990654909568565248", "990654909568565248")</f>
        <v/>
      </c>
      <c r="B812" s="2" t="n">
        <v>43219.75821759259</v>
      </c>
      <c r="C812" t="n">
        <v>0</v>
      </c>
      <c r="D812" t="n">
        <v>273</v>
      </c>
      <c r="E812" t="s">
        <v>822</v>
      </c>
      <c r="F812" t="s"/>
      <c r="G812" t="s"/>
      <c r="H812" t="s"/>
      <c r="I812" t="s"/>
      <c r="J812" t="n">
        <v>0.931</v>
      </c>
      <c r="K812" t="n">
        <v>0</v>
      </c>
      <c r="L812" t="n">
        <v>0.5649999999999999</v>
      </c>
      <c r="M812" t="n">
        <v>0.435</v>
      </c>
    </row>
    <row r="813" spans="1:13">
      <c r="A813" s="1">
        <f>HYPERLINK("http://www.twitter.com/NathanBLawrence/status/990654434345549824", "990654434345549824")</f>
        <v/>
      </c>
      <c r="B813" s="2" t="n">
        <v>43219.75690972222</v>
      </c>
      <c r="C813" t="n">
        <v>0</v>
      </c>
      <c r="D813" t="n">
        <v>1116</v>
      </c>
      <c r="E813" t="s">
        <v>823</v>
      </c>
      <c r="F813" t="s"/>
      <c r="G813" t="s"/>
      <c r="H813" t="s"/>
      <c r="I813" t="s"/>
      <c r="J813" t="n">
        <v>0.4796</v>
      </c>
      <c r="K813" t="n">
        <v>0</v>
      </c>
      <c r="L813" t="n">
        <v>0.837</v>
      </c>
      <c r="M813" t="n">
        <v>0.163</v>
      </c>
    </row>
    <row r="814" spans="1:13">
      <c r="A814" s="1">
        <f>HYPERLINK("http://www.twitter.com/NathanBLawrence/status/990654339633971201", "990654339633971201")</f>
        <v/>
      </c>
      <c r="B814" s="2" t="n">
        <v>43219.75664351852</v>
      </c>
      <c r="C814" t="n">
        <v>0</v>
      </c>
      <c r="D814" t="n">
        <v>7595</v>
      </c>
      <c r="E814" t="s">
        <v>824</v>
      </c>
      <c r="F814" t="s"/>
      <c r="G814" t="s"/>
      <c r="H814" t="s"/>
      <c r="I814" t="s"/>
      <c r="J814" t="n">
        <v>0.4019</v>
      </c>
      <c r="K814" t="n">
        <v>0</v>
      </c>
      <c r="L814" t="n">
        <v>0.829</v>
      </c>
      <c r="M814" t="n">
        <v>0.171</v>
      </c>
    </row>
    <row r="815" spans="1:13">
      <c r="A815" s="1">
        <f>HYPERLINK("http://www.twitter.com/NathanBLawrence/status/990654245832540160", "990654245832540160")</f>
        <v/>
      </c>
      <c r="B815" s="2" t="n">
        <v>43219.75638888889</v>
      </c>
      <c r="C815" t="n">
        <v>0</v>
      </c>
      <c r="D815" t="n">
        <v>21</v>
      </c>
      <c r="E815" t="s">
        <v>825</v>
      </c>
      <c r="F815" t="s"/>
      <c r="G815" t="s"/>
      <c r="H815" t="s"/>
      <c r="I815" t="s"/>
      <c r="J815" t="n">
        <v>-0.8481</v>
      </c>
      <c r="K815" t="n">
        <v>0.315</v>
      </c>
      <c r="L815" t="n">
        <v>0.6850000000000001</v>
      </c>
      <c r="M815" t="n">
        <v>0</v>
      </c>
    </row>
    <row r="816" spans="1:13">
      <c r="A816" s="1">
        <f>HYPERLINK("http://www.twitter.com/NathanBLawrence/status/990533680010477569", "990533680010477569")</f>
        <v/>
      </c>
      <c r="B816" s="2" t="n">
        <v>43219.42369212963</v>
      </c>
      <c r="C816" t="n">
        <v>0</v>
      </c>
      <c r="D816" t="n">
        <v>28</v>
      </c>
      <c r="E816" t="s">
        <v>826</v>
      </c>
      <c r="F816">
        <f>HYPERLINK("http://pbs.twimg.com/media/Db8TpNPWAAEQa6u.jpg", "http://pbs.twimg.com/media/Db8TpNPWAAEQa6u.jpg")</f>
        <v/>
      </c>
      <c r="G816" t="s"/>
      <c r="H816" t="s"/>
      <c r="I816" t="s"/>
      <c r="J816" t="n">
        <v>0</v>
      </c>
      <c r="K816" t="n">
        <v>0</v>
      </c>
      <c r="L816" t="n">
        <v>1</v>
      </c>
      <c r="M816" t="n">
        <v>0</v>
      </c>
    </row>
    <row r="817" spans="1:13">
      <c r="A817" s="1">
        <f>HYPERLINK("http://www.twitter.com/NathanBLawrence/status/990532700229455872", "990532700229455872")</f>
        <v/>
      </c>
      <c r="B817" s="2" t="n">
        <v>43219.4209837963</v>
      </c>
      <c r="C817" t="n">
        <v>0</v>
      </c>
      <c r="D817" t="n">
        <v>45</v>
      </c>
      <c r="E817" t="s">
        <v>827</v>
      </c>
      <c r="F817">
        <f>HYPERLINK("http://pbs.twimg.com/media/Db3jLVvWAAUGoyq.jpg", "http://pbs.twimg.com/media/Db3jLVvWAAUGoyq.jpg")</f>
        <v/>
      </c>
      <c r="G817" t="s"/>
      <c r="H817" t="s"/>
      <c r="I817" t="s"/>
      <c r="J817" t="n">
        <v>0</v>
      </c>
      <c r="K817" t="n">
        <v>0</v>
      </c>
      <c r="L817" t="n">
        <v>1</v>
      </c>
      <c r="M817" t="n">
        <v>0</v>
      </c>
    </row>
    <row r="818" spans="1:13">
      <c r="A818" s="1">
        <f>HYPERLINK("http://www.twitter.com/NathanBLawrence/status/990531288288321536", "990531288288321536")</f>
        <v/>
      </c>
      <c r="B818" s="2" t="n">
        <v>43219.41708333333</v>
      </c>
      <c r="C818" t="n">
        <v>0</v>
      </c>
      <c r="D818" t="n">
        <v>69</v>
      </c>
      <c r="E818" t="s">
        <v>828</v>
      </c>
      <c r="F818">
        <f>HYPERLINK("http://pbs.twimg.com/media/Db3vdaFV4AAqOMy.jpg", "http://pbs.twimg.com/media/Db3vdaFV4AAqOMy.jpg")</f>
        <v/>
      </c>
      <c r="G818" t="s"/>
      <c r="H818" t="s"/>
      <c r="I818" t="s"/>
      <c r="J818" t="n">
        <v>0.3182</v>
      </c>
      <c r="K818" t="n">
        <v>0</v>
      </c>
      <c r="L818" t="n">
        <v>0.892</v>
      </c>
      <c r="M818" t="n">
        <v>0.108</v>
      </c>
    </row>
    <row r="819" spans="1:13">
      <c r="A819" s="1">
        <f>HYPERLINK("http://www.twitter.com/NathanBLawrence/status/990531124890812417", "990531124890812417")</f>
        <v/>
      </c>
      <c r="B819" s="2" t="n">
        <v>43219.41664351852</v>
      </c>
      <c r="C819" t="n">
        <v>0</v>
      </c>
      <c r="D819" t="n">
        <v>9</v>
      </c>
      <c r="E819" t="s">
        <v>829</v>
      </c>
      <c r="F819">
        <f>HYPERLINK("http://pbs.twimg.com/media/Db440kYVQAAN620.jpg", "http://pbs.twimg.com/media/Db440kYVQAAN620.jpg")</f>
        <v/>
      </c>
      <c r="G819">
        <f>HYPERLINK("http://pbs.twimg.com/media/Db440kiVwAAtzFe.jpg", "http://pbs.twimg.com/media/Db440kiVwAAtzFe.jpg")</f>
        <v/>
      </c>
      <c r="H819" t="s"/>
      <c r="I819" t="s"/>
      <c r="J819" t="n">
        <v>0</v>
      </c>
      <c r="K819" t="n">
        <v>0</v>
      </c>
      <c r="L819" t="n">
        <v>1</v>
      </c>
      <c r="M819" t="n">
        <v>0</v>
      </c>
    </row>
    <row r="820" spans="1:13">
      <c r="A820" s="1">
        <f>HYPERLINK("http://www.twitter.com/NathanBLawrence/status/990531082280828928", "990531082280828928")</f>
        <v/>
      </c>
      <c r="B820" s="2" t="n">
        <v>43219.4165162037</v>
      </c>
      <c r="C820" t="n">
        <v>0</v>
      </c>
      <c r="D820" t="n">
        <v>9</v>
      </c>
      <c r="E820" t="s">
        <v>830</v>
      </c>
      <c r="F820">
        <f>HYPERLINK("http://pbs.twimg.com/media/Db4e3zCXkAI5wj4.jpg", "http://pbs.twimg.com/media/Db4e3zCXkAI5wj4.jpg")</f>
        <v/>
      </c>
      <c r="G820" t="s"/>
      <c r="H820" t="s"/>
      <c r="I820" t="s"/>
      <c r="J820" t="n">
        <v>0</v>
      </c>
      <c r="K820" t="n">
        <v>0</v>
      </c>
      <c r="L820" t="n">
        <v>1</v>
      </c>
      <c r="M820" t="n">
        <v>0</v>
      </c>
    </row>
    <row r="821" spans="1:13">
      <c r="A821" s="1">
        <f>HYPERLINK("http://www.twitter.com/NathanBLawrence/status/990530992585633792", "990530992585633792")</f>
        <v/>
      </c>
      <c r="B821" s="2" t="n">
        <v>43219.41627314815</v>
      </c>
      <c r="C821" t="n">
        <v>0</v>
      </c>
      <c r="D821" t="n">
        <v>10</v>
      </c>
      <c r="E821" t="s">
        <v>831</v>
      </c>
      <c r="F821">
        <f>HYPERLINK("http://pbs.twimg.com/media/Db47pi_U0AE22oP.jpg", "http://pbs.twimg.com/media/Db47pi_U0AE22oP.jpg")</f>
        <v/>
      </c>
      <c r="G821">
        <f>HYPERLINK("http://pbs.twimg.com/media/Db47pitUQAEj5Ra.jpg", "http://pbs.twimg.com/media/Db47pitUQAEj5Ra.jpg")</f>
        <v/>
      </c>
      <c r="H821">
        <f>HYPERLINK("http://pbs.twimg.com/media/Db47pjeVwAAIQRf.jpg", "http://pbs.twimg.com/media/Db47pjeVwAAIQRf.jpg")</f>
        <v/>
      </c>
      <c r="I821">
        <f>HYPERLINK("http://pbs.twimg.com/media/Db47pjdVQAAbyGT.jpg", "http://pbs.twimg.com/media/Db47pjdVQAAbyGT.jpg")</f>
        <v/>
      </c>
      <c r="J821" t="n">
        <v>0</v>
      </c>
      <c r="K821" t="n">
        <v>0</v>
      </c>
      <c r="L821" t="n">
        <v>1</v>
      </c>
      <c r="M821" t="n">
        <v>0</v>
      </c>
    </row>
    <row r="822" spans="1:13">
      <c r="A822" s="1">
        <f>HYPERLINK("http://www.twitter.com/NathanBLawrence/status/990530624577417216", "990530624577417216")</f>
        <v/>
      </c>
      <c r="B822" s="2" t="n">
        <v>43219.41525462963</v>
      </c>
      <c r="C822" t="n">
        <v>2</v>
      </c>
      <c r="D822" t="n">
        <v>3</v>
      </c>
      <c r="E822" t="s">
        <v>832</v>
      </c>
      <c r="F822" t="s"/>
      <c r="G822" t="s"/>
      <c r="H822" t="s"/>
      <c r="I822" t="s"/>
      <c r="J822" t="n">
        <v>0</v>
      </c>
      <c r="K822" t="n">
        <v>0</v>
      </c>
      <c r="L822" t="n">
        <v>1</v>
      </c>
      <c r="M822" t="n">
        <v>0</v>
      </c>
    </row>
    <row r="823" spans="1:13">
      <c r="A823" s="1">
        <f>HYPERLINK("http://www.twitter.com/NathanBLawrence/status/990530279352688642", "990530279352688642")</f>
        <v/>
      </c>
      <c r="B823" s="2" t="n">
        <v>43219.41430555555</v>
      </c>
      <c r="C823" t="n">
        <v>0</v>
      </c>
      <c r="D823" t="n">
        <v>4</v>
      </c>
      <c r="E823" t="s">
        <v>833</v>
      </c>
      <c r="F823" t="s"/>
      <c r="G823" t="s"/>
      <c r="H823" t="s"/>
      <c r="I823" t="s"/>
      <c r="J823" t="n">
        <v>0.34</v>
      </c>
      <c r="K823" t="n">
        <v>0</v>
      </c>
      <c r="L823" t="n">
        <v>0.862</v>
      </c>
      <c r="M823" t="n">
        <v>0.138</v>
      </c>
    </row>
    <row r="824" spans="1:13">
      <c r="A824" s="1">
        <f>HYPERLINK("http://www.twitter.com/NathanBLawrence/status/990529955237773312", "990529955237773312")</f>
        <v/>
      </c>
      <c r="B824" s="2" t="n">
        <v>43219.41341435185</v>
      </c>
      <c r="C824" t="n">
        <v>0</v>
      </c>
      <c r="D824" t="n">
        <v>963</v>
      </c>
      <c r="E824" t="s">
        <v>834</v>
      </c>
      <c r="F824">
        <f>HYPERLINK("http://pbs.twimg.com/media/Db7Rg7XW4AEn_of.jpg", "http://pbs.twimg.com/media/Db7Rg7XW4AEn_of.jpg")</f>
        <v/>
      </c>
      <c r="G824" t="s"/>
      <c r="H824" t="s"/>
      <c r="I824" t="s"/>
      <c r="J824" t="n">
        <v>0.5106000000000001</v>
      </c>
      <c r="K824" t="n">
        <v>0</v>
      </c>
      <c r="L824" t="n">
        <v>0.875</v>
      </c>
      <c r="M824" t="n">
        <v>0.125</v>
      </c>
    </row>
    <row r="825" spans="1:13">
      <c r="A825" s="1">
        <f>HYPERLINK("http://www.twitter.com/NathanBLawrence/status/990529820814524416", "990529820814524416")</f>
        <v/>
      </c>
      <c r="B825" s="2" t="n">
        <v>43219.41304398148</v>
      </c>
      <c r="C825" t="n">
        <v>0</v>
      </c>
      <c r="D825" t="n">
        <v>665</v>
      </c>
      <c r="E825" t="s">
        <v>835</v>
      </c>
      <c r="F825">
        <f>HYPERLINK("http://pbs.twimg.com/media/Db6n6y3VMAA-cav.jpg", "http://pbs.twimg.com/media/Db6n6y3VMAA-cav.jpg")</f>
        <v/>
      </c>
      <c r="G825" t="s"/>
      <c r="H825" t="s"/>
      <c r="I825" t="s"/>
      <c r="J825" t="n">
        <v>-0.8858</v>
      </c>
      <c r="K825" t="n">
        <v>0.321</v>
      </c>
      <c r="L825" t="n">
        <v>0.679</v>
      </c>
      <c r="M825" t="n">
        <v>0</v>
      </c>
    </row>
    <row r="826" spans="1:13">
      <c r="A826" s="1">
        <f>HYPERLINK("http://www.twitter.com/NathanBLawrence/status/990529696617000960", "990529696617000960")</f>
        <v/>
      </c>
      <c r="B826" s="2" t="n">
        <v>43219.41269675926</v>
      </c>
      <c r="C826" t="n">
        <v>0</v>
      </c>
      <c r="D826" t="n">
        <v>752</v>
      </c>
      <c r="E826" t="s">
        <v>836</v>
      </c>
      <c r="F826">
        <f>HYPERLINK("http://pbs.twimg.com/media/Db6Bi_3W0AAqzFs.jpg", "http://pbs.twimg.com/media/Db6Bi_3W0AAqzFs.jpg")</f>
        <v/>
      </c>
      <c r="G826" t="s"/>
      <c r="H826" t="s"/>
      <c r="I826" t="s"/>
      <c r="J826" t="n">
        <v>0.4019</v>
      </c>
      <c r="K826" t="n">
        <v>0</v>
      </c>
      <c r="L826" t="n">
        <v>0.838</v>
      </c>
      <c r="M826" t="n">
        <v>0.162</v>
      </c>
    </row>
    <row r="827" spans="1:13">
      <c r="A827" s="1">
        <f>HYPERLINK("http://www.twitter.com/NathanBLawrence/status/990529552177709056", "990529552177709056")</f>
        <v/>
      </c>
      <c r="B827" s="2" t="n">
        <v>43219.41230324074</v>
      </c>
      <c r="C827" t="n">
        <v>0</v>
      </c>
      <c r="D827" t="n">
        <v>100</v>
      </c>
      <c r="E827" t="s">
        <v>837</v>
      </c>
      <c r="F827">
        <f>HYPERLINK("http://pbs.twimg.com/media/Db8KFajXcAEgSrl.jpg", "http://pbs.twimg.com/media/Db8KFajXcAEgSrl.jpg")</f>
        <v/>
      </c>
      <c r="G827" t="s"/>
      <c r="H827" t="s"/>
      <c r="I827" t="s"/>
      <c r="J827" t="n">
        <v>0</v>
      </c>
      <c r="K827" t="n">
        <v>0</v>
      </c>
      <c r="L827" t="n">
        <v>1</v>
      </c>
      <c r="M827" t="n">
        <v>0</v>
      </c>
    </row>
    <row r="828" spans="1:13">
      <c r="A828" s="1">
        <f>HYPERLINK("http://www.twitter.com/NathanBLawrence/status/990529167392321538", "990529167392321538")</f>
        <v/>
      </c>
      <c r="B828" s="2" t="n">
        <v>43219.41123842593</v>
      </c>
      <c r="C828" t="n">
        <v>0</v>
      </c>
      <c r="D828" t="n">
        <v>53</v>
      </c>
      <c r="E828" t="s">
        <v>838</v>
      </c>
      <c r="F828">
        <f>HYPERLINK("https://video.twimg.com/ext_tw_video/990413606687830016/pu/vid/720x720/DROpGx4zsMsrz2e-.mp4?tag=3", "https://video.twimg.com/ext_tw_video/990413606687830016/pu/vid/720x720/DROpGx4zsMsrz2e-.mp4?tag=3")</f>
        <v/>
      </c>
      <c r="G828" t="s"/>
      <c r="H828" t="s"/>
      <c r="I828" t="s"/>
      <c r="J828" t="n">
        <v>-0.3818</v>
      </c>
      <c r="K828" t="n">
        <v>0.133</v>
      </c>
      <c r="L828" t="n">
        <v>0.867</v>
      </c>
      <c r="M828" t="n">
        <v>0</v>
      </c>
    </row>
    <row r="829" spans="1:13">
      <c r="A829" s="1">
        <f>HYPERLINK("http://www.twitter.com/NathanBLawrence/status/990529066871668737", "990529066871668737")</f>
        <v/>
      </c>
      <c r="B829" s="2" t="n">
        <v>43219.41096064815</v>
      </c>
      <c r="C829" t="n">
        <v>0</v>
      </c>
      <c r="D829" t="n">
        <v>228</v>
      </c>
      <c r="E829" t="s">
        <v>839</v>
      </c>
      <c r="F829">
        <f>HYPERLINK("http://pbs.twimg.com/media/Db4mr_lXUAEO6u7.jpg", "http://pbs.twimg.com/media/Db4mr_lXUAEO6u7.jpg")</f>
        <v/>
      </c>
      <c r="G829" t="s"/>
      <c r="H829" t="s"/>
      <c r="I829" t="s"/>
      <c r="J829" t="n">
        <v>0.0258</v>
      </c>
      <c r="K829" t="n">
        <v>0</v>
      </c>
      <c r="L829" t="n">
        <v>0.95</v>
      </c>
      <c r="M829" t="n">
        <v>0.05</v>
      </c>
    </row>
    <row r="830" spans="1:13">
      <c r="A830" s="1">
        <f>HYPERLINK("http://www.twitter.com/NathanBLawrence/status/990528180749455362", "990528180749455362")</f>
        <v/>
      </c>
      <c r="B830" s="2" t="n">
        <v>43219.40851851852</v>
      </c>
      <c r="C830" t="n">
        <v>0</v>
      </c>
      <c r="D830" t="n">
        <v>638</v>
      </c>
      <c r="E830" t="s">
        <v>840</v>
      </c>
      <c r="F830">
        <f>HYPERLINK("http://pbs.twimg.com/media/Db60kL4X0AEmD0I.jpg", "http://pbs.twimg.com/media/Db60kL4X0AEmD0I.jpg")</f>
        <v/>
      </c>
      <c r="G830" t="s"/>
      <c r="H830" t="s"/>
      <c r="I830" t="s"/>
      <c r="J830" t="n">
        <v>0.7269</v>
      </c>
      <c r="K830" t="n">
        <v>0</v>
      </c>
      <c r="L830" t="n">
        <v>0.697</v>
      </c>
      <c r="M830" t="n">
        <v>0.303</v>
      </c>
    </row>
    <row r="831" spans="1:13">
      <c r="A831" s="1">
        <f>HYPERLINK("http://www.twitter.com/NathanBLawrence/status/990525307533737985", "990525307533737985")</f>
        <v/>
      </c>
      <c r="B831" s="2" t="n">
        <v>43219.40059027778</v>
      </c>
      <c r="C831" t="n">
        <v>0</v>
      </c>
      <c r="D831" t="n">
        <v>1042</v>
      </c>
      <c r="E831" t="s">
        <v>841</v>
      </c>
      <c r="F831">
        <f>HYPERLINK("http://pbs.twimg.com/media/Db4trprU0AAmDmQ.jpg", "http://pbs.twimg.com/media/Db4trprU0AAmDmQ.jpg")</f>
        <v/>
      </c>
      <c r="G831" t="s"/>
      <c r="H831" t="s"/>
      <c r="I831" t="s"/>
      <c r="J831" t="n">
        <v>0</v>
      </c>
      <c r="K831" t="n">
        <v>0</v>
      </c>
      <c r="L831" t="n">
        <v>1</v>
      </c>
      <c r="M831" t="n">
        <v>0</v>
      </c>
    </row>
    <row r="832" spans="1:13">
      <c r="A832" s="1">
        <f>HYPERLINK("http://www.twitter.com/NathanBLawrence/status/990525221626003458", "990525221626003458")</f>
        <v/>
      </c>
      <c r="B832" s="2" t="n">
        <v>43219.40034722222</v>
      </c>
      <c r="C832" t="n">
        <v>6</v>
      </c>
      <c r="D832" t="n">
        <v>6</v>
      </c>
      <c r="E832" t="s">
        <v>842</v>
      </c>
      <c r="F832" t="s"/>
      <c r="G832" t="s"/>
      <c r="H832" t="s"/>
      <c r="I832" t="s"/>
      <c r="J832" t="n">
        <v>0</v>
      </c>
      <c r="K832" t="n">
        <v>0</v>
      </c>
      <c r="L832" t="n">
        <v>1</v>
      </c>
      <c r="M832" t="n">
        <v>0</v>
      </c>
    </row>
    <row r="833" spans="1:13">
      <c r="A833" s="1">
        <f>HYPERLINK("http://www.twitter.com/NathanBLawrence/status/990525022954401792", "990525022954401792")</f>
        <v/>
      </c>
      <c r="B833" s="2" t="n">
        <v>43219.39980324074</v>
      </c>
      <c r="C833" t="n">
        <v>0</v>
      </c>
      <c r="D833" t="n">
        <v>384</v>
      </c>
      <c r="E833" t="s">
        <v>843</v>
      </c>
      <c r="F833">
        <f>HYPERLINK("http://pbs.twimg.com/media/Db3tuDxU8AY4qZs.jpg", "http://pbs.twimg.com/media/Db3tuDxU8AY4qZs.jpg")</f>
        <v/>
      </c>
      <c r="G833" t="s"/>
      <c r="H833" t="s"/>
      <c r="I833" t="s"/>
      <c r="J833" t="n">
        <v>0.4215</v>
      </c>
      <c r="K833" t="n">
        <v>0</v>
      </c>
      <c r="L833" t="n">
        <v>0.882</v>
      </c>
      <c r="M833" t="n">
        <v>0.118</v>
      </c>
    </row>
    <row r="834" spans="1:13">
      <c r="A834" s="1">
        <f>HYPERLINK("http://www.twitter.com/NathanBLawrence/status/990524636260528130", "990524636260528130")</f>
        <v/>
      </c>
      <c r="B834" s="2" t="n">
        <v>43219.39872685185</v>
      </c>
      <c r="C834" t="n">
        <v>0</v>
      </c>
      <c r="D834" t="n">
        <v>13133</v>
      </c>
      <c r="E834" t="s">
        <v>844</v>
      </c>
      <c r="F834" t="s"/>
      <c r="G834" t="s"/>
      <c r="H834" t="s"/>
      <c r="I834" t="s"/>
      <c r="J834" t="n">
        <v>0.5974</v>
      </c>
      <c r="K834" t="n">
        <v>0</v>
      </c>
      <c r="L834" t="n">
        <v>0.805</v>
      </c>
      <c r="M834" t="n">
        <v>0.195</v>
      </c>
    </row>
    <row r="835" spans="1:13">
      <c r="A835" s="1">
        <f>HYPERLINK("http://www.twitter.com/NathanBLawrence/status/990523968640593920", "990523968640593920")</f>
        <v/>
      </c>
      <c r="B835" s="2" t="n">
        <v>43219.39688657408</v>
      </c>
      <c r="C835" t="n">
        <v>0</v>
      </c>
      <c r="D835" t="n">
        <v>280</v>
      </c>
      <c r="E835" t="s">
        <v>845</v>
      </c>
      <c r="F835">
        <f>HYPERLINK("http://pbs.twimg.com/media/Db74yXMV0AAAhty.jpg", "http://pbs.twimg.com/media/Db74yXMV0AAAhty.jpg")</f>
        <v/>
      </c>
      <c r="G835" t="s"/>
      <c r="H835" t="s"/>
      <c r="I835" t="s"/>
      <c r="J835" t="n">
        <v>-0.6523</v>
      </c>
      <c r="K835" t="n">
        <v>0.289</v>
      </c>
      <c r="L835" t="n">
        <v>0.58</v>
      </c>
      <c r="M835" t="n">
        <v>0.132</v>
      </c>
    </row>
    <row r="836" spans="1:13">
      <c r="A836" s="1">
        <f>HYPERLINK("http://www.twitter.com/NathanBLawrence/status/990523541610053632", "990523541610053632")</f>
        <v/>
      </c>
      <c r="B836" s="2" t="n">
        <v>43219.39571759259</v>
      </c>
      <c r="C836" t="n">
        <v>0</v>
      </c>
      <c r="D836" t="n">
        <v>9</v>
      </c>
      <c r="E836" t="s">
        <v>846</v>
      </c>
      <c r="F836">
        <f>HYPERLINK("http://pbs.twimg.com/media/Db63Sj8UQAAnE_s.jpg", "http://pbs.twimg.com/media/Db63Sj8UQAAnE_s.jpg")</f>
        <v/>
      </c>
      <c r="G836" t="s"/>
      <c r="H836" t="s"/>
      <c r="I836" t="s"/>
      <c r="J836" t="n">
        <v>0</v>
      </c>
      <c r="K836" t="n">
        <v>0</v>
      </c>
      <c r="L836" t="n">
        <v>1</v>
      </c>
      <c r="M836" t="n">
        <v>0</v>
      </c>
    </row>
    <row r="837" spans="1:13">
      <c r="A837" s="1">
        <f>HYPERLINK("http://www.twitter.com/NathanBLawrence/status/990523385070239744", "990523385070239744")</f>
        <v/>
      </c>
      <c r="B837" s="2" t="n">
        <v>43219.39527777778</v>
      </c>
      <c r="C837" t="n">
        <v>0</v>
      </c>
      <c r="D837" t="n">
        <v>683</v>
      </c>
      <c r="E837" t="s">
        <v>847</v>
      </c>
      <c r="F837" t="s"/>
      <c r="G837" t="s"/>
      <c r="H837" t="s"/>
      <c r="I837" t="s"/>
      <c r="J837" t="n">
        <v>0.5859</v>
      </c>
      <c r="K837" t="n">
        <v>0</v>
      </c>
      <c r="L837" t="n">
        <v>0.858</v>
      </c>
      <c r="M837" t="n">
        <v>0.142</v>
      </c>
    </row>
    <row r="838" spans="1:13">
      <c r="A838" s="1">
        <f>HYPERLINK("http://www.twitter.com/NathanBLawrence/status/990523265817788417", "990523265817788417")</f>
        <v/>
      </c>
      <c r="B838" s="2" t="n">
        <v>43219.3949537037</v>
      </c>
      <c r="C838" t="n">
        <v>50</v>
      </c>
      <c r="D838" t="n">
        <v>19</v>
      </c>
      <c r="E838" t="s">
        <v>848</v>
      </c>
      <c r="F838" t="s"/>
      <c r="G838" t="s"/>
      <c r="H838" t="s"/>
      <c r="I838" t="s"/>
      <c r="J838" t="n">
        <v>-0.5255</v>
      </c>
      <c r="K838" t="n">
        <v>0.167</v>
      </c>
      <c r="L838" t="n">
        <v>0.765</v>
      </c>
      <c r="M838" t="n">
        <v>0.068</v>
      </c>
    </row>
    <row r="839" spans="1:13">
      <c r="A839" s="1">
        <f>HYPERLINK("http://www.twitter.com/NathanBLawrence/status/990522164573913089", "990522164573913089")</f>
        <v/>
      </c>
      <c r="B839" s="2" t="n">
        <v>43219.39190972222</v>
      </c>
      <c r="C839" t="n">
        <v>1</v>
      </c>
      <c r="D839" t="n">
        <v>0</v>
      </c>
      <c r="E839" t="s">
        <v>849</v>
      </c>
      <c r="F839" t="s"/>
      <c r="G839" t="s"/>
      <c r="H839" t="s"/>
      <c r="I839" t="s"/>
      <c r="J839" t="n">
        <v>-0.7644</v>
      </c>
      <c r="K839" t="n">
        <v>0.292</v>
      </c>
      <c r="L839" t="n">
        <v>0.708</v>
      </c>
      <c r="M839" t="n">
        <v>0</v>
      </c>
    </row>
    <row r="840" spans="1:13">
      <c r="A840" s="1">
        <f>HYPERLINK("http://www.twitter.com/NathanBLawrence/status/990521520534405120", "990521520534405120")</f>
        <v/>
      </c>
      <c r="B840" s="2" t="n">
        <v>43219.39013888889</v>
      </c>
      <c r="C840" t="n">
        <v>0</v>
      </c>
      <c r="D840" t="n">
        <v>61</v>
      </c>
      <c r="E840" t="s">
        <v>850</v>
      </c>
      <c r="F840">
        <f>HYPERLINK("http://pbs.twimg.com/media/Db8JzalXUAE0tPg.jpg", "http://pbs.twimg.com/media/Db8JzalXUAE0tPg.jpg")</f>
        <v/>
      </c>
      <c r="G840" t="s"/>
      <c r="H840" t="s"/>
      <c r="I840" t="s"/>
      <c r="J840" t="n">
        <v>0</v>
      </c>
      <c r="K840" t="n">
        <v>0</v>
      </c>
      <c r="L840" t="n">
        <v>1</v>
      </c>
      <c r="M840" t="n">
        <v>0</v>
      </c>
    </row>
    <row r="841" spans="1:13">
      <c r="A841" s="1">
        <f>HYPERLINK("http://www.twitter.com/NathanBLawrence/status/990520983051120640", "990520983051120640")</f>
        <v/>
      </c>
      <c r="B841" s="2" t="n">
        <v>43219.38865740741</v>
      </c>
      <c r="C841" t="n">
        <v>0</v>
      </c>
      <c r="D841" t="n">
        <v>12</v>
      </c>
      <c r="E841" t="s">
        <v>851</v>
      </c>
      <c r="F841">
        <f>HYPERLINK("http://pbs.twimg.com/media/Db7ApTRUwAAKGfW.jpg", "http://pbs.twimg.com/media/Db7ApTRUwAAKGfW.jpg")</f>
        <v/>
      </c>
      <c r="G841" t="s"/>
      <c r="H841" t="s"/>
      <c r="I841" t="s"/>
      <c r="J841" t="n">
        <v>0</v>
      </c>
      <c r="K841" t="n">
        <v>0</v>
      </c>
      <c r="L841" t="n">
        <v>1</v>
      </c>
      <c r="M841" t="n">
        <v>0</v>
      </c>
    </row>
    <row r="842" spans="1:13">
      <c r="A842" s="1">
        <f>HYPERLINK("http://www.twitter.com/NathanBLawrence/status/990520851983355905", "990520851983355905")</f>
        <v/>
      </c>
      <c r="B842" s="2" t="n">
        <v>43219.38828703704</v>
      </c>
      <c r="C842" t="n">
        <v>0</v>
      </c>
      <c r="D842" t="n">
        <v>471</v>
      </c>
      <c r="E842" t="s">
        <v>852</v>
      </c>
      <c r="F842">
        <f>HYPERLINK("https://video.twimg.com/ext_tw_video/982241683487080452/pu/vid/360x640/jyWQQqTBgL35-UX_.mp4?tag=2", "https://video.twimg.com/ext_tw_video/982241683487080452/pu/vid/360x640/jyWQQqTBgL35-UX_.mp4?tag=2")</f>
        <v/>
      </c>
      <c r="G842" t="s"/>
      <c r="H842" t="s"/>
      <c r="I842" t="s"/>
      <c r="J842" t="n">
        <v>0</v>
      </c>
      <c r="K842" t="n">
        <v>0</v>
      </c>
      <c r="L842" t="n">
        <v>1</v>
      </c>
      <c r="M842" t="n">
        <v>0</v>
      </c>
    </row>
    <row r="843" spans="1:13">
      <c r="A843" s="1">
        <f>HYPERLINK("http://www.twitter.com/NathanBLawrence/status/990520306983817216", "990520306983817216")</f>
        <v/>
      </c>
      <c r="B843" s="2" t="n">
        <v>43219.3867824074</v>
      </c>
      <c r="C843" t="n">
        <v>0</v>
      </c>
      <c r="D843" t="n">
        <v>38</v>
      </c>
      <c r="E843" t="s">
        <v>853</v>
      </c>
      <c r="F843">
        <f>HYPERLINK("http://pbs.twimg.com/media/Db3pZxYW4AAFVhu.jpg", "http://pbs.twimg.com/media/Db3pZxYW4AAFVhu.jpg")</f>
        <v/>
      </c>
      <c r="G843" t="s"/>
      <c r="H843" t="s"/>
      <c r="I843" t="s"/>
      <c r="J843" t="n">
        <v>0</v>
      </c>
      <c r="K843" t="n">
        <v>0</v>
      </c>
      <c r="L843" t="n">
        <v>1</v>
      </c>
      <c r="M843" t="n">
        <v>0</v>
      </c>
    </row>
    <row r="844" spans="1:13">
      <c r="A844" s="1">
        <f>HYPERLINK("http://www.twitter.com/NathanBLawrence/status/990458820928258048", "990458820928258048")</f>
        <v/>
      </c>
      <c r="B844" s="2" t="n">
        <v>43219.21711805555</v>
      </c>
      <c r="C844" t="n">
        <v>0</v>
      </c>
      <c r="D844" t="n">
        <v>10</v>
      </c>
      <c r="E844" t="s">
        <v>854</v>
      </c>
      <c r="F844">
        <f>HYPERLINK("http://pbs.twimg.com/media/Db0jNt_U0AAuzv3.jpg", "http://pbs.twimg.com/media/Db0jNt_U0AAuzv3.jpg")</f>
        <v/>
      </c>
      <c r="G844" t="s"/>
      <c r="H844" t="s"/>
      <c r="I844" t="s"/>
      <c r="J844" t="n">
        <v>0.4767</v>
      </c>
      <c r="K844" t="n">
        <v>0</v>
      </c>
      <c r="L844" t="n">
        <v>0.849</v>
      </c>
      <c r="M844" t="n">
        <v>0.151</v>
      </c>
    </row>
    <row r="845" spans="1:13">
      <c r="A845" s="1">
        <f>HYPERLINK("http://www.twitter.com/NathanBLawrence/status/990133070014566400", "990133070014566400")</f>
        <v/>
      </c>
      <c r="B845" s="2" t="n">
        <v>43218.31821759259</v>
      </c>
      <c r="C845" t="n">
        <v>0</v>
      </c>
      <c r="D845" t="n">
        <v>390</v>
      </c>
      <c r="E845" t="s">
        <v>855</v>
      </c>
      <c r="F845">
        <f>HYPERLINK("http://pbs.twimg.com/media/Db1XrgbVMAABV2r.jpg", "http://pbs.twimg.com/media/Db1XrgbVMAABV2r.jpg")</f>
        <v/>
      </c>
      <c r="G845" t="s"/>
      <c r="H845" t="s"/>
      <c r="I845" t="s"/>
      <c r="J845" t="n">
        <v>0</v>
      </c>
      <c r="K845" t="n">
        <v>0</v>
      </c>
      <c r="L845" t="n">
        <v>1</v>
      </c>
      <c r="M845" t="n">
        <v>0</v>
      </c>
    </row>
    <row r="846" spans="1:13">
      <c r="A846" s="1">
        <f>HYPERLINK("http://www.twitter.com/NathanBLawrence/status/990132540110323714", "990132540110323714")</f>
        <v/>
      </c>
      <c r="B846" s="2" t="n">
        <v>43218.31674768519</v>
      </c>
      <c r="C846" t="n">
        <v>0</v>
      </c>
      <c r="D846" t="n">
        <v>175</v>
      </c>
      <c r="E846" t="s">
        <v>856</v>
      </c>
      <c r="F846">
        <f>HYPERLINK("http://pbs.twimg.com/media/DbyZcVkVQAAtEwT.jpg", "http://pbs.twimg.com/media/DbyZcVkVQAAtEwT.jpg")</f>
        <v/>
      </c>
      <c r="G846" t="s"/>
      <c r="H846" t="s"/>
      <c r="I846" t="s"/>
      <c r="J846" t="n">
        <v>0.7639</v>
      </c>
      <c r="K846" t="n">
        <v>0</v>
      </c>
      <c r="L846" t="n">
        <v>0.721</v>
      </c>
      <c r="M846" t="n">
        <v>0.279</v>
      </c>
    </row>
    <row r="847" spans="1:13">
      <c r="A847" s="1">
        <f>HYPERLINK("http://www.twitter.com/NathanBLawrence/status/990132325533995008", "990132325533995008")</f>
        <v/>
      </c>
      <c r="B847" s="2" t="n">
        <v>43218.3161574074</v>
      </c>
      <c r="C847" t="n">
        <v>0</v>
      </c>
      <c r="D847" t="n">
        <v>103</v>
      </c>
      <c r="E847" t="s">
        <v>857</v>
      </c>
      <c r="F847">
        <f>HYPERLINK("http://pbs.twimg.com/media/DboBbtTWAAAqXcY.jpg", "http://pbs.twimg.com/media/DboBbtTWAAAqXcY.jpg")</f>
        <v/>
      </c>
      <c r="G847" t="s"/>
      <c r="H847" t="s"/>
      <c r="I847" t="s"/>
      <c r="J847" t="n">
        <v>0</v>
      </c>
      <c r="K847" t="n">
        <v>0</v>
      </c>
      <c r="L847" t="n">
        <v>1</v>
      </c>
      <c r="M847" t="n">
        <v>0</v>
      </c>
    </row>
    <row r="848" spans="1:13">
      <c r="A848" s="1">
        <f>HYPERLINK("http://www.twitter.com/NathanBLawrence/status/990131897991757824", "990131897991757824")</f>
        <v/>
      </c>
      <c r="B848" s="2" t="n">
        <v>43218.31497685185</v>
      </c>
      <c r="C848" t="n">
        <v>0</v>
      </c>
      <c r="D848" t="n">
        <v>1652</v>
      </c>
      <c r="E848" t="s">
        <v>858</v>
      </c>
      <c r="F848">
        <f>HYPERLINK("http://pbs.twimg.com/media/DblCTNRVAAAS0W5.jpg", "http://pbs.twimg.com/media/DblCTNRVAAAS0W5.jpg")</f>
        <v/>
      </c>
      <c r="G848" t="s"/>
      <c r="H848" t="s"/>
      <c r="I848" t="s"/>
      <c r="J848" t="n">
        <v>-0.25</v>
      </c>
      <c r="K848" t="n">
        <v>0.08599999999999999</v>
      </c>
      <c r="L848" t="n">
        <v>0.865</v>
      </c>
      <c r="M848" t="n">
        <v>0.049</v>
      </c>
    </row>
    <row r="849" spans="1:13">
      <c r="A849" s="1">
        <f>HYPERLINK("http://www.twitter.com/NathanBLawrence/status/990131609603981319", "990131609603981319")</f>
        <v/>
      </c>
      <c r="B849" s="2" t="n">
        <v>43218.31418981482</v>
      </c>
      <c r="C849" t="n">
        <v>0</v>
      </c>
      <c r="D849" t="n">
        <v>2211</v>
      </c>
      <c r="E849" t="s">
        <v>859</v>
      </c>
      <c r="F849">
        <f>HYPERLINK("http://pbs.twimg.com/media/Db1VV5GVAAUlyHt.jpg", "http://pbs.twimg.com/media/Db1VV5GVAAUlyHt.jpg")</f>
        <v/>
      </c>
      <c r="G849" t="s"/>
      <c r="H849" t="s"/>
      <c r="I849" t="s"/>
      <c r="J849" t="n">
        <v>0</v>
      </c>
      <c r="K849" t="n">
        <v>0</v>
      </c>
      <c r="L849" t="n">
        <v>1</v>
      </c>
      <c r="M849" t="n">
        <v>0</v>
      </c>
    </row>
    <row r="850" spans="1:13">
      <c r="A850" s="1">
        <f>HYPERLINK("http://www.twitter.com/NathanBLawrence/status/990131496726900736", "990131496726900736")</f>
        <v/>
      </c>
      <c r="B850" s="2" t="n">
        <v>43218.31387731482</v>
      </c>
      <c r="C850" t="n">
        <v>0</v>
      </c>
      <c r="D850" t="n">
        <v>1073</v>
      </c>
      <c r="E850" t="s">
        <v>860</v>
      </c>
      <c r="F850">
        <f>HYPERLINK("http://pbs.twimg.com/media/Db1V9yJV4AA7ayE.jpg", "http://pbs.twimg.com/media/Db1V9yJV4AA7ayE.jpg")</f>
        <v/>
      </c>
      <c r="G850" t="s"/>
      <c r="H850" t="s"/>
      <c r="I850" t="s"/>
      <c r="J850" t="n">
        <v>0.079</v>
      </c>
      <c r="K850" t="n">
        <v>0.099</v>
      </c>
      <c r="L850" t="n">
        <v>0.791</v>
      </c>
      <c r="M850" t="n">
        <v>0.111</v>
      </c>
    </row>
    <row r="851" spans="1:13">
      <c r="A851" s="1">
        <f>HYPERLINK("http://www.twitter.com/NathanBLawrence/status/990131412182315008", "990131412182315008")</f>
        <v/>
      </c>
      <c r="B851" s="2" t="n">
        <v>43218.31364583333</v>
      </c>
      <c r="C851" t="n">
        <v>0</v>
      </c>
      <c r="D851" t="n">
        <v>1148</v>
      </c>
      <c r="E851" t="s">
        <v>861</v>
      </c>
      <c r="F851">
        <f>HYPERLINK("http://pbs.twimg.com/media/Db1cqBbV4AAKM9d.jpg", "http://pbs.twimg.com/media/Db1cqBbV4AAKM9d.jpg")</f>
        <v/>
      </c>
      <c r="G851" t="s"/>
      <c r="H851" t="s"/>
      <c r="I851" t="s"/>
      <c r="J851" t="n">
        <v>0</v>
      </c>
      <c r="K851" t="n">
        <v>0</v>
      </c>
      <c r="L851" t="n">
        <v>1</v>
      </c>
      <c r="M851" t="n">
        <v>0</v>
      </c>
    </row>
    <row r="852" spans="1:13">
      <c r="A852" s="1">
        <f>HYPERLINK("http://www.twitter.com/NathanBLawrence/status/990131348273709057", "990131348273709057")</f>
        <v/>
      </c>
      <c r="B852" s="2" t="n">
        <v>43218.31346064815</v>
      </c>
      <c r="C852" t="n">
        <v>0</v>
      </c>
      <c r="D852" t="n">
        <v>27333</v>
      </c>
      <c r="E852" t="s">
        <v>862</v>
      </c>
      <c r="F852" t="s"/>
      <c r="G852" t="s"/>
      <c r="H852" t="s"/>
      <c r="I852" t="s"/>
      <c r="J852" t="n">
        <v>0.0431</v>
      </c>
      <c r="K852" t="n">
        <v>0.117</v>
      </c>
      <c r="L852" t="n">
        <v>0.759</v>
      </c>
      <c r="M852" t="n">
        <v>0.124</v>
      </c>
    </row>
    <row r="853" spans="1:13">
      <c r="A853" s="1">
        <f>HYPERLINK("http://www.twitter.com/NathanBLawrence/status/990131313796501505", "990131313796501505")</f>
        <v/>
      </c>
      <c r="B853" s="2" t="n">
        <v>43218.31336805555</v>
      </c>
      <c r="C853" t="n">
        <v>0</v>
      </c>
      <c r="D853" t="n">
        <v>946</v>
      </c>
      <c r="E853" t="s">
        <v>863</v>
      </c>
      <c r="F853">
        <f>HYPERLINK("http://pbs.twimg.com/media/Db1hykGU0AAjMrw.jpg", "http://pbs.twimg.com/media/Db1hykGU0AAjMrw.jpg")</f>
        <v/>
      </c>
      <c r="G853" t="s"/>
      <c r="H853" t="s"/>
      <c r="I853" t="s"/>
      <c r="J853" t="n">
        <v>0.5423</v>
      </c>
      <c r="K853" t="n">
        <v>0</v>
      </c>
      <c r="L853" t="n">
        <v>0.863</v>
      </c>
      <c r="M853" t="n">
        <v>0.137</v>
      </c>
    </row>
    <row r="854" spans="1:13">
      <c r="A854" s="1">
        <f>HYPERLINK("http://www.twitter.com/NathanBLawrence/status/990123256635052032", "990123256635052032")</f>
        <v/>
      </c>
      <c r="B854" s="2" t="n">
        <v>43218.29113425926</v>
      </c>
      <c r="C854" t="n">
        <v>0</v>
      </c>
      <c r="D854" t="n">
        <v>558</v>
      </c>
      <c r="E854" t="s">
        <v>864</v>
      </c>
      <c r="F854">
        <f>HYPERLINK("http://pbs.twimg.com/media/DbzyIASX4AAQqCF.jpg", "http://pbs.twimg.com/media/DbzyIASX4AAQqCF.jpg")</f>
        <v/>
      </c>
      <c r="G854" t="s"/>
      <c r="H854" t="s"/>
      <c r="I854" t="s"/>
      <c r="J854" t="n">
        <v>0.5423</v>
      </c>
      <c r="K854" t="n">
        <v>0</v>
      </c>
      <c r="L854" t="n">
        <v>0.741</v>
      </c>
      <c r="M854" t="n">
        <v>0.259</v>
      </c>
    </row>
    <row r="855" spans="1:13">
      <c r="A855" s="1">
        <f>HYPERLINK("http://www.twitter.com/NathanBLawrence/status/990121794290958336", "990121794290958336")</f>
        <v/>
      </c>
      <c r="B855" s="2" t="n">
        <v>43218.28709490741</v>
      </c>
      <c r="C855" t="n">
        <v>0</v>
      </c>
      <c r="D855" t="n">
        <v>828</v>
      </c>
      <c r="E855" t="s">
        <v>865</v>
      </c>
      <c r="F855" t="s"/>
      <c r="G855" t="s"/>
      <c r="H855" t="s"/>
      <c r="I855" t="s"/>
      <c r="J855" t="n">
        <v>-0.296</v>
      </c>
      <c r="K855" t="n">
        <v>0.095</v>
      </c>
      <c r="L855" t="n">
        <v>0.905</v>
      </c>
      <c r="M855" t="n">
        <v>0</v>
      </c>
    </row>
    <row r="856" spans="1:13">
      <c r="A856" s="1">
        <f>HYPERLINK("http://www.twitter.com/NathanBLawrence/status/990120994441383936", "990120994441383936")</f>
        <v/>
      </c>
      <c r="B856" s="2" t="n">
        <v>43218.28489583333</v>
      </c>
      <c r="C856" t="n">
        <v>15</v>
      </c>
      <c r="D856" t="n">
        <v>6</v>
      </c>
      <c r="E856" t="s">
        <v>866</v>
      </c>
      <c r="F856" t="s"/>
      <c r="G856" t="s"/>
      <c r="H856" t="s"/>
      <c r="I856" t="s"/>
      <c r="J856" t="n">
        <v>-0.4753</v>
      </c>
      <c r="K856" t="n">
        <v>0.382</v>
      </c>
      <c r="L856" t="n">
        <v>0.618</v>
      </c>
      <c r="M856" t="n">
        <v>0</v>
      </c>
    </row>
    <row r="857" spans="1:13">
      <c r="A857" s="1">
        <f>HYPERLINK("http://www.twitter.com/NathanBLawrence/status/990120661719760896", "990120661719760896")</f>
        <v/>
      </c>
      <c r="B857" s="2" t="n">
        <v>43218.28396990741</v>
      </c>
      <c r="C857" t="n">
        <v>0</v>
      </c>
      <c r="D857" t="n">
        <v>12</v>
      </c>
      <c r="E857" t="s">
        <v>867</v>
      </c>
      <c r="F857" t="s"/>
      <c r="G857" t="s"/>
      <c r="H857" t="s"/>
      <c r="I857" t="s"/>
      <c r="J857" t="n">
        <v>0</v>
      </c>
      <c r="K857" t="n">
        <v>0</v>
      </c>
      <c r="L857" t="n">
        <v>1</v>
      </c>
      <c r="M857" t="n">
        <v>0</v>
      </c>
    </row>
    <row r="858" spans="1:13">
      <c r="A858" s="1">
        <f>HYPERLINK("http://www.twitter.com/NathanBLawrence/status/990119810863251457", "990119810863251457")</f>
        <v/>
      </c>
      <c r="B858" s="2" t="n">
        <v>43218.28163194445</v>
      </c>
      <c r="C858" t="n">
        <v>0</v>
      </c>
      <c r="D858" t="n">
        <v>24731</v>
      </c>
      <c r="E858" t="s">
        <v>868</v>
      </c>
      <c r="F858" t="s"/>
      <c r="G858" t="s"/>
      <c r="H858" t="s"/>
      <c r="I858" t="s"/>
      <c r="J858" t="n">
        <v>-0.5719</v>
      </c>
      <c r="K858" t="n">
        <v>0.198</v>
      </c>
      <c r="L858" t="n">
        <v>0.802</v>
      </c>
      <c r="M858" t="n">
        <v>0</v>
      </c>
    </row>
    <row r="859" spans="1:13">
      <c r="A859" s="1">
        <f>HYPERLINK("http://www.twitter.com/NathanBLawrence/status/990119653207719937", "990119653207719937")</f>
        <v/>
      </c>
      <c r="B859" s="2" t="n">
        <v>43218.28119212963</v>
      </c>
      <c r="C859" t="n">
        <v>0</v>
      </c>
      <c r="D859" t="n">
        <v>375</v>
      </c>
      <c r="E859" t="s">
        <v>869</v>
      </c>
      <c r="F859">
        <f>HYPERLINK("http://pbs.twimg.com/media/Db2BsVOU0AI0Ve7.jpg", "http://pbs.twimg.com/media/Db2BsVOU0AI0Ve7.jpg")</f>
        <v/>
      </c>
      <c r="G859" t="s"/>
      <c r="H859" t="s"/>
      <c r="I859" t="s"/>
      <c r="J859" t="n">
        <v>-0.8126</v>
      </c>
      <c r="K859" t="n">
        <v>0.259</v>
      </c>
      <c r="L859" t="n">
        <v>0.741</v>
      </c>
      <c r="M859" t="n">
        <v>0</v>
      </c>
    </row>
    <row r="860" spans="1:13">
      <c r="A860" s="1">
        <f>HYPERLINK("http://www.twitter.com/NathanBLawrence/status/990119374643085312", "990119374643085312")</f>
        <v/>
      </c>
      <c r="B860" s="2" t="n">
        <v>43218.28042824074</v>
      </c>
      <c r="C860" t="n">
        <v>0</v>
      </c>
      <c r="D860" t="n">
        <v>164</v>
      </c>
      <c r="E860" t="s">
        <v>870</v>
      </c>
      <c r="F860" t="s"/>
      <c r="G860" t="s"/>
      <c r="H860" t="s"/>
      <c r="I860" t="s"/>
      <c r="J860" t="n">
        <v>0.928</v>
      </c>
      <c r="K860" t="n">
        <v>0.107</v>
      </c>
      <c r="L860" t="n">
        <v>0.45</v>
      </c>
      <c r="M860" t="n">
        <v>0.442</v>
      </c>
    </row>
    <row r="861" spans="1:13">
      <c r="A861" s="1">
        <f>HYPERLINK("http://www.twitter.com/NathanBLawrence/status/990119312580005888", "990119312580005888")</f>
        <v/>
      </c>
      <c r="B861" s="2" t="n">
        <v>43218.28025462963</v>
      </c>
      <c r="C861" t="n">
        <v>0</v>
      </c>
      <c r="D861" t="n">
        <v>780</v>
      </c>
      <c r="E861" t="s">
        <v>871</v>
      </c>
      <c r="F861">
        <f>HYPERLINK("https://video.twimg.com/amplify_video/989974507409551360/vid/1280x720/e2TaplVQPism2rsU.mp4?tag=2", "https://video.twimg.com/amplify_video/989974507409551360/vid/1280x720/e2TaplVQPism2rsU.mp4?tag=2")</f>
        <v/>
      </c>
      <c r="G861" t="s"/>
      <c r="H861" t="s"/>
      <c r="I861" t="s"/>
      <c r="J861" t="n">
        <v>0.4215</v>
      </c>
      <c r="K861" t="n">
        <v>0</v>
      </c>
      <c r="L861" t="n">
        <v>0.833</v>
      </c>
      <c r="M861" t="n">
        <v>0.167</v>
      </c>
    </row>
    <row r="862" spans="1:13">
      <c r="A862" s="1">
        <f>HYPERLINK("http://www.twitter.com/NathanBLawrence/status/990119204073361408", "990119204073361408")</f>
        <v/>
      </c>
      <c r="B862" s="2" t="n">
        <v>43218.27995370371</v>
      </c>
      <c r="C862" t="n">
        <v>0</v>
      </c>
      <c r="D862" t="n">
        <v>19024</v>
      </c>
      <c r="E862" t="s">
        <v>872</v>
      </c>
      <c r="F862" t="s"/>
      <c r="G862" t="s"/>
      <c r="H862" t="s"/>
      <c r="I862" t="s"/>
      <c r="J862" t="n">
        <v>-0.9153</v>
      </c>
      <c r="K862" t="n">
        <v>0.41</v>
      </c>
      <c r="L862" t="n">
        <v>0.59</v>
      </c>
      <c r="M862" t="n">
        <v>0</v>
      </c>
    </row>
    <row r="863" spans="1:13">
      <c r="A863" s="1">
        <f>HYPERLINK("http://www.twitter.com/NathanBLawrence/status/990118981607477249", "990118981607477249")</f>
        <v/>
      </c>
      <c r="B863" s="2" t="n">
        <v>43218.27934027778</v>
      </c>
      <c r="C863" t="n">
        <v>0</v>
      </c>
      <c r="D863" t="n">
        <v>427</v>
      </c>
      <c r="E863" t="s">
        <v>873</v>
      </c>
      <c r="F863">
        <f>HYPERLINK("http://pbs.twimg.com/media/Db2MNRxW0AANcyh.jpg", "http://pbs.twimg.com/media/Db2MNRxW0AANcyh.jpg")</f>
        <v/>
      </c>
      <c r="G863" t="s"/>
      <c r="H863" t="s"/>
      <c r="I863" t="s"/>
      <c r="J863" t="n">
        <v>-0.0516</v>
      </c>
      <c r="K863" t="n">
        <v>0.123</v>
      </c>
      <c r="L863" t="n">
        <v>0.763</v>
      </c>
      <c r="M863" t="n">
        <v>0.114</v>
      </c>
    </row>
    <row r="864" spans="1:13">
      <c r="A864" s="1">
        <f>HYPERLINK("http://www.twitter.com/NathanBLawrence/status/990096013405839360", "990096013405839360")</f>
        <v/>
      </c>
      <c r="B864" s="2" t="n">
        <v>43218.21596064815</v>
      </c>
      <c r="C864" t="n">
        <v>4</v>
      </c>
      <c r="D864" t="n">
        <v>1</v>
      </c>
      <c r="E864" t="s">
        <v>874</v>
      </c>
      <c r="F864" t="s"/>
      <c r="G864" t="s"/>
      <c r="H864" t="s"/>
      <c r="I864" t="s"/>
      <c r="J864" t="n">
        <v>-0.4451</v>
      </c>
      <c r="K864" t="n">
        <v>0.233</v>
      </c>
      <c r="L864" t="n">
        <v>0.599</v>
      </c>
      <c r="M864" t="n">
        <v>0.169</v>
      </c>
    </row>
    <row r="865" spans="1:13">
      <c r="A865" s="1">
        <f>HYPERLINK("http://www.twitter.com/NathanBLawrence/status/989929807545683968", "989929807545683968")</f>
        <v/>
      </c>
      <c r="B865" s="2" t="n">
        <v>43217.75731481481</v>
      </c>
      <c r="C865" t="n">
        <v>2</v>
      </c>
      <c r="D865" t="n">
        <v>1</v>
      </c>
      <c r="E865" t="s">
        <v>875</v>
      </c>
      <c r="F865" t="s"/>
      <c r="G865" t="s"/>
      <c r="H865" t="s"/>
      <c r="I865" t="s"/>
      <c r="J865" t="n">
        <v>-0.3595</v>
      </c>
      <c r="K865" t="n">
        <v>0.185</v>
      </c>
      <c r="L865" t="n">
        <v>0.8149999999999999</v>
      </c>
      <c r="M865" t="n">
        <v>0</v>
      </c>
    </row>
    <row r="866" spans="1:13">
      <c r="A866" s="1">
        <f>HYPERLINK("http://www.twitter.com/NathanBLawrence/status/989928266243891200", "989928266243891200")</f>
        <v/>
      </c>
      <c r="B866" s="2" t="n">
        <v>43217.75306712963</v>
      </c>
      <c r="C866" t="n">
        <v>7</v>
      </c>
      <c r="D866" t="n">
        <v>1</v>
      </c>
      <c r="E866" t="s">
        <v>876</v>
      </c>
      <c r="F866" t="s"/>
      <c r="G866" t="s"/>
      <c r="H866" t="s"/>
      <c r="I866" t="s"/>
      <c r="J866" t="n">
        <v>0</v>
      </c>
      <c r="K866" t="n">
        <v>0</v>
      </c>
      <c r="L866" t="n">
        <v>1</v>
      </c>
      <c r="M866" t="n">
        <v>0</v>
      </c>
    </row>
    <row r="867" spans="1:13">
      <c r="A867" s="1">
        <f>HYPERLINK("http://www.twitter.com/NathanBLawrence/status/989928006943629312", "989928006943629312")</f>
        <v/>
      </c>
      <c r="B867" s="2" t="n">
        <v>43217.75234953704</v>
      </c>
      <c r="C867" t="n">
        <v>13</v>
      </c>
      <c r="D867" t="n">
        <v>6</v>
      </c>
      <c r="E867" t="s">
        <v>877</v>
      </c>
      <c r="F867" t="s"/>
      <c r="G867" t="s"/>
      <c r="H867" t="s"/>
      <c r="I867" t="s"/>
      <c r="J867" t="n">
        <v>-0.128</v>
      </c>
      <c r="K867" t="n">
        <v>0.081</v>
      </c>
      <c r="L867" t="n">
        <v>0.919</v>
      </c>
      <c r="M867" t="n">
        <v>0</v>
      </c>
    </row>
    <row r="868" spans="1:13">
      <c r="A868" s="1">
        <f>HYPERLINK("http://www.twitter.com/NathanBLawrence/status/989927779821961221", "989927779821961221")</f>
        <v/>
      </c>
      <c r="B868" s="2" t="n">
        <v>43217.75172453704</v>
      </c>
      <c r="C868" t="n">
        <v>2</v>
      </c>
      <c r="D868" t="n">
        <v>4</v>
      </c>
      <c r="E868" t="s">
        <v>878</v>
      </c>
      <c r="F868" t="s"/>
      <c r="G868" t="s"/>
      <c r="H868" t="s"/>
      <c r="I868" t="s"/>
      <c r="J868" t="n">
        <v>-0.7269</v>
      </c>
      <c r="K868" t="n">
        <v>0.466</v>
      </c>
      <c r="L868" t="n">
        <v>0.534</v>
      </c>
      <c r="M868" t="n">
        <v>0</v>
      </c>
    </row>
    <row r="869" spans="1:13">
      <c r="A869" s="1">
        <f>HYPERLINK("http://www.twitter.com/NathanBLawrence/status/989926720491831296", "989926720491831296")</f>
        <v/>
      </c>
      <c r="B869" s="2" t="n">
        <v>43217.7487962963</v>
      </c>
      <c r="C869" t="n">
        <v>11</v>
      </c>
      <c r="D869" t="n">
        <v>4</v>
      </c>
      <c r="E869" t="s">
        <v>879</v>
      </c>
      <c r="F869" t="s"/>
      <c r="G869" t="s"/>
      <c r="H869" t="s"/>
      <c r="I869" t="s"/>
      <c r="J869" t="n">
        <v>-0.6908</v>
      </c>
      <c r="K869" t="n">
        <v>0.305</v>
      </c>
      <c r="L869" t="n">
        <v>0.695</v>
      </c>
      <c r="M869" t="n">
        <v>0</v>
      </c>
    </row>
    <row r="870" spans="1:13">
      <c r="A870" s="1">
        <f>HYPERLINK("http://www.twitter.com/NathanBLawrence/status/989923314809257984", "989923314809257984")</f>
        <v/>
      </c>
      <c r="B870" s="2" t="n">
        <v>43217.73939814815</v>
      </c>
      <c r="C870" t="n">
        <v>0</v>
      </c>
      <c r="D870" t="n">
        <v>1342</v>
      </c>
      <c r="E870" t="s">
        <v>880</v>
      </c>
      <c r="F870" t="s"/>
      <c r="G870" t="s"/>
      <c r="H870" t="s"/>
      <c r="I870" t="s"/>
      <c r="J870" t="n">
        <v>0</v>
      </c>
      <c r="K870" t="n">
        <v>0</v>
      </c>
      <c r="L870" t="n">
        <v>1</v>
      </c>
      <c r="M870" t="n">
        <v>0</v>
      </c>
    </row>
    <row r="871" spans="1:13">
      <c r="A871" s="1">
        <f>HYPERLINK("http://www.twitter.com/NathanBLawrence/status/989923204691980288", "989923204691980288")</f>
        <v/>
      </c>
      <c r="B871" s="2" t="n">
        <v>43217.73909722222</v>
      </c>
      <c r="C871" t="n">
        <v>0</v>
      </c>
      <c r="D871" t="n">
        <v>731</v>
      </c>
      <c r="E871" t="s">
        <v>881</v>
      </c>
      <c r="F871">
        <f>HYPERLINK("http://pbs.twimg.com/media/DbyGOhAW4AACT0f.jpg", "http://pbs.twimg.com/media/DbyGOhAW4AACT0f.jpg")</f>
        <v/>
      </c>
      <c r="G871" t="s"/>
      <c r="H871" t="s"/>
      <c r="I871" t="s"/>
      <c r="J871" t="n">
        <v>0.0772</v>
      </c>
      <c r="K871" t="n">
        <v>0</v>
      </c>
      <c r="L871" t="n">
        <v>0.9419999999999999</v>
      </c>
      <c r="M871" t="n">
        <v>0.058</v>
      </c>
    </row>
    <row r="872" spans="1:13">
      <c r="A872" s="1">
        <f>HYPERLINK("http://www.twitter.com/NathanBLawrence/status/989921683363393536", "989921683363393536")</f>
        <v/>
      </c>
      <c r="B872" s="2" t="n">
        <v>43217.73489583333</v>
      </c>
      <c r="C872" t="n">
        <v>0</v>
      </c>
      <c r="D872" t="n">
        <v>1230</v>
      </c>
      <c r="E872" t="s">
        <v>882</v>
      </c>
      <c r="F872">
        <f>HYPERLINK("http://pbs.twimg.com/media/DbzcdpfXcAE6GIV.jpg", "http://pbs.twimg.com/media/DbzcdpfXcAE6GIV.jpg")</f>
        <v/>
      </c>
      <c r="G872" t="s"/>
      <c r="H872" t="s"/>
      <c r="I872" t="s"/>
      <c r="J872" t="n">
        <v>-0.5106000000000001</v>
      </c>
      <c r="K872" t="n">
        <v>0.13</v>
      </c>
      <c r="L872" t="n">
        <v>0.87</v>
      </c>
      <c r="M872" t="n">
        <v>0</v>
      </c>
    </row>
    <row r="873" spans="1:13">
      <c r="A873" s="1">
        <f>HYPERLINK("http://www.twitter.com/NathanBLawrence/status/989921629458251777", "989921629458251777")</f>
        <v/>
      </c>
      <c r="B873" s="2" t="n">
        <v>43217.73474537037</v>
      </c>
      <c r="C873" t="n">
        <v>0</v>
      </c>
      <c r="D873" t="n">
        <v>232</v>
      </c>
      <c r="E873" t="s">
        <v>883</v>
      </c>
      <c r="F873">
        <f>HYPERLINK("http://pbs.twimg.com/media/Dby_bT8X4AIvO5k.jpg", "http://pbs.twimg.com/media/Dby_bT8X4AIvO5k.jpg")</f>
        <v/>
      </c>
      <c r="G873" t="s"/>
      <c r="H873" t="s"/>
      <c r="I873" t="s"/>
      <c r="J873" t="n">
        <v>0</v>
      </c>
      <c r="K873" t="n">
        <v>0</v>
      </c>
      <c r="L873" t="n">
        <v>1</v>
      </c>
      <c r="M873" t="n">
        <v>0</v>
      </c>
    </row>
    <row r="874" spans="1:13">
      <c r="A874" s="1">
        <f>HYPERLINK("http://www.twitter.com/NathanBLawrence/status/989921586340806656", "989921586340806656")</f>
        <v/>
      </c>
      <c r="B874" s="2" t="n">
        <v>43217.73462962963</v>
      </c>
      <c r="C874" t="n">
        <v>0</v>
      </c>
      <c r="D874" t="n">
        <v>16</v>
      </c>
      <c r="E874" t="s">
        <v>884</v>
      </c>
      <c r="F874">
        <f>HYPERLINK("http://pbs.twimg.com/media/Dbzj-QqXcAMQsoo.jpg", "http://pbs.twimg.com/media/Dbzj-QqXcAMQsoo.jpg")</f>
        <v/>
      </c>
      <c r="G874" t="s"/>
      <c r="H874" t="s"/>
      <c r="I874" t="s"/>
      <c r="J874" t="n">
        <v>0</v>
      </c>
      <c r="K874" t="n">
        <v>0</v>
      </c>
      <c r="L874" t="n">
        <v>1</v>
      </c>
      <c r="M874" t="n">
        <v>0</v>
      </c>
    </row>
    <row r="875" spans="1:13">
      <c r="A875" s="1">
        <f>HYPERLINK("http://www.twitter.com/NathanBLawrence/status/989921451078660096", "989921451078660096")</f>
        <v/>
      </c>
      <c r="B875" s="2" t="n">
        <v>43217.73425925926</v>
      </c>
      <c r="C875" t="n">
        <v>0</v>
      </c>
      <c r="D875" t="n">
        <v>15</v>
      </c>
      <c r="E875" t="s">
        <v>885</v>
      </c>
      <c r="F875">
        <f>HYPERLINK("http://pbs.twimg.com/media/DbzkxJ6VMAA7GQG.jpg", "http://pbs.twimg.com/media/DbzkxJ6VMAA7GQG.jpg")</f>
        <v/>
      </c>
      <c r="G875" t="s"/>
      <c r="H875" t="s"/>
      <c r="I875" t="s"/>
      <c r="J875" t="n">
        <v>0</v>
      </c>
      <c r="K875" t="n">
        <v>0</v>
      </c>
      <c r="L875" t="n">
        <v>1</v>
      </c>
      <c r="M875" t="n">
        <v>0</v>
      </c>
    </row>
    <row r="876" spans="1:13">
      <c r="A876" s="1">
        <f>HYPERLINK("http://www.twitter.com/NathanBLawrence/status/989921386582847488", "989921386582847488")</f>
        <v/>
      </c>
      <c r="B876" s="2" t="n">
        <v>43217.73408564815</v>
      </c>
      <c r="C876" t="n">
        <v>0</v>
      </c>
      <c r="D876" t="n">
        <v>4260</v>
      </c>
      <c r="E876" t="s">
        <v>886</v>
      </c>
      <c r="F876" t="s"/>
      <c r="G876" t="s"/>
      <c r="H876" t="s"/>
      <c r="I876" t="s"/>
      <c r="J876" t="n">
        <v>0</v>
      </c>
      <c r="K876" t="n">
        <v>0</v>
      </c>
      <c r="L876" t="n">
        <v>1</v>
      </c>
      <c r="M876" t="n">
        <v>0</v>
      </c>
    </row>
    <row r="877" spans="1:13">
      <c r="A877" s="1">
        <f>HYPERLINK("http://www.twitter.com/NathanBLawrence/status/989921352244056064", "989921352244056064")</f>
        <v/>
      </c>
      <c r="B877" s="2" t="n">
        <v>43217.73398148148</v>
      </c>
      <c r="C877" t="n">
        <v>0</v>
      </c>
      <c r="D877" t="n">
        <v>1567</v>
      </c>
      <c r="E877" t="s">
        <v>887</v>
      </c>
      <c r="F877">
        <f>HYPERLINK("http://pbs.twimg.com/media/Dby2s8FVMAA0Usl.jpg", "http://pbs.twimg.com/media/Dby2s8FVMAA0Usl.jpg")</f>
        <v/>
      </c>
      <c r="G877" t="s"/>
      <c r="H877" t="s"/>
      <c r="I877" t="s"/>
      <c r="J877" t="n">
        <v>-0.1531</v>
      </c>
      <c r="K877" t="n">
        <v>0.108</v>
      </c>
      <c r="L877" t="n">
        <v>0.804</v>
      </c>
      <c r="M877" t="n">
        <v>0.08699999999999999</v>
      </c>
    </row>
    <row r="878" spans="1:13">
      <c r="A878" s="1">
        <f>HYPERLINK("http://www.twitter.com/NathanBLawrence/status/989921300528312320", "989921300528312320")</f>
        <v/>
      </c>
      <c r="B878" s="2" t="n">
        <v>43217.73384259259</v>
      </c>
      <c r="C878" t="n">
        <v>0</v>
      </c>
      <c r="D878" t="n">
        <v>438</v>
      </c>
      <c r="E878" t="s">
        <v>888</v>
      </c>
      <c r="F878">
        <f>HYPERLINK("http://pbs.twimg.com/media/DbzlhKFW0AE9fvN.jpg", "http://pbs.twimg.com/media/DbzlhKFW0AE9fvN.jpg")</f>
        <v/>
      </c>
      <c r="G878" t="s"/>
      <c r="H878" t="s"/>
      <c r="I878" t="s"/>
      <c r="J878" t="n">
        <v>-0.4242</v>
      </c>
      <c r="K878" t="n">
        <v>0.241</v>
      </c>
      <c r="L878" t="n">
        <v>0.577</v>
      </c>
      <c r="M878" t="n">
        <v>0.183</v>
      </c>
    </row>
    <row r="879" spans="1:13">
      <c r="A879" s="1">
        <f>HYPERLINK("http://www.twitter.com/NathanBLawrence/status/989921225412505600", "989921225412505600")</f>
        <v/>
      </c>
      <c r="B879" s="2" t="n">
        <v>43217.73363425926</v>
      </c>
      <c r="C879" t="n">
        <v>0</v>
      </c>
      <c r="D879" t="n">
        <v>2038</v>
      </c>
      <c r="E879" t="s">
        <v>889</v>
      </c>
      <c r="F879">
        <f>HYPERLINK("http://pbs.twimg.com/media/DbzeaGIV4AEFfbB.jpg", "http://pbs.twimg.com/media/DbzeaGIV4AEFfbB.jpg")</f>
        <v/>
      </c>
      <c r="G879">
        <f>HYPERLINK("http://pbs.twimg.com/media/DbzeaGKV0AIUzJl.jpg", "http://pbs.twimg.com/media/DbzeaGKV0AIUzJl.jpg")</f>
        <v/>
      </c>
      <c r="H879">
        <f>HYPERLINK("http://pbs.twimg.com/media/DbzeaGOVQAI0KEF.jpg", "http://pbs.twimg.com/media/DbzeaGOVQAI0KEF.jpg")</f>
        <v/>
      </c>
      <c r="I879" t="s"/>
      <c r="J879" t="n">
        <v>0</v>
      </c>
      <c r="K879" t="n">
        <v>0</v>
      </c>
      <c r="L879" t="n">
        <v>1</v>
      </c>
      <c r="M879" t="n">
        <v>0</v>
      </c>
    </row>
    <row r="880" spans="1:13">
      <c r="A880" s="1">
        <f>HYPERLINK("http://www.twitter.com/NathanBLawrence/status/989781164536692736", "989781164536692736")</f>
        <v/>
      </c>
      <c r="B880" s="2" t="n">
        <v>43217.3471412037</v>
      </c>
      <c r="C880" t="n">
        <v>0</v>
      </c>
      <c r="D880" t="n">
        <v>108</v>
      </c>
      <c r="E880" t="s">
        <v>890</v>
      </c>
      <c r="F880">
        <f>HYPERLINK("http://pbs.twimg.com/media/DbtdW1fU8AACA9t.jpg", "http://pbs.twimg.com/media/DbtdW1fU8AACA9t.jpg")</f>
        <v/>
      </c>
      <c r="G880" t="s"/>
      <c r="H880" t="s"/>
      <c r="I880" t="s"/>
      <c r="J880" t="n">
        <v>0.8225</v>
      </c>
      <c r="K880" t="n">
        <v>0</v>
      </c>
      <c r="L880" t="n">
        <v>0.441</v>
      </c>
      <c r="M880" t="n">
        <v>0.5590000000000001</v>
      </c>
    </row>
    <row r="881" spans="1:13">
      <c r="A881" s="1">
        <f>HYPERLINK("http://www.twitter.com/NathanBLawrence/status/989780976405368832", "989780976405368832")</f>
        <v/>
      </c>
      <c r="B881" s="2" t="n">
        <v>43217.34662037037</v>
      </c>
      <c r="C881" t="n">
        <v>0</v>
      </c>
      <c r="D881" t="n">
        <v>19</v>
      </c>
      <c r="E881" t="s">
        <v>891</v>
      </c>
      <c r="F881">
        <f>HYPERLINK("http://pbs.twimg.com/media/DbxmqTmU8AMkEJY.jpg", "http://pbs.twimg.com/media/DbxmqTmU8AMkEJY.jpg")</f>
        <v/>
      </c>
      <c r="G881" t="s"/>
      <c r="H881" t="s"/>
      <c r="I881" t="s"/>
      <c r="J881" t="n">
        <v>0</v>
      </c>
      <c r="K881" t="n">
        <v>0</v>
      </c>
      <c r="L881" t="n">
        <v>1</v>
      </c>
      <c r="M881" t="n">
        <v>0</v>
      </c>
    </row>
    <row r="882" spans="1:13">
      <c r="A882" s="1">
        <f>HYPERLINK("http://www.twitter.com/NathanBLawrence/status/989780712235585536", "989780712235585536")</f>
        <v/>
      </c>
      <c r="B882" s="2" t="n">
        <v>43217.3458912037</v>
      </c>
      <c r="C882" t="n">
        <v>0</v>
      </c>
      <c r="D882" t="n">
        <v>529</v>
      </c>
      <c r="E882" t="s">
        <v>892</v>
      </c>
      <c r="F882">
        <f>HYPERLINK("http://pbs.twimg.com/media/DbwXxQKV4AI6OwO.jpg", "http://pbs.twimg.com/media/DbwXxQKV4AI6OwO.jpg")</f>
        <v/>
      </c>
      <c r="G882" t="s"/>
      <c r="H882" t="s"/>
      <c r="I882" t="s"/>
      <c r="J882" t="n">
        <v>0.7825</v>
      </c>
      <c r="K882" t="n">
        <v>0</v>
      </c>
      <c r="L882" t="n">
        <v>0.6860000000000001</v>
      </c>
      <c r="M882" t="n">
        <v>0.314</v>
      </c>
    </row>
    <row r="883" spans="1:13">
      <c r="A883" s="1">
        <f>HYPERLINK("http://www.twitter.com/NathanBLawrence/status/989780426276327424", "989780426276327424")</f>
        <v/>
      </c>
      <c r="B883" s="2" t="n">
        <v>43217.34510416666</v>
      </c>
      <c r="C883" t="n">
        <v>0</v>
      </c>
      <c r="D883" t="n">
        <v>105</v>
      </c>
      <c r="E883" t="s">
        <v>893</v>
      </c>
      <c r="F883">
        <f>HYPERLINK("http://pbs.twimg.com/media/DbRahahU8AAmXDX.jpg", "http://pbs.twimg.com/media/DbRahahU8AAmXDX.jpg")</f>
        <v/>
      </c>
      <c r="G883" t="s"/>
      <c r="H883" t="s"/>
      <c r="I883" t="s"/>
      <c r="J883" t="n">
        <v>0.6588000000000001</v>
      </c>
      <c r="K883" t="n">
        <v>0</v>
      </c>
      <c r="L883" t="n">
        <v>0.614</v>
      </c>
      <c r="M883" t="n">
        <v>0.386</v>
      </c>
    </row>
    <row r="884" spans="1:13">
      <c r="A884" s="1">
        <f>HYPERLINK("http://www.twitter.com/NathanBLawrence/status/989779951221002240", "989779951221002240")</f>
        <v/>
      </c>
      <c r="B884" s="2" t="n">
        <v>43217.3437962963</v>
      </c>
      <c r="C884" t="n">
        <v>0</v>
      </c>
      <c r="D884" t="n">
        <v>81</v>
      </c>
      <c r="E884" t="s">
        <v>894</v>
      </c>
      <c r="F884">
        <f>HYPERLINK("http://pbs.twimg.com/media/DbxQ1EDU8AAYmMV.jpg", "http://pbs.twimg.com/media/DbxQ1EDU8AAYmMV.jpg")</f>
        <v/>
      </c>
      <c r="G884" t="s"/>
      <c r="H884" t="s"/>
      <c r="I884" t="s"/>
      <c r="J884" t="n">
        <v>0.4738</v>
      </c>
      <c r="K884" t="n">
        <v>0</v>
      </c>
      <c r="L884" t="n">
        <v>0.854</v>
      </c>
      <c r="M884" t="n">
        <v>0.146</v>
      </c>
    </row>
    <row r="885" spans="1:13">
      <c r="A885" s="1">
        <f>HYPERLINK("http://www.twitter.com/NathanBLawrence/status/989778747371929600", "989778747371929600")</f>
        <v/>
      </c>
      <c r="B885" s="2" t="n">
        <v>43217.34047453704</v>
      </c>
      <c r="C885" t="n">
        <v>0</v>
      </c>
      <c r="D885" t="n">
        <v>1781</v>
      </c>
      <c r="E885" t="s">
        <v>895</v>
      </c>
      <c r="F885">
        <f>HYPERLINK("http://pbs.twimg.com/media/DbwurJcUQAAJEzM.jpg", "http://pbs.twimg.com/media/DbwurJcUQAAJEzM.jpg")</f>
        <v/>
      </c>
      <c r="G885" t="s"/>
      <c r="H885" t="s"/>
      <c r="I885" t="s"/>
      <c r="J885" t="n">
        <v>0</v>
      </c>
      <c r="K885" t="n">
        <v>0</v>
      </c>
      <c r="L885" t="n">
        <v>1</v>
      </c>
      <c r="M885" t="n">
        <v>0</v>
      </c>
    </row>
    <row r="886" spans="1:13">
      <c r="A886" s="1">
        <f>HYPERLINK("http://www.twitter.com/NathanBLawrence/status/989777913762361344", "989777913762361344")</f>
        <v/>
      </c>
      <c r="B886" s="2" t="n">
        <v>43217.33817129629</v>
      </c>
      <c r="C886" t="n">
        <v>0</v>
      </c>
      <c r="D886" t="n">
        <v>4085</v>
      </c>
      <c r="E886" t="s">
        <v>896</v>
      </c>
      <c r="F886">
        <f>HYPERLINK("http://pbs.twimg.com/media/DbwwqNAUQAU0evN.jpg", "http://pbs.twimg.com/media/DbwwqNAUQAU0evN.jpg")</f>
        <v/>
      </c>
      <c r="G886" t="s"/>
      <c r="H886" t="s"/>
      <c r="I886" t="s"/>
      <c r="J886" t="n">
        <v>0.5093</v>
      </c>
      <c r="K886" t="n">
        <v>0</v>
      </c>
      <c r="L886" t="n">
        <v>0.785</v>
      </c>
      <c r="M886" t="n">
        <v>0.215</v>
      </c>
    </row>
    <row r="887" spans="1:13">
      <c r="A887" s="1">
        <f>HYPERLINK("http://www.twitter.com/NathanBLawrence/status/989777505807618048", "989777505807618048")</f>
        <v/>
      </c>
      <c r="B887" s="2" t="n">
        <v>43217.33704861111</v>
      </c>
      <c r="C887" t="n">
        <v>0</v>
      </c>
      <c r="D887" t="n">
        <v>7</v>
      </c>
      <c r="E887" t="s">
        <v>897</v>
      </c>
      <c r="F887">
        <f>HYPERLINK("http://pbs.twimg.com/media/Dbxeg6cVAAA7uPg.jpg", "http://pbs.twimg.com/media/Dbxeg6cVAAA7uPg.jpg")</f>
        <v/>
      </c>
      <c r="G887" t="s"/>
      <c r="H887" t="s"/>
      <c r="I887" t="s"/>
      <c r="J887" t="n">
        <v>0.4939</v>
      </c>
      <c r="K887" t="n">
        <v>0</v>
      </c>
      <c r="L887" t="n">
        <v>0.84</v>
      </c>
      <c r="M887" t="n">
        <v>0.16</v>
      </c>
    </row>
    <row r="888" spans="1:13">
      <c r="A888" s="1">
        <f>HYPERLINK("http://www.twitter.com/NathanBLawrence/status/989777442268110848", "989777442268110848")</f>
        <v/>
      </c>
      <c r="B888" s="2" t="n">
        <v>43217.336875</v>
      </c>
      <c r="C888" t="n">
        <v>0</v>
      </c>
      <c r="D888" t="n">
        <v>512</v>
      </c>
      <c r="E888" t="s">
        <v>898</v>
      </c>
      <c r="F888">
        <f>HYPERLINK("http://pbs.twimg.com/media/DbtQeyzX4AUBdGr.jpg", "http://pbs.twimg.com/media/DbtQeyzX4AUBdGr.jpg")</f>
        <v/>
      </c>
      <c r="G888" t="s"/>
      <c r="H888" t="s"/>
      <c r="I888" t="s"/>
      <c r="J888" t="n">
        <v>0.7554999999999999</v>
      </c>
      <c r="K888" t="n">
        <v>0</v>
      </c>
      <c r="L888" t="n">
        <v>0.756</v>
      </c>
      <c r="M888" t="n">
        <v>0.244</v>
      </c>
    </row>
    <row r="889" spans="1:13">
      <c r="A889" s="1">
        <f>HYPERLINK("http://www.twitter.com/NathanBLawrence/status/989777189213106176", "989777189213106176")</f>
        <v/>
      </c>
      <c r="B889" s="2" t="n">
        <v>43217.33616898148</v>
      </c>
      <c r="C889" t="n">
        <v>0</v>
      </c>
      <c r="D889" t="n">
        <v>324</v>
      </c>
      <c r="E889" t="s">
        <v>899</v>
      </c>
      <c r="F889">
        <f>HYPERLINK("http://pbs.twimg.com/media/Dbv-3K7UQAAZhxb.jpg", "http://pbs.twimg.com/media/Dbv-3K7UQAAZhxb.jpg")</f>
        <v/>
      </c>
      <c r="G889" t="s"/>
      <c r="H889" t="s"/>
      <c r="I889" t="s"/>
      <c r="J889" t="n">
        <v>0</v>
      </c>
      <c r="K889" t="n">
        <v>0</v>
      </c>
      <c r="L889" t="n">
        <v>1</v>
      </c>
      <c r="M889" t="n">
        <v>0</v>
      </c>
    </row>
    <row r="890" spans="1:13">
      <c r="A890" s="1">
        <f>HYPERLINK("http://www.twitter.com/NathanBLawrence/status/989767882895572996", "989767882895572996")</f>
        <v/>
      </c>
      <c r="B890" s="2" t="n">
        <v>43217.31048611111</v>
      </c>
      <c r="C890" t="n">
        <v>0</v>
      </c>
      <c r="D890" t="n">
        <v>6</v>
      </c>
      <c r="E890" t="s">
        <v>900</v>
      </c>
      <c r="F890">
        <f>HYPERLINK("http://pbs.twimg.com/media/DaRXXqCWkAAVTGE.jpg", "http://pbs.twimg.com/media/DaRXXqCWkAAVTGE.jpg")</f>
        <v/>
      </c>
      <c r="G890" t="s"/>
      <c r="H890" t="s"/>
      <c r="I890" t="s"/>
      <c r="J890" t="n">
        <v>0</v>
      </c>
      <c r="K890" t="n">
        <v>0</v>
      </c>
      <c r="L890" t="n">
        <v>1</v>
      </c>
      <c r="M890" t="n">
        <v>0</v>
      </c>
    </row>
    <row r="891" spans="1:13">
      <c r="A891" s="1">
        <f>HYPERLINK("http://www.twitter.com/NathanBLawrence/status/989767676141621249", "989767676141621249")</f>
        <v/>
      </c>
      <c r="B891" s="2" t="n">
        <v>43217.30991898148</v>
      </c>
      <c r="C891" t="n">
        <v>0</v>
      </c>
      <c r="D891" t="n">
        <v>6</v>
      </c>
      <c r="E891" t="s">
        <v>901</v>
      </c>
      <c r="F891">
        <f>HYPERLINK("http://pbs.twimg.com/media/DaKMXgGVMAAaTbi.jpg", "http://pbs.twimg.com/media/DaKMXgGVMAAaTbi.jpg")</f>
        <v/>
      </c>
      <c r="G891" t="s"/>
      <c r="H891" t="s"/>
      <c r="I891" t="s"/>
      <c r="J891" t="n">
        <v>0</v>
      </c>
      <c r="K891" t="n">
        <v>0</v>
      </c>
      <c r="L891" t="n">
        <v>1</v>
      </c>
      <c r="M891" t="n">
        <v>0</v>
      </c>
    </row>
    <row r="892" spans="1:13">
      <c r="A892" s="1">
        <f>HYPERLINK("http://www.twitter.com/NathanBLawrence/status/989766154620059648", "989766154620059648")</f>
        <v/>
      </c>
      <c r="B892" s="2" t="n">
        <v>43217.30571759259</v>
      </c>
      <c r="C892" t="n">
        <v>0</v>
      </c>
      <c r="D892" t="n">
        <v>5</v>
      </c>
      <c r="E892" t="s">
        <v>902</v>
      </c>
      <c r="F892" t="s"/>
      <c r="G892" t="s"/>
      <c r="H892" t="s"/>
      <c r="I892" t="s"/>
      <c r="J892" t="n">
        <v>-0.296</v>
      </c>
      <c r="K892" t="n">
        <v>0.155</v>
      </c>
      <c r="L892" t="n">
        <v>0.845</v>
      </c>
      <c r="M892" t="n">
        <v>0</v>
      </c>
    </row>
    <row r="893" spans="1:13">
      <c r="A893" s="1">
        <f>HYPERLINK("http://www.twitter.com/NathanBLawrence/status/989766083572781057", "989766083572781057")</f>
        <v/>
      </c>
      <c r="B893" s="2" t="n">
        <v>43217.30552083333</v>
      </c>
      <c r="C893" t="n">
        <v>0</v>
      </c>
      <c r="D893" t="n">
        <v>2261</v>
      </c>
      <c r="E893" t="s">
        <v>903</v>
      </c>
      <c r="F893">
        <f>HYPERLINK("https://video.twimg.com/ext_tw_video/989663508357726209/pu/vid/1280x720/8QWenI-y42QlPxGA.mp4?tag=3", "https://video.twimg.com/ext_tw_video/989663508357726209/pu/vid/1280x720/8QWenI-y42QlPxGA.mp4?tag=3")</f>
        <v/>
      </c>
      <c r="G893" t="s"/>
      <c r="H893" t="s"/>
      <c r="I893" t="s"/>
      <c r="J893" t="n">
        <v>-0.1027</v>
      </c>
      <c r="K893" t="n">
        <v>0.057</v>
      </c>
      <c r="L893" t="n">
        <v>0.9429999999999999</v>
      </c>
      <c r="M893" t="n">
        <v>0</v>
      </c>
    </row>
    <row r="894" spans="1:13">
      <c r="A894" s="1">
        <f>HYPERLINK("http://www.twitter.com/NathanBLawrence/status/989766018389037057", "989766018389037057")</f>
        <v/>
      </c>
      <c r="B894" s="2" t="n">
        <v>43217.30534722222</v>
      </c>
      <c r="C894" t="n">
        <v>0</v>
      </c>
      <c r="D894" t="n">
        <v>342</v>
      </c>
      <c r="E894" t="s">
        <v>904</v>
      </c>
      <c r="F894">
        <f>HYPERLINK("http://pbs.twimg.com/media/DbxVFrzVQAACYLO.jpg", "http://pbs.twimg.com/media/DbxVFrzVQAACYLO.jpg")</f>
        <v/>
      </c>
      <c r="G894" t="s"/>
      <c r="H894" t="s"/>
      <c r="I894" t="s"/>
      <c r="J894" t="n">
        <v>-0.0516</v>
      </c>
      <c r="K894" t="n">
        <v>0.101</v>
      </c>
      <c r="L894" t="n">
        <v>0.806</v>
      </c>
      <c r="M894" t="n">
        <v>0.093</v>
      </c>
    </row>
    <row r="895" spans="1:13">
      <c r="A895" s="1">
        <f>HYPERLINK("http://www.twitter.com/NathanBLawrence/status/989765594051330048", "989765594051330048")</f>
        <v/>
      </c>
      <c r="B895" s="2" t="n">
        <v>43217.30417824074</v>
      </c>
      <c r="C895" t="n">
        <v>0</v>
      </c>
      <c r="D895" t="n">
        <v>1551</v>
      </c>
      <c r="E895" t="s">
        <v>905</v>
      </c>
      <c r="F895">
        <f>HYPERLINK("https://video.twimg.com/amplify_video/989638716003143680/vid/640x360/yboRZQN-jP5ybLna.mp4?tag=2", "https://video.twimg.com/amplify_video/989638716003143680/vid/640x360/yboRZQN-jP5ybLna.mp4?tag=2")</f>
        <v/>
      </c>
      <c r="G895" t="s"/>
      <c r="H895" t="s"/>
      <c r="I895" t="s"/>
      <c r="J895" t="n">
        <v>-0.2247</v>
      </c>
      <c r="K895" t="n">
        <v>0.155</v>
      </c>
      <c r="L895" t="n">
        <v>0.727</v>
      </c>
      <c r="M895" t="n">
        <v>0.118</v>
      </c>
    </row>
    <row r="896" spans="1:13">
      <c r="A896" s="1">
        <f>HYPERLINK("http://www.twitter.com/NathanBLawrence/status/989765362324389888", "989765362324389888")</f>
        <v/>
      </c>
      <c r="B896" s="2" t="n">
        <v>43217.30353009259</v>
      </c>
      <c r="C896" t="n">
        <v>0</v>
      </c>
      <c r="D896" t="n">
        <v>211</v>
      </c>
      <c r="E896" t="s">
        <v>906</v>
      </c>
      <c r="F896">
        <f>HYPERLINK("http://pbs.twimg.com/media/DbwVaKzVMAAqSXJ.jpg", "http://pbs.twimg.com/media/DbwVaKzVMAAqSXJ.jpg")</f>
        <v/>
      </c>
      <c r="G896" t="s"/>
      <c r="H896" t="s"/>
      <c r="I896" t="s"/>
      <c r="J896" t="n">
        <v>0</v>
      </c>
      <c r="K896" t="n">
        <v>0</v>
      </c>
      <c r="L896" t="n">
        <v>1</v>
      </c>
      <c r="M896" t="n">
        <v>0</v>
      </c>
    </row>
    <row r="897" spans="1:13">
      <c r="A897" s="1">
        <f>HYPERLINK("http://www.twitter.com/NathanBLawrence/status/989765043087491073", "989765043087491073")</f>
        <v/>
      </c>
      <c r="B897" s="2" t="n">
        <v>43217.30265046296</v>
      </c>
      <c r="C897" t="n">
        <v>0</v>
      </c>
      <c r="D897" t="n">
        <v>648</v>
      </c>
      <c r="E897" t="s">
        <v>907</v>
      </c>
      <c r="F897">
        <f>HYPERLINK("http://pbs.twimg.com/media/DbwePYgUQAAEfH1.jpg", "http://pbs.twimg.com/media/DbwePYgUQAAEfH1.jpg")</f>
        <v/>
      </c>
      <c r="G897" t="s"/>
      <c r="H897" t="s"/>
      <c r="I897" t="s"/>
      <c r="J897" t="n">
        <v>0.516</v>
      </c>
      <c r="K897" t="n">
        <v>0</v>
      </c>
      <c r="L897" t="n">
        <v>0.829</v>
      </c>
      <c r="M897" t="n">
        <v>0.171</v>
      </c>
    </row>
    <row r="898" spans="1:13">
      <c r="A898" s="1">
        <f>HYPERLINK("http://www.twitter.com/NathanBLawrence/status/989764924439117824", "989764924439117824")</f>
        <v/>
      </c>
      <c r="B898" s="2" t="n">
        <v>43217.30232638889</v>
      </c>
      <c r="C898" t="n">
        <v>0</v>
      </c>
      <c r="D898" t="n">
        <v>31</v>
      </c>
      <c r="E898" t="s">
        <v>908</v>
      </c>
      <c r="F898" t="s"/>
      <c r="G898" t="s"/>
      <c r="H898" t="s"/>
      <c r="I898" t="s"/>
      <c r="J898" t="n">
        <v>-0.0343</v>
      </c>
      <c r="K898" t="n">
        <v>0.219</v>
      </c>
      <c r="L898" t="n">
        <v>0.5659999999999999</v>
      </c>
      <c r="M898" t="n">
        <v>0.215</v>
      </c>
    </row>
    <row r="899" spans="1:13">
      <c r="A899" s="1">
        <f>HYPERLINK("http://www.twitter.com/NathanBLawrence/status/989764589351944193", "989764589351944193")</f>
        <v/>
      </c>
      <c r="B899" s="2" t="n">
        <v>43217.30140046297</v>
      </c>
      <c r="C899" t="n">
        <v>0</v>
      </c>
      <c r="D899" t="n">
        <v>74</v>
      </c>
      <c r="E899" t="s">
        <v>909</v>
      </c>
      <c r="F899">
        <f>HYPERLINK("http://pbs.twimg.com/media/Dbw4EfZVwAAJBK4.jpg", "http://pbs.twimg.com/media/Dbw4EfZVwAAJBK4.jpg")</f>
        <v/>
      </c>
      <c r="G899" t="s"/>
      <c r="H899" t="s"/>
      <c r="I899" t="s"/>
      <c r="J899" t="n">
        <v>0.0516</v>
      </c>
      <c r="K899" t="n">
        <v>0.105</v>
      </c>
      <c r="L899" t="n">
        <v>0.781</v>
      </c>
      <c r="M899" t="n">
        <v>0.113</v>
      </c>
    </row>
    <row r="900" spans="1:13">
      <c r="A900" s="1">
        <f>HYPERLINK("http://www.twitter.com/NathanBLawrence/status/989752444992155649", "989752444992155649")</f>
        <v/>
      </c>
      <c r="B900" s="2" t="n">
        <v>43217.26789351852</v>
      </c>
      <c r="C900" t="n">
        <v>0</v>
      </c>
      <c r="D900" t="n">
        <v>38</v>
      </c>
      <c r="E900" t="s">
        <v>910</v>
      </c>
      <c r="F900" t="s"/>
      <c r="G900" t="s"/>
      <c r="H900" t="s"/>
      <c r="I900" t="s"/>
      <c r="J900" t="n">
        <v>0</v>
      </c>
      <c r="K900" t="n">
        <v>0</v>
      </c>
      <c r="L900" t="n">
        <v>1</v>
      </c>
      <c r="M900" t="n">
        <v>0</v>
      </c>
    </row>
    <row r="901" spans="1:13">
      <c r="A901" s="1">
        <f>HYPERLINK("http://www.twitter.com/NathanBLawrence/status/989749049493372928", "989749049493372928")</f>
        <v/>
      </c>
      <c r="B901" s="2" t="n">
        <v>43217.25851851852</v>
      </c>
      <c r="C901" t="n">
        <v>0</v>
      </c>
      <c r="D901" t="n">
        <v>176</v>
      </c>
      <c r="E901" t="s">
        <v>911</v>
      </c>
      <c r="F901">
        <f>HYPERLINK("http://pbs.twimg.com/media/DbpXN0OUQAEgg8B.jpg", "http://pbs.twimg.com/media/DbpXN0OUQAEgg8B.jpg")</f>
        <v/>
      </c>
      <c r="G901" t="s"/>
      <c r="H901" t="s"/>
      <c r="I901" t="s"/>
      <c r="J901" t="n">
        <v>0</v>
      </c>
      <c r="K901" t="n">
        <v>0</v>
      </c>
      <c r="L901" t="n">
        <v>1</v>
      </c>
      <c r="M901" t="n">
        <v>0</v>
      </c>
    </row>
    <row r="902" spans="1:13">
      <c r="A902" s="1">
        <f>HYPERLINK("http://www.twitter.com/NathanBLawrence/status/989748103703019522", "989748103703019522")</f>
        <v/>
      </c>
      <c r="B902" s="2" t="n">
        <v>43217.25591435185</v>
      </c>
      <c r="C902" t="n">
        <v>0</v>
      </c>
      <c r="D902" t="n">
        <v>4060</v>
      </c>
      <c r="E902" t="s">
        <v>912</v>
      </c>
      <c r="F902">
        <f>HYPERLINK("https://video.twimg.com/amplify_video/989683184827863045/vid/1280x720/FKTifUETWDwzJ_Ea.mp4?tag=2", "https://video.twimg.com/amplify_video/989683184827863045/vid/1280x720/FKTifUETWDwzJ_Ea.mp4?tag=2")</f>
        <v/>
      </c>
      <c r="G902" t="s"/>
      <c r="H902" t="s"/>
      <c r="I902" t="s"/>
      <c r="J902" t="n">
        <v>-0.5994</v>
      </c>
      <c r="K902" t="n">
        <v>0.157</v>
      </c>
      <c r="L902" t="n">
        <v>0.843</v>
      </c>
      <c r="M902" t="n">
        <v>0</v>
      </c>
    </row>
    <row r="903" spans="1:13">
      <c r="A903" s="1">
        <f>HYPERLINK("http://www.twitter.com/NathanBLawrence/status/989748043850248194", "989748043850248194")</f>
        <v/>
      </c>
      <c r="B903" s="2" t="n">
        <v>43217.25574074074</v>
      </c>
      <c r="C903" t="n">
        <v>0</v>
      </c>
      <c r="D903" t="n">
        <v>270</v>
      </c>
      <c r="E903" t="s">
        <v>913</v>
      </c>
      <c r="F903" t="s"/>
      <c r="G903" t="s"/>
      <c r="H903" t="s"/>
      <c r="I903" t="s"/>
      <c r="J903" t="n">
        <v>0.1007</v>
      </c>
      <c r="K903" t="n">
        <v>0.124</v>
      </c>
      <c r="L903" t="n">
        <v>0.738</v>
      </c>
      <c r="M903" t="n">
        <v>0.137</v>
      </c>
    </row>
    <row r="904" spans="1:13">
      <c r="A904" s="1">
        <f>HYPERLINK("http://www.twitter.com/NathanBLawrence/status/989747980004544524", "989747980004544524")</f>
        <v/>
      </c>
      <c r="B904" s="2" t="n">
        <v>43217.25556712963</v>
      </c>
      <c r="C904" t="n">
        <v>0</v>
      </c>
      <c r="D904" t="n">
        <v>3995</v>
      </c>
      <c r="E904" t="s">
        <v>914</v>
      </c>
      <c r="F904">
        <f>HYPERLINK("http://pbs.twimg.com/media/DbrgbWlUQAAVLXG.jpg", "http://pbs.twimg.com/media/DbrgbWlUQAAVLXG.jpg")</f>
        <v/>
      </c>
      <c r="G904">
        <f>HYPERLINK("http://pbs.twimg.com/media/DbrgbWsU0AAQok2.jpg", "http://pbs.twimg.com/media/DbrgbWsU0AAQok2.jpg")</f>
        <v/>
      </c>
      <c r="H904" t="s"/>
      <c r="I904" t="s"/>
      <c r="J904" t="n">
        <v>-0.2732</v>
      </c>
      <c r="K904" t="n">
        <v>0.196</v>
      </c>
      <c r="L904" t="n">
        <v>0.694</v>
      </c>
      <c r="M904" t="n">
        <v>0.11</v>
      </c>
    </row>
    <row r="905" spans="1:13">
      <c r="A905" s="1">
        <f>HYPERLINK("http://www.twitter.com/NathanBLawrence/status/989747745769472000", "989747745769472000")</f>
        <v/>
      </c>
      <c r="B905" s="2" t="n">
        <v>43217.25491898148</v>
      </c>
      <c r="C905" t="n">
        <v>0</v>
      </c>
      <c r="D905" t="n">
        <v>5</v>
      </c>
      <c r="E905" t="s">
        <v>915</v>
      </c>
      <c r="F905">
        <f>HYPERLINK("http://pbs.twimg.com/media/DbxIuAuUQAASi3Y.jpg", "http://pbs.twimg.com/media/DbxIuAuUQAASi3Y.jpg")</f>
        <v/>
      </c>
      <c r="G905" t="s"/>
      <c r="H905" t="s"/>
      <c r="I905" t="s"/>
      <c r="J905" t="n">
        <v>0.3164</v>
      </c>
      <c r="K905" t="n">
        <v>0</v>
      </c>
      <c r="L905" t="n">
        <v>0.897</v>
      </c>
      <c r="M905" t="n">
        <v>0.103</v>
      </c>
    </row>
    <row r="906" spans="1:13">
      <c r="A906" s="1">
        <f>HYPERLINK("http://www.twitter.com/NathanBLawrence/status/989747456807071745", "989747456807071745")</f>
        <v/>
      </c>
      <c r="B906" s="2" t="n">
        <v>43217.25412037037</v>
      </c>
      <c r="C906" t="n">
        <v>0</v>
      </c>
      <c r="D906" t="n">
        <v>11</v>
      </c>
      <c r="E906" t="s">
        <v>916</v>
      </c>
      <c r="F906" t="s"/>
      <c r="G906" t="s"/>
      <c r="H906" t="s"/>
      <c r="I906" t="s"/>
      <c r="J906" t="n">
        <v>0.1406</v>
      </c>
      <c r="K906" t="n">
        <v>0.059</v>
      </c>
      <c r="L906" t="n">
        <v>0.8179999999999999</v>
      </c>
      <c r="M906" t="n">
        <v>0.123</v>
      </c>
    </row>
    <row r="907" spans="1:13">
      <c r="A907" s="1">
        <f>HYPERLINK("http://www.twitter.com/NathanBLawrence/status/989745975819304960", "989745975819304960")</f>
        <v/>
      </c>
      <c r="B907" s="2" t="n">
        <v>43217.25003472222</v>
      </c>
      <c r="C907" t="n">
        <v>0</v>
      </c>
      <c r="D907" t="n">
        <v>881</v>
      </c>
      <c r="E907" t="s">
        <v>917</v>
      </c>
      <c r="F907" t="s"/>
      <c r="G907" t="s"/>
      <c r="H907" t="s"/>
      <c r="I907" t="s"/>
      <c r="J907" t="n">
        <v>-0.6841</v>
      </c>
      <c r="K907" t="n">
        <v>0.212</v>
      </c>
      <c r="L907" t="n">
        <v>0.788</v>
      </c>
      <c r="M907" t="n">
        <v>0</v>
      </c>
    </row>
    <row r="908" spans="1:13">
      <c r="A908" s="1">
        <f>HYPERLINK("http://www.twitter.com/NathanBLawrence/status/989745873218289664", "989745873218289664")</f>
        <v/>
      </c>
      <c r="B908" s="2" t="n">
        <v>43217.24975694445</v>
      </c>
      <c r="C908" t="n">
        <v>0</v>
      </c>
      <c r="D908" t="n">
        <v>536</v>
      </c>
      <c r="E908" t="s">
        <v>918</v>
      </c>
      <c r="F908">
        <f>HYPERLINK("http://pbs.twimg.com/media/DbwX9t_W4AAH97g.jpg", "http://pbs.twimg.com/media/DbwX9t_W4AAH97g.jpg")</f>
        <v/>
      </c>
      <c r="G908" t="s"/>
      <c r="H908" t="s"/>
      <c r="I908" t="s"/>
      <c r="J908" t="n">
        <v>-0.0516</v>
      </c>
      <c r="K908" t="n">
        <v>0.402</v>
      </c>
      <c r="L908" t="n">
        <v>0.288</v>
      </c>
      <c r="M908" t="n">
        <v>0.31</v>
      </c>
    </row>
    <row r="909" spans="1:13">
      <c r="A909" s="1">
        <f>HYPERLINK("http://www.twitter.com/NathanBLawrence/status/989745649674407937", "989745649674407937")</f>
        <v/>
      </c>
      <c r="B909" s="2" t="n">
        <v>43217.24914351852</v>
      </c>
      <c r="C909" t="n">
        <v>0</v>
      </c>
      <c r="D909" t="n">
        <v>7743</v>
      </c>
      <c r="E909" t="s">
        <v>919</v>
      </c>
      <c r="F909" t="s"/>
      <c r="G909" t="s"/>
      <c r="H909" t="s"/>
      <c r="I909" t="s"/>
      <c r="J909" t="n">
        <v>0.8316</v>
      </c>
      <c r="K909" t="n">
        <v>0.08699999999999999</v>
      </c>
      <c r="L909" t="n">
        <v>0.577</v>
      </c>
      <c r="M909" t="n">
        <v>0.337</v>
      </c>
    </row>
    <row r="910" spans="1:13">
      <c r="A910" s="1">
        <f>HYPERLINK("http://www.twitter.com/NathanBLawrence/status/989745490995462145", "989745490995462145")</f>
        <v/>
      </c>
      <c r="B910" s="2" t="n">
        <v>43217.24870370371</v>
      </c>
      <c r="C910" t="n">
        <v>0</v>
      </c>
      <c r="D910" t="n">
        <v>3179</v>
      </c>
      <c r="E910" t="s">
        <v>920</v>
      </c>
      <c r="F910" t="s"/>
      <c r="G910" t="s"/>
      <c r="H910" t="s"/>
      <c r="I910" t="s"/>
      <c r="J910" t="n">
        <v>0.4215</v>
      </c>
      <c r="K910" t="n">
        <v>0</v>
      </c>
      <c r="L910" t="n">
        <v>0.865</v>
      </c>
      <c r="M910" t="n">
        <v>0.135</v>
      </c>
    </row>
    <row r="911" spans="1:13">
      <c r="A911" s="1">
        <f>HYPERLINK("http://www.twitter.com/NathanBLawrence/status/989745413526728704", "989745413526728704")</f>
        <v/>
      </c>
      <c r="B911" s="2" t="n">
        <v>43217.2484837963</v>
      </c>
      <c r="C911" t="n">
        <v>0</v>
      </c>
      <c r="D911" t="n">
        <v>16</v>
      </c>
      <c r="E911" t="s">
        <v>921</v>
      </c>
      <c r="F911" t="s"/>
      <c r="G911" t="s"/>
      <c r="H911" t="s"/>
      <c r="I911" t="s"/>
      <c r="J911" t="n">
        <v>-0.3818</v>
      </c>
      <c r="K911" t="n">
        <v>0.27</v>
      </c>
      <c r="L911" t="n">
        <v>0.588</v>
      </c>
      <c r="M911" t="n">
        <v>0.142</v>
      </c>
    </row>
    <row r="912" spans="1:13">
      <c r="A912" s="1">
        <f>HYPERLINK("http://www.twitter.com/NathanBLawrence/status/989744651618795521", "989744651618795521")</f>
        <v/>
      </c>
      <c r="B912" s="2" t="n">
        <v>43217.24638888889</v>
      </c>
      <c r="C912" t="n">
        <v>0</v>
      </c>
      <c r="D912" t="n">
        <v>178</v>
      </c>
      <c r="E912" t="s">
        <v>922</v>
      </c>
      <c r="F912">
        <f>HYPERLINK("http://pbs.twimg.com/media/DbxFWqsU0AATTzH.jpg", "http://pbs.twimg.com/media/DbxFWqsU0AATTzH.jpg")</f>
        <v/>
      </c>
      <c r="G912" t="s"/>
      <c r="H912" t="s"/>
      <c r="I912" t="s"/>
      <c r="J912" t="n">
        <v>0.9112</v>
      </c>
      <c r="K912" t="n">
        <v>0</v>
      </c>
      <c r="L912" t="n">
        <v>0.634</v>
      </c>
      <c r="M912" t="n">
        <v>0.366</v>
      </c>
    </row>
    <row r="913" spans="1:13">
      <c r="A913" s="1">
        <f>HYPERLINK("http://www.twitter.com/NathanBLawrence/status/989744529543643136", "989744529543643136")</f>
        <v/>
      </c>
      <c r="B913" s="2" t="n">
        <v>43217.24605324074</v>
      </c>
      <c r="C913" t="n">
        <v>0</v>
      </c>
      <c r="D913" t="n">
        <v>9819</v>
      </c>
      <c r="E913" t="s">
        <v>923</v>
      </c>
      <c r="F913" t="s"/>
      <c r="G913" t="s"/>
      <c r="H913" t="s"/>
      <c r="I913" t="s"/>
      <c r="J913" t="n">
        <v>-0.7783</v>
      </c>
      <c r="K913" t="n">
        <v>0.254</v>
      </c>
      <c r="L913" t="n">
        <v>0.746</v>
      </c>
      <c r="M913" t="n">
        <v>0</v>
      </c>
    </row>
    <row r="914" spans="1:13">
      <c r="A914" s="1">
        <f>HYPERLINK("http://www.twitter.com/NathanBLawrence/status/989743139408637953", "989743139408637953")</f>
        <v/>
      </c>
      <c r="B914" s="2" t="n">
        <v>43217.24221064815</v>
      </c>
      <c r="C914" t="n">
        <v>0</v>
      </c>
      <c r="D914" t="n">
        <v>302</v>
      </c>
      <c r="E914" t="s">
        <v>924</v>
      </c>
      <c r="F914" t="s"/>
      <c r="G914" t="s"/>
      <c r="H914" t="s"/>
      <c r="I914" t="s"/>
      <c r="J914" t="n">
        <v>0.7177</v>
      </c>
      <c r="K914" t="n">
        <v>0</v>
      </c>
      <c r="L914" t="n">
        <v>0.334</v>
      </c>
      <c r="M914" t="n">
        <v>0.666</v>
      </c>
    </row>
    <row r="915" spans="1:13">
      <c r="A915" s="1">
        <f>HYPERLINK("http://www.twitter.com/NathanBLawrence/status/989743002967883776", "989743002967883776")</f>
        <v/>
      </c>
      <c r="B915" s="2" t="n">
        <v>43217.24184027778</v>
      </c>
      <c r="C915" t="n">
        <v>0</v>
      </c>
      <c r="D915" t="n">
        <v>2401</v>
      </c>
      <c r="E915" t="s">
        <v>925</v>
      </c>
      <c r="F915" t="s"/>
      <c r="G915" t="s"/>
      <c r="H915" t="s"/>
      <c r="I915" t="s"/>
      <c r="J915" t="n">
        <v>0</v>
      </c>
      <c r="K915" t="n">
        <v>0</v>
      </c>
      <c r="L915" t="n">
        <v>1</v>
      </c>
      <c r="M915" t="n">
        <v>0</v>
      </c>
    </row>
    <row r="916" spans="1:13">
      <c r="A916" s="1">
        <f>HYPERLINK("http://www.twitter.com/NathanBLawrence/status/989742318998573057", "989742318998573057")</f>
        <v/>
      </c>
      <c r="B916" s="2" t="n">
        <v>43217.23995370371</v>
      </c>
      <c r="C916" t="n">
        <v>0</v>
      </c>
      <c r="D916" t="n">
        <v>1739</v>
      </c>
      <c r="E916" t="s">
        <v>926</v>
      </c>
      <c r="F916">
        <f>HYPERLINK("https://video.twimg.com/ext_tw_video/989668440787963905/pu/vid/1280x720/5eXMz72voTF_8LqS.mp4?tag=3", "https://video.twimg.com/ext_tw_video/989668440787963905/pu/vid/1280x720/5eXMz72voTF_8LqS.mp4?tag=3")</f>
        <v/>
      </c>
      <c r="G916" t="s"/>
      <c r="H916" t="s"/>
      <c r="I916" t="s"/>
      <c r="J916" t="n">
        <v>0</v>
      </c>
      <c r="K916" t="n">
        <v>0</v>
      </c>
      <c r="L916" t="n">
        <v>1</v>
      </c>
      <c r="M916" t="n">
        <v>0</v>
      </c>
    </row>
    <row r="917" spans="1:13">
      <c r="A917" s="1">
        <f>HYPERLINK("http://www.twitter.com/NathanBLawrence/status/989742206176002048", "989742206176002048")</f>
        <v/>
      </c>
      <c r="B917" s="2" t="n">
        <v>43217.23964120371</v>
      </c>
      <c r="C917" t="n">
        <v>0</v>
      </c>
      <c r="D917" t="n">
        <v>110</v>
      </c>
      <c r="E917" t="s">
        <v>927</v>
      </c>
      <c r="F917">
        <f>HYPERLINK("http://pbs.twimg.com/media/DbwYMRrW0AENZ1g.jpg", "http://pbs.twimg.com/media/DbwYMRrW0AENZ1g.jpg")</f>
        <v/>
      </c>
      <c r="G917" t="s"/>
      <c r="H917" t="s"/>
      <c r="I917" t="s"/>
      <c r="J917" t="n">
        <v>-0.5719</v>
      </c>
      <c r="K917" t="n">
        <v>0.176</v>
      </c>
      <c r="L917" t="n">
        <v>0.824</v>
      </c>
      <c r="M917" t="n">
        <v>0</v>
      </c>
    </row>
    <row r="918" spans="1:13">
      <c r="A918" s="1">
        <f>HYPERLINK("http://www.twitter.com/NathanBLawrence/status/989742137448153088", "989742137448153088")</f>
        <v/>
      </c>
      <c r="B918" s="2" t="n">
        <v>43217.23944444444</v>
      </c>
      <c r="C918" t="n">
        <v>0</v>
      </c>
      <c r="D918" t="n">
        <v>7140</v>
      </c>
      <c r="E918" t="s">
        <v>928</v>
      </c>
      <c r="F918">
        <f>HYPERLINK("http://pbs.twimg.com/media/Dbwr4fQVAAAZuB5.jpg", "http://pbs.twimg.com/media/Dbwr4fQVAAAZuB5.jpg")</f>
        <v/>
      </c>
      <c r="G918" t="s"/>
      <c r="H918" t="s"/>
      <c r="I918" t="s"/>
      <c r="J918" t="n">
        <v>-0.5859</v>
      </c>
      <c r="K918" t="n">
        <v>0.23</v>
      </c>
      <c r="L918" t="n">
        <v>0.638</v>
      </c>
      <c r="M918" t="n">
        <v>0.131</v>
      </c>
    </row>
    <row r="919" spans="1:13">
      <c r="A919" s="1">
        <f>HYPERLINK("http://www.twitter.com/NathanBLawrence/status/989742073040355329", "989742073040355329")</f>
        <v/>
      </c>
      <c r="B919" s="2" t="n">
        <v>43217.23927083334</v>
      </c>
      <c r="C919" t="n">
        <v>0</v>
      </c>
      <c r="D919" t="n">
        <v>2761</v>
      </c>
      <c r="E919" t="s">
        <v>929</v>
      </c>
      <c r="F919" t="s"/>
      <c r="G919" t="s"/>
      <c r="H919" t="s"/>
      <c r="I919" t="s"/>
      <c r="J919" t="n">
        <v>-0.4071</v>
      </c>
      <c r="K919" t="n">
        <v>0.187</v>
      </c>
      <c r="L919" t="n">
        <v>0.6889999999999999</v>
      </c>
      <c r="M919" t="n">
        <v>0.124</v>
      </c>
    </row>
    <row r="920" spans="1:13">
      <c r="A920" s="1">
        <f>HYPERLINK("http://www.twitter.com/NathanBLawrence/status/989741810103631872", "989741810103631872")</f>
        <v/>
      </c>
      <c r="B920" s="2" t="n">
        <v>43217.23854166667</v>
      </c>
      <c r="C920" t="n">
        <v>0</v>
      </c>
      <c r="D920" t="n">
        <v>4176</v>
      </c>
      <c r="E920" t="s">
        <v>930</v>
      </c>
      <c r="F920">
        <f>HYPERLINK("http://pbs.twimg.com/media/Dbwox7NUQAEsFJO.jpg", "http://pbs.twimg.com/media/Dbwox7NUQAEsFJO.jpg")</f>
        <v/>
      </c>
      <c r="G920" t="s"/>
      <c r="H920" t="s"/>
      <c r="I920" t="s"/>
      <c r="J920" t="n">
        <v>0.4767</v>
      </c>
      <c r="K920" t="n">
        <v>0.05</v>
      </c>
      <c r="L920" t="n">
        <v>0.824</v>
      </c>
      <c r="M920" t="n">
        <v>0.125</v>
      </c>
    </row>
    <row r="921" spans="1:13">
      <c r="A921" s="1">
        <f>HYPERLINK("http://www.twitter.com/NathanBLawrence/status/989741717942239232", "989741717942239232")</f>
        <v/>
      </c>
      <c r="B921" s="2" t="n">
        <v>43217.23828703703</v>
      </c>
      <c r="C921" t="n">
        <v>0</v>
      </c>
      <c r="D921" t="n">
        <v>1322</v>
      </c>
      <c r="E921" t="s">
        <v>931</v>
      </c>
      <c r="F921">
        <f>HYPERLINK("http://pbs.twimg.com/media/Dbwr3tMUQAAa5XK.jpg", "http://pbs.twimg.com/media/Dbwr3tMUQAAa5XK.jpg")</f>
        <v/>
      </c>
      <c r="G921" t="s"/>
      <c r="H921" t="s"/>
      <c r="I921" t="s"/>
      <c r="J921" t="n">
        <v>0</v>
      </c>
      <c r="K921" t="n">
        <v>0</v>
      </c>
      <c r="L921" t="n">
        <v>1</v>
      </c>
      <c r="M921" t="n">
        <v>0</v>
      </c>
    </row>
    <row r="922" spans="1:13">
      <c r="A922" s="1">
        <f>HYPERLINK("http://www.twitter.com/NathanBLawrence/status/989740799867797504", "989740799867797504")</f>
        <v/>
      </c>
      <c r="B922" s="2" t="n">
        <v>43217.23575231482</v>
      </c>
      <c r="C922" t="n">
        <v>0</v>
      </c>
      <c r="D922" t="n">
        <v>1951</v>
      </c>
      <c r="E922" t="s">
        <v>932</v>
      </c>
      <c r="F922" t="s"/>
      <c r="G922" t="s"/>
      <c r="H922" t="s"/>
      <c r="I922" t="s"/>
      <c r="J922" t="n">
        <v>0</v>
      </c>
      <c r="K922" t="n">
        <v>0</v>
      </c>
      <c r="L922" t="n">
        <v>1</v>
      </c>
      <c r="M922" t="n">
        <v>0</v>
      </c>
    </row>
    <row r="923" spans="1:13">
      <c r="A923" s="1">
        <f>HYPERLINK("http://www.twitter.com/NathanBLawrence/status/989740744083570688", "989740744083570688")</f>
        <v/>
      </c>
      <c r="B923" s="2" t="n">
        <v>43217.23560185185</v>
      </c>
      <c r="C923" t="n">
        <v>0</v>
      </c>
      <c r="D923" t="n">
        <v>1503</v>
      </c>
      <c r="E923" t="s">
        <v>933</v>
      </c>
      <c r="F923">
        <f>HYPERLINK("http://pbs.twimg.com/media/DbwDUs1W0AAV1dd.jpg", "http://pbs.twimg.com/media/DbwDUs1W0AAV1dd.jpg")</f>
        <v/>
      </c>
      <c r="G923" t="s"/>
      <c r="H923" t="s"/>
      <c r="I923" t="s"/>
      <c r="J923" t="n">
        <v>0</v>
      </c>
      <c r="K923" t="n">
        <v>0</v>
      </c>
      <c r="L923" t="n">
        <v>1</v>
      </c>
      <c r="M923" t="n">
        <v>0</v>
      </c>
    </row>
    <row r="924" spans="1:13">
      <c r="A924" s="1">
        <f>HYPERLINK("http://www.twitter.com/NathanBLawrence/status/989740662294700032", "989740662294700032")</f>
        <v/>
      </c>
      <c r="B924" s="2" t="n">
        <v>43217.23538194445</v>
      </c>
      <c r="C924" t="n">
        <v>0</v>
      </c>
      <c r="D924" t="n">
        <v>1050</v>
      </c>
      <c r="E924" t="s">
        <v>934</v>
      </c>
      <c r="F924" t="s"/>
      <c r="G924" t="s"/>
      <c r="H924" t="s"/>
      <c r="I924" t="s"/>
      <c r="J924" t="n">
        <v>-0.4648</v>
      </c>
      <c r="K924" t="n">
        <v>0.121</v>
      </c>
      <c r="L924" t="n">
        <v>0.879</v>
      </c>
      <c r="M924" t="n">
        <v>0</v>
      </c>
    </row>
    <row r="925" spans="1:13">
      <c r="A925" s="1">
        <f>HYPERLINK("http://www.twitter.com/NathanBLawrence/status/989740563346874368", "989740563346874368")</f>
        <v/>
      </c>
      <c r="B925" s="2" t="n">
        <v>43217.23510416667</v>
      </c>
      <c r="C925" t="n">
        <v>0</v>
      </c>
      <c r="D925" t="n">
        <v>11111</v>
      </c>
      <c r="E925" t="s">
        <v>935</v>
      </c>
      <c r="F925" t="s"/>
      <c r="G925" t="s"/>
      <c r="H925" t="s"/>
      <c r="I925" t="s"/>
      <c r="J925" t="n">
        <v>-0.128</v>
      </c>
      <c r="K925" t="n">
        <v>0.061</v>
      </c>
      <c r="L925" t="n">
        <v>0.9389999999999999</v>
      </c>
      <c r="M925" t="n">
        <v>0</v>
      </c>
    </row>
    <row r="926" spans="1:13">
      <c r="A926" s="1">
        <f>HYPERLINK("http://www.twitter.com/NathanBLawrence/status/989511594517254144", "989511594517254144")</f>
        <v/>
      </c>
      <c r="B926" s="2" t="n">
        <v>43216.60327546296</v>
      </c>
      <c r="C926" t="n">
        <v>0</v>
      </c>
      <c r="D926" t="n">
        <v>785</v>
      </c>
      <c r="E926" t="s">
        <v>936</v>
      </c>
      <c r="F926" t="s"/>
      <c r="G926" t="s"/>
      <c r="H926" t="s"/>
      <c r="I926" t="s"/>
      <c r="J926" t="n">
        <v>-0.1526</v>
      </c>
      <c r="K926" t="n">
        <v>0.128</v>
      </c>
      <c r="L926" t="n">
        <v>0.769</v>
      </c>
      <c r="M926" t="n">
        <v>0.103</v>
      </c>
    </row>
    <row r="927" spans="1:13">
      <c r="A927" s="1">
        <f>HYPERLINK("http://www.twitter.com/NathanBLawrence/status/989511063728107521", "989511063728107521")</f>
        <v/>
      </c>
      <c r="B927" s="2" t="n">
        <v>43216.60180555555</v>
      </c>
      <c r="C927" t="n">
        <v>0</v>
      </c>
      <c r="D927" t="n">
        <v>456</v>
      </c>
      <c r="E927" t="s">
        <v>937</v>
      </c>
      <c r="F927">
        <f>HYPERLINK("http://pbs.twimg.com/media/DbtHcUtWAAAYn7b.jpg", "http://pbs.twimg.com/media/DbtHcUtWAAAYn7b.jpg")</f>
        <v/>
      </c>
      <c r="G927" t="s"/>
      <c r="H927" t="s"/>
      <c r="I927" t="s"/>
      <c r="J927" t="n">
        <v>0</v>
      </c>
      <c r="K927" t="n">
        <v>0</v>
      </c>
      <c r="L927" t="n">
        <v>1</v>
      </c>
      <c r="M927" t="n">
        <v>0</v>
      </c>
    </row>
    <row r="928" spans="1:13">
      <c r="A928" s="1">
        <f>HYPERLINK("http://www.twitter.com/NathanBLawrence/status/989510940528787456", "989510940528787456")</f>
        <v/>
      </c>
      <c r="B928" s="2" t="n">
        <v>43216.60146990741</v>
      </c>
      <c r="C928" t="n">
        <v>0</v>
      </c>
      <c r="D928" t="n">
        <v>287</v>
      </c>
      <c r="E928" t="s">
        <v>938</v>
      </c>
      <c r="F928">
        <f>HYPERLINK("http://pbs.twimg.com/media/DbtkzR-VMAEFL7T.jpg", "http://pbs.twimg.com/media/DbtkzR-VMAEFL7T.jpg")</f>
        <v/>
      </c>
      <c r="G928" t="s"/>
      <c r="H928" t="s"/>
      <c r="I928" t="s"/>
      <c r="J928" t="n">
        <v>0</v>
      </c>
      <c r="K928" t="n">
        <v>0</v>
      </c>
      <c r="L928" t="n">
        <v>1</v>
      </c>
      <c r="M928" t="n">
        <v>0</v>
      </c>
    </row>
    <row r="929" spans="1:13">
      <c r="A929" s="1">
        <f>HYPERLINK("http://www.twitter.com/NathanBLawrence/status/989510856202272770", "989510856202272770")</f>
        <v/>
      </c>
      <c r="B929" s="2" t="n">
        <v>43216.60122685185</v>
      </c>
      <c r="C929" t="n">
        <v>0</v>
      </c>
      <c r="D929" t="n">
        <v>14</v>
      </c>
      <c r="E929" t="s">
        <v>939</v>
      </c>
      <c r="F929" t="s"/>
      <c r="G929" t="s"/>
      <c r="H929" t="s"/>
      <c r="I929" t="s"/>
      <c r="J929" t="n">
        <v>0</v>
      </c>
      <c r="K929" t="n">
        <v>0</v>
      </c>
      <c r="L929" t="n">
        <v>1</v>
      </c>
      <c r="M929" t="n">
        <v>0</v>
      </c>
    </row>
    <row r="930" spans="1:13">
      <c r="A930" s="1">
        <f>HYPERLINK("http://www.twitter.com/NathanBLawrence/status/989510495617994753", "989510495617994753")</f>
        <v/>
      </c>
      <c r="B930" s="2" t="n">
        <v>43216.60024305555</v>
      </c>
      <c r="C930" t="n">
        <v>0</v>
      </c>
      <c r="D930" t="n">
        <v>32</v>
      </c>
      <c r="E930" t="s">
        <v>940</v>
      </c>
      <c r="F930">
        <f>HYPERLINK("http://pbs.twimg.com/media/DayZOs-V4AUKzME.jpg", "http://pbs.twimg.com/media/DayZOs-V4AUKzME.jpg")</f>
        <v/>
      </c>
      <c r="G930" t="s"/>
      <c r="H930" t="s"/>
      <c r="I930" t="s"/>
      <c r="J930" t="n">
        <v>0.7481</v>
      </c>
      <c r="K930" t="n">
        <v>0.138</v>
      </c>
      <c r="L930" t="n">
        <v>0.583</v>
      </c>
      <c r="M930" t="n">
        <v>0.28</v>
      </c>
    </row>
    <row r="931" spans="1:13">
      <c r="A931" s="1">
        <f>HYPERLINK("http://www.twitter.com/NathanBLawrence/status/989509738491609089", "989509738491609089")</f>
        <v/>
      </c>
      <c r="B931" s="2" t="n">
        <v>43216.59814814815</v>
      </c>
      <c r="C931" t="n">
        <v>0</v>
      </c>
      <c r="D931" t="n">
        <v>237</v>
      </c>
      <c r="E931" t="s">
        <v>941</v>
      </c>
      <c r="F931">
        <f>HYPERLINK("https://video.twimg.com/amplify_video/989478629162848257/vid/1280x720/IOCCjhgP0Mw0YCMq.mp4?tag=2", "https://video.twimg.com/amplify_video/989478629162848257/vid/1280x720/IOCCjhgP0Mw0YCMq.mp4?tag=2")</f>
        <v/>
      </c>
      <c r="G931" t="s"/>
      <c r="H931" t="s"/>
      <c r="I931" t="s"/>
      <c r="J931" t="n">
        <v>0</v>
      </c>
      <c r="K931" t="n">
        <v>0</v>
      </c>
      <c r="L931" t="n">
        <v>1</v>
      </c>
      <c r="M931" t="n">
        <v>0</v>
      </c>
    </row>
    <row r="932" spans="1:13">
      <c r="A932" s="1">
        <f>HYPERLINK("http://www.twitter.com/NathanBLawrence/status/989509609013497857", "989509609013497857")</f>
        <v/>
      </c>
      <c r="B932" s="2" t="n">
        <v>43216.59778935185</v>
      </c>
      <c r="C932" t="n">
        <v>0</v>
      </c>
      <c r="D932" t="n">
        <v>3542</v>
      </c>
      <c r="E932" t="s">
        <v>942</v>
      </c>
      <c r="F932">
        <f>HYPERLINK("https://video.twimg.com/amplify_video/988923843015204864/vid/1280x720/FIBdNzvFOsAOeOMc.mp4?tag=2", "https://video.twimg.com/amplify_video/988923843015204864/vid/1280x720/FIBdNzvFOsAOeOMc.mp4?tag=2")</f>
        <v/>
      </c>
      <c r="G932" t="s"/>
      <c r="H932" t="s"/>
      <c r="I932" t="s"/>
      <c r="J932" t="n">
        <v>0</v>
      </c>
      <c r="K932" t="n">
        <v>0</v>
      </c>
      <c r="L932" t="n">
        <v>1</v>
      </c>
      <c r="M932" t="n">
        <v>0</v>
      </c>
    </row>
    <row r="933" spans="1:13">
      <c r="A933" s="1">
        <f>HYPERLINK("http://www.twitter.com/NathanBLawrence/status/989509383699746817", "989509383699746817")</f>
        <v/>
      </c>
      <c r="B933" s="2" t="n">
        <v>43216.59716435185</v>
      </c>
      <c r="C933" t="n">
        <v>0</v>
      </c>
      <c r="D933" t="n">
        <v>686</v>
      </c>
      <c r="E933" t="s">
        <v>943</v>
      </c>
      <c r="F933">
        <f>HYPERLINK("http://pbs.twimg.com/media/DbtOV18UwAEf5M0.jpg", "http://pbs.twimg.com/media/DbtOV18UwAEf5M0.jpg")</f>
        <v/>
      </c>
      <c r="G933" t="s"/>
      <c r="H933" t="s"/>
      <c r="I933" t="s"/>
      <c r="J933" t="n">
        <v>0.6369</v>
      </c>
      <c r="K933" t="n">
        <v>0</v>
      </c>
      <c r="L933" t="n">
        <v>0.826</v>
      </c>
      <c r="M933" t="n">
        <v>0.174</v>
      </c>
    </row>
    <row r="934" spans="1:13">
      <c r="A934" s="1">
        <f>HYPERLINK("http://www.twitter.com/NathanBLawrence/status/989509249217642496", "989509249217642496")</f>
        <v/>
      </c>
      <c r="B934" s="2" t="n">
        <v>43216.59679398148</v>
      </c>
      <c r="C934" t="n">
        <v>0</v>
      </c>
      <c r="D934" t="n">
        <v>46</v>
      </c>
      <c r="E934" t="s">
        <v>944</v>
      </c>
      <c r="F934">
        <f>HYPERLINK("http://pbs.twimg.com/media/Dbtve8wUQAI-KCy.jpg", "http://pbs.twimg.com/media/Dbtve8wUQAI-KCy.jpg")</f>
        <v/>
      </c>
      <c r="G934" t="s"/>
      <c r="H934" t="s"/>
      <c r="I934" t="s"/>
      <c r="J934" t="n">
        <v>0</v>
      </c>
      <c r="K934" t="n">
        <v>0</v>
      </c>
      <c r="L934" t="n">
        <v>1</v>
      </c>
      <c r="M934" t="n">
        <v>0</v>
      </c>
    </row>
    <row r="935" spans="1:13">
      <c r="A935" s="1">
        <f>HYPERLINK("http://www.twitter.com/NathanBLawrence/status/989508949744349187", "989508949744349187")</f>
        <v/>
      </c>
      <c r="B935" s="2" t="n">
        <v>43216.59597222223</v>
      </c>
      <c r="C935" t="n">
        <v>0</v>
      </c>
      <c r="D935" t="n">
        <v>3</v>
      </c>
      <c r="E935" t="s">
        <v>945</v>
      </c>
      <c r="F935">
        <f>HYPERLINK("http://pbs.twimg.com/media/DbtAlhLVMAAAci9.jpg", "http://pbs.twimg.com/media/DbtAlhLVMAAAci9.jpg")</f>
        <v/>
      </c>
      <c r="G935" t="s"/>
      <c r="H935" t="s"/>
      <c r="I935" t="s"/>
      <c r="J935" t="n">
        <v>0.7184</v>
      </c>
      <c r="K935" t="n">
        <v>0</v>
      </c>
      <c r="L935" t="n">
        <v>0.6840000000000001</v>
      </c>
      <c r="M935" t="n">
        <v>0.316</v>
      </c>
    </row>
    <row r="936" spans="1:13">
      <c r="A936" s="1">
        <f>HYPERLINK("http://www.twitter.com/NathanBLawrence/status/989508328358264835", "989508328358264835")</f>
        <v/>
      </c>
      <c r="B936" s="2" t="n">
        <v>43216.59425925926</v>
      </c>
      <c r="C936" t="n">
        <v>0</v>
      </c>
      <c r="D936" t="n">
        <v>12</v>
      </c>
      <c r="E936" t="s">
        <v>946</v>
      </c>
      <c r="F936">
        <f>HYPERLINK("http://pbs.twimg.com/media/DbtGpmJUQAAbGCG.jpg", "http://pbs.twimg.com/media/DbtGpmJUQAAbGCG.jpg")</f>
        <v/>
      </c>
      <c r="G936" t="s"/>
      <c r="H936" t="s"/>
      <c r="I936" t="s"/>
      <c r="J936" t="n">
        <v>0</v>
      </c>
      <c r="K936" t="n">
        <v>0</v>
      </c>
      <c r="L936" t="n">
        <v>1</v>
      </c>
      <c r="M936" t="n">
        <v>0</v>
      </c>
    </row>
    <row r="937" spans="1:13">
      <c r="A937" s="1">
        <f>HYPERLINK("http://www.twitter.com/NathanBLawrence/status/989507510489923584", "989507510489923584")</f>
        <v/>
      </c>
      <c r="B937" s="2" t="n">
        <v>43216.59200231481</v>
      </c>
      <c r="C937" t="n">
        <v>0</v>
      </c>
      <c r="D937" t="n">
        <v>1237</v>
      </c>
      <c r="E937" t="s">
        <v>947</v>
      </c>
      <c r="F937">
        <f>HYPERLINK("http://pbs.twimg.com/media/DbtjW4KV4AIHSQF.jpg", "http://pbs.twimg.com/media/DbtjW4KV4AIHSQF.jpg")</f>
        <v/>
      </c>
      <c r="G937">
        <f>HYPERLINK("http://pbs.twimg.com/media/DbtjXClUwAAn9c8.jpg", "http://pbs.twimg.com/media/DbtjXClUwAAn9c8.jpg")</f>
        <v/>
      </c>
      <c r="H937" t="s"/>
      <c r="I937" t="s"/>
      <c r="J937" t="n">
        <v>0</v>
      </c>
      <c r="K937" t="n">
        <v>0</v>
      </c>
      <c r="L937" t="n">
        <v>1</v>
      </c>
      <c r="M937" t="n">
        <v>0</v>
      </c>
    </row>
    <row r="938" spans="1:13">
      <c r="A938" s="1">
        <f>HYPERLINK("http://www.twitter.com/NathanBLawrence/status/989507198949584897", "989507198949584897")</f>
        <v/>
      </c>
      <c r="B938" s="2" t="n">
        <v>43216.59114583334</v>
      </c>
      <c r="C938" t="n">
        <v>0</v>
      </c>
      <c r="D938" t="n">
        <v>95</v>
      </c>
      <c r="E938" t="s">
        <v>948</v>
      </c>
      <c r="F938">
        <f>HYPERLINK("http://pbs.twimg.com/media/DbtNMYbW0AAJiiG.jpg", "http://pbs.twimg.com/media/DbtNMYbW0AAJiiG.jpg")</f>
        <v/>
      </c>
      <c r="G938" t="s"/>
      <c r="H938" t="s"/>
      <c r="I938" t="s"/>
      <c r="J938" t="n">
        <v>-0.34</v>
      </c>
      <c r="K938" t="n">
        <v>0.124</v>
      </c>
      <c r="L938" t="n">
        <v>0.876</v>
      </c>
      <c r="M938" t="n">
        <v>0</v>
      </c>
    </row>
    <row r="939" spans="1:13">
      <c r="A939" s="1">
        <f>HYPERLINK("http://www.twitter.com/NathanBLawrence/status/989507035392655360", "989507035392655360")</f>
        <v/>
      </c>
      <c r="B939" s="2" t="n">
        <v>43216.59069444444</v>
      </c>
      <c r="C939" t="n">
        <v>0</v>
      </c>
      <c r="D939" t="n">
        <v>143</v>
      </c>
      <c r="E939" t="s">
        <v>949</v>
      </c>
      <c r="F939">
        <f>HYPERLINK("http://pbs.twimg.com/media/DbtbgjvU0AEthzr.jpg", "http://pbs.twimg.com/media/DbtbgjvU0AEthzr.jpg")</f>
        <v/>
      </c>
      <c r="G939" t="s"/>
      <c r="H939" t="s"/>
      <c r="I939" t="s"/>
      <c r="J939" t="n">
        <v>0.8528</v>
      </c>
      <c r="K939" t="n">
        <v>0</v>
      </c>
      <c r="L939" t="n">
        <v>0.546</v>
      </c>
      <c r="M939" t="n">
        <v>0.454</v>
      </c>
    </row>
    <row r="940" spans="1:13">
      <c r="A940" s="1">
        <f>HYPERLINK("http://www.twitter.com/NathanBLawrence/status/989506980287922177", "989506980287922177")</f>
        <v/>
      </c>
      <c r="B940" s="2" t="n">
        <v>43216.5905324074</v>
      </c>
      <c r="C940" t="n">
        <v>0</v>
      </c>
      <c r="D940" t="n">
        <v>1016</v>
      </c>
      <c r="E940" t="s">
        <v>950</v>
      </c>
      <c r="F940">
        <f>HYPERLINK("https://video.twimg.com/ext_tw_video/989336861947527169/pu/vid/238x180/CsPXbK_cR05WQw87.mp4?tag=3", "https://video.twimg.com/ext_tw_video/989336861947527169/pu/vid/238x180/CsPXbK_cR05WQw87.mp4?tag=3")</f>
        <v/>
      </c>
      <c r="G940" t="s"/>
      <c r="H940" t="s"/>
      <c r="I940" t="s"/>
      <c r="J940" t="n">
        <v>0.5229</v>
      </c>
      <c r="K940" t="n">
        <v>0</v>
      </c>
      <c r="L940" t="n">
        <v>0.849</v>
      </c>
      <c r="M940" t="n">
        <v>0.151</v>
      </c>
    </row>
    <row r="941" spans="1:13">
      <c r="A941" s="1">
        <f>HYPERLINK("http://www.twitter.com/NathanBLawrence/status/989506904010313728", "989506904010313728")</f>
        <v/>
      </c>
      <c r="B941" s="2" t="n">
        <v>43216.59032407407</v>
      </c>
      <c r="C941" t="n">
        <v>0</v>
      </c>
      <c r="D941" t="n">
        <v>49</v>
      </c>
      <c r="E941" t="s">
        <v>951</v>
      </c>
      <c r="F941">
        <f>HYPERLINK("http://pbs.twimg.com/media/Dbtup6JXcAAaP6T.jpg", "http://pbs.twimg.com/media/Dbtup6JXcAAaP6T.jpg")</f>
        <v/>
      </c>
      <c r="G941" t="s"/>
      <c r="H941" t="s"/>
      <c r="I941" t="s"/>
      <c r="J941" t="n">
        <v>0</v>
      </c>
      <c r="K941" t="n">
        <v>0</v>
      </c>
      <c r="L941" t="n">
        <v>1</v>
      </c>
      <c r="M941" t="n">
        <v>0</v>
      </c>
    </row>
    <row r="942" spans="1:13">
      <c r="A942" s="1">
        <f>HYPERLINK("http://www.twitter.com/NathanBLawrence/status/989506615429677058", "989506615429677058")</f>
        <v/>
      </c>
      <c r="B942" s="2" t="n">
        <v>43216.58952546296</v>
      </c>
      <c r="C942" t="n">
        <v>0</v>
      </c>
      <c r="D942" t="n">
        <v>110</v>
      </c>
      <c r="E942" t="s">
        <v>952</v>
      </c>
      <c r="F942">
        <f>HYPERLINK("https://video.twimg.com/amplify_video/988531677994471424/vid/1280x720/RtRR-yx4UASFlPg6.mp4?tag=6", "https://video.twimg.com/amplify_video/988531677994471424/vid/1280x720/RtRR-yx4UASFlPg6.mp4?tag=6")</f>
        <v/>
      </c>
      <c r="G942" t="s"/>
      <c r="H942" t="s"/>
      <c r="I942" t="s"/>
      <c r="J942" t="n">
        <v>-0.0516</v>
      </c>
      <c r="K942" t="n">
        <v>0.059</v>
      </c>
      <c r="L942" t="n">
        <v>0.9409999999999999</v>
      </c>
      <c r="M942" t="n">
        <v>0</v>
      </c>
    </row>
    <row r="943" spans="1:13">
      <c r="A943" s="1">
        <f>HYPERLINK("http://www.twitter.com/NathanBLawrence/status/989506404280033281", "989506404280033281")</f>
        <v/>
      </c>
      <c r="B943" s="2" t="n">
        <v>43216.58894675926</v>
      </c>
      <c r="C943" t="n">
        <v>0</v>
      </c>
      <c r="D943" t="n">
        <v>265</v>
      </c>
      <c r="E943" t="s">
        <v>953</v>
      </c>
      <c r="F943">
        <f>HYPERLINK("http://pbs.twimg.com/media/DbrLSUeWsAAWIjR.jpg", "http://pbs.twimg.com/media/DbrLSUeWsAAWIjR.jpg")</f>
        <v/>
      </c>
      <c r="G943" t="s"/>
      <c r="H943" t="s"/>
      <c r="I943" t="s"/>
      <c r="J943" t="n">
        <v>0</v>
      </c>
      <c r="K943" t="n">
        <v>0</v>
      </c>
      <c r="L943" t="n">
        <v>1</v>
      </c>
      <c r="M943" t="n">
        <v>0</v>
      </c>
    </row>
    <row r="944" spans="1:13">
      <c r="A944" s="1">
        <f>HYPERLINK("http://www.twitter.com/NathanBLawrence/status/989506133323694080", "989506133323694080")</f>
        <v/>
      </c>
      <c r="B944" s="2" t="n">
        <v>43216.58819444444</v>
      </c>
      <c r="C944" t="n">
        <v>0</v>
      </c>
      <c r="D944" t="n">
        <v>154</v>
      </c>
      <c r="E944" t="s">
        <v>954</v>
      </c>
      <c r="F944">
        <f>HYPERLINK("http://pbs.twimg.com/media/Dbtmt-NVwAAnnbb.jpg", "http://pbs.twimg.com/media/Dbtmt-NVwAAnnbb.jpg")</f>
        <v/>
      </c>
      <c r="G944" t="s"/>
      <c r="H944" t="s"/>
      <c r="I944" t="s"/>
      <c r="J944" t="n">
        <v>0.8658</v>
      </c>
      <c r="K944" t="n">
        <v>0.106</v>
      </c>
      <c r="L944" t="n">
        <v>0.508</v>
      </c>
      <c r="M944" t="n">
        <v>0.386</v>
      </c>
    </row>
    <row r="945" spans="1:13">
      <c r="A945" s="1">
        <f>HYPERLINK("http://www.twitter.com/NathanBLawrence/status/989505836408979456", "989505836408979456")</f>
        <v/>
      </c>
      <c r="B945" s="2" t="n">
        <v>43216.58738425926</v>
      </c>
      <c r="C945" t="n">
        <v>0</v>
      </c>
      <c r="D945" t="n">
        <v>129</v>
      </c>
      <c r="E945" t="s">
        <v>955</v>
      </c>
      <c r="F945">
        <f>HYPERLINK("http://pbs.twimg.com/media/DbtnkIwU0AAGwXb.jpg", "http://pbs.twimg.com/media/DbtnkIwU0AAGwXb.jpg")</f>
        <v/>
      </c>
      <c r="G945" t="s"/>
      <c r="H945" t="s"/>
      <c r="I945" t="s"/>
      <c r="J945" t="n">
        <v>0</v>
      </c>
      <c r="K945" t="n">
        <v>0</v>
      </c>
      <c r="L945" t="n">
        <v>1</v>
      </c>
      <c r="M945" t="n">
        <v>0</v>
      </c>
    </row>
    <row r="946" spans="1:13">
      <c r="A946" s="1">
        <f>HYPERLINK("http://www.twitter.com/NathanBLawrence/status/989505789244030976", "989505789244030976")</f>
        <v/>
      </c>
      <c r="B946" s="2" t="n">
        <v>43216.58724537037</v>
      </c>
      <c r="C946" t="n">
        <v>0</v>
      </c>
      <c r="D946" t="n">
        <v>17</v>
      </c>
      <c r="E946" t="s">
        <v>956</v>
      </c>
      <c r="F946">
        <f>HYPERLINK("http://pbs.twimg.com/media/DbtlcgiXcAA6mJG.jpg", "http://pbs.twimg.com/media/DbtlcgiXcAA6mJG.jpg")</f>
        <v/>
      </c>
      <c r="G946" t="s"/>
      <c r="H946" t="s"/>
      <c r="I946" t="s"/>
      <c r="J946" t="n">
        <v>0</v>
      </c>
      <c r="K946" t="n">
        <v>0</v>
      </c>
      <c r="L946" t="n">
        <v>1</v>
      </c>
      <c r="M946" t="n">
        <v>0</v>
      </c>
    </row>
    <row r="947" spans="1:13">
      <c r="A947" s="1">
        <f>HYPERLINK("http://www.twitter.com/NathanBLawrence/status/989227426138865664", "989227426138865664")</f>
        <v/>
      </c>
      <c r="B947" s="2" t="n">
        <v>43215.81912037037</v>
      </c>
      <c r="C947" t="n">
        <v>0</v>
      </c>
      <c r="D947" t="n">
        <v>11</v>
      </c>
      <c r="E947" t="s">
        <v>957</v>
      </c>
      <c r="F947" t="s"/>
      <c r="G947" t="s"/>
      <c r="H947" t="s"/>
      <c r="I947" t="s"/>
      <c r="J947" t="n">
        <v>-0.7096</v>
      </c>
      <c r="K947" t="n">
        <v>0.308</v>
      </c>
      <c r="L947" t="n">
        <v>0.608</v>
      </c>
      <c r="M947" t="n">
        <v>0.08400000000000001</v>
      </c>
    </row>
    <row r="948" spans="1:13">
      <c r="A948" s="1">
        <f>HYPERLINK("http://www.twitter.com/NathanBLawrence/status/989227222199222272", "989227222199222272")</f>
        <v/>
      </c>
      <c r="B948" s="2" t="n">
        <v>43215.81855324074</v>
      </c>
      <c r="C948" t="n">
        <v>0</v>
      </c>
      <c r="D948" t="n">
        <v>2107</v>
      </c>
      <c r="E948" t="s">
        <v>958</v>
      </c>
      <c r="F948" t="s"/>
      <c r="G948" t="s"/>
      <c r="H948" t="s"/>
      <c r="I948" t="s"/>
      <c r="J948" t="n">
        <v>0.9118000000000001</v>
      </c>
      <c r="K948" t="n">
        <v>0</v>
      </c>
      <c r="L948" t="n">
        <v>0.5590000000000001</v>
      </c>
      <c r="M948" t="n">
        <v>0.441</v>
      </c>
    </row>
    <row r="949" spans="1:13">
      <c r="A949" s="1">
        <f>HYPERLINK("http://www.twitter.com/NathanBLawrence/status/989227141198823424", "989227141198823424")</f>
        <v/>
      </c>
      <c r="B949" s="2" t="n">
        <v>43215.81833333334</v>
      </c>
      <c r="C949" t="n">
        <v>0</v>
      </c>
      <c r="D949" t="n">
        <v>107913</v>
      </c>
      <c r="E949" t="s">
        <v>959</v>
      </c>
      <c r="F949" t="s"/>
      <c r="G949" t="s"/>
      <c r="H949" t="s"/>
      <c r="I949" t="s"/>
      <c r="J949" t="n">
        <v>0.6581</v>
      </c>
      <c r="K949" t="n">
        <v>0</v>
      </c>
      <c r="L949" t="n">
        <v>0.527</v>
      </c>
      <c r="M949" t="n">
        <v>0.473</v>
      </c>
    </row>
    <row r="950" spans="1:13">
      <c r="A950" s="1">
        <f>HYPERLINK("http://www.twitter.com/NathanBLawrence/status/989226700293591040", "989226700293591040")</f>
        <v/>
      </c>
      <c r="B950" s="2" t="n">
        <v>43215.81710648148</v>
      </c>
      <c r="C950" t="n">
        <v>0</v>
      </c>
      <c r="D950" t="n">
        <v>248</v>
      </c>
      <c r="E950" t="s">
        <v>960</v>
      </c>
      <c r="F950">
        <f>HYPERLINK("http://pbs.twimg.com/media/DbpBe23XUAI8166.jpg", "http://pbs.twimg.com/media/DbpBe23XUAI8166.jpg")</f>
        <v/>
      </c>
      <c r="G950" t="s"/>
      <c r="H950" t="s"/>
      <c r="I950" t="s"/>
      <c r="J950" t="n">
        <v>0.4215</v>
      </c>
      <c r="K950" t="n">
        <v>0</v>
      </c>
      <c r="L950" t="n">
        <v>0.877</v>
      </c>
      <c r="M950" t="n">
        <v>0.123</v>
      </c>
    </row>
    <row r="951" spans="1:13">
      <c r="A951" s="1">
        <f>HYPERLINK("http://www.twitter.com/NathanBLawrence/status/989226605296799744", "989226605296799744")</f>
        <v/>
      </c>
      <c r="B951" s="2" t="n">
        <v>43215.81685185185</v>
      </c>
      <c r="C951" t="n">
        <v>0</v>
      </c>
      <c r="D951" t="n">
        <v>369</v>
      </c>
      <c r="E951" t="s">
        <v>961</v>
      </c>
      <c r="F951">
        <f>HYPERLINK("https://video.twimg.com/amplify_video/989164153951735809/vid/1280x720/AEb2eJ-VJghB91sG.mp4?tag=2", "https://video.twimg.com/amplify_video/989164153951735809/vid/1280x720/AEb2eJ-VJghB91sG.mp4?tag=2")</f>
        <v/>
      </c>
      <c r="G951" t="s"/>
      <c r="H951" t="s"/>
      <c r="I951" t="s"/>
      <c r="J951" t="n">
        <v>0</v>
      </c>
      <c r="K951" t="n">
        <v>0</v>
      </c>
      <c r="L951" t="n">
        <v>1</v>
      </c>
      <c r="M951" t="n">
        <v>0</v>
      </c>
    </row>
    <row r="952" spans="1:13">
      <c r="A952" s="1">
        <f>HYPERLINK("http://www.twitter.com/NathanBLawrence/status/989226539236536320", "989226539236536320")</f>
        <v/>
      </c>
      <c r="B952" s="2" t="n">
        <v>43215.81666666667</v>
      </c>
      <c r="C952" t="n">
        <v>0</v>
      </c>
      <c r="D952" t="n">
        <v>219</v>
      </c>
      <c r="E952" t="s">
        <v>962</v>
      </c>
      <c r="F952">
        <f>HYPERLINK("http://pbs.twimg.com/media/DbpKwGcV0AAy2F8.jpg", "http://pbs.twimg.com/media/DbpKwGcV0AAy2F8.jpg")</f>
        <v/>
      </c>
      <c r="G952" t="s"/>
      <c r="H952" t="s"/>
      <c r="I952" t="s"/>
      <c r="J952" t="n">
        <v>0</v>
      </c>
      <c r="K952" t="n">
        <v>0</v>
      </c>
      <c r="L952" t="n">
        <v>1</v>
      </c>
      <c r="M952" t="n">
        <v>0</v>
      </c>
    </row>
    <row r="953" spans="1:13">
      <c r="A953" s="1">
        <f>HYPERLINK("http://www.twitter.com/NathanBLawrence/status/989226204262612992", "989226204262612992")</f>
        <v/>
      </c>
      <c r="B953" s="2" t="n">
        <v>43215.81574074074</v>
      </c>
      <c r="C953" t="n">
        <v>0</v>
      </c>
      <c r="D953" t="n">
        <v>2179</v>
      </c>
      <c r="E953" t="s">
        <v>963</v>
      </c>
      <c r="F953" t="s"/>
      <c r="G953" t="s"/>
      <c r="H953" t="s"/>
      <c r="I953" t="s"/>
      <c r="J953" t="n">
        <v>0.1779</v>
      </c>
      <c r="K953" t="n">
        <v>0.104</v>
      </c>
      <c r="L953" t="n">
        <v>0.758</v>
      </c>
      <c r="M953" t="n">
        <v>0.137</v>
      </c>
    </row>
    <row r="954" spans="1:13">
      <c r="A954" s="1">
        <f>HYPERLINK("http://www.twitter.com/NathanBLawrence/status/989226153360609280", "989226153360609280")</f>
        <v/>
      </c>
      <c r="B954" s="2" t="n">
        <v>43215.81560185185</v>
      </c>
      <c r="C954" t="n">
        <v>0</v>
      </c>
      <c r="D954" t="n">
        <v>1195</v>
      </c>
      <c r="E954" t="s">
        <v>964</v>
      </c>
      <c r="F954" t="s"/>
      <c r="G954" t="s"/>
      <c r="H954" t="s"/>
      <c r="I954" t="s"/>
      <c r="J954" t="n">
        <v>0.1779</v>
      </c>
      <c r="K954" t="n">
        <v>0.187</v>
      </c>
      <c r="L954" t="n">
        <v>0.542</v>
      </c>
      <c r="M954" t="n">
        <v>0.271</v>
      </c>
    </row>
    <row r="955" spans="1:13">
      <c r="A955" s="1">
        <f>HYPERLINK("http://www.twitter.com/NathanBLawrence/status/989225898896310273", "989225898896310273")</f>
        <v/>
      </c>
      <c r="B955" s="2" t="n">
        <v>43215.81489583333</v>
      </c>
      <c r="C955" t="n">
        <v>0</v>
      </c>
      <c r="D955" t="n">
        <v>17225</v>
      </c>
      <c r="E955" t="s">
        <v>965</v>
      </c>
      <c r="F955" t="s"/>
      <c r="G955" t="s"/>
      <c r="H955" t="s"/>
      <c r="I955" t="s"/>
      <c r="J955" t="n">
        <v>0</v>
      </c>
      <c r="K955" t="n">
        <v>0</v>
      </c>
      <c r="L955" t="n">
        <v>1</v>
      </c>
      <c r="M955" t="n">
        <v>0</v>
      </c>
    </row>
    <row r="956" spans="1:13">
      <c r="A956" s="1">
        <f>HYPERLINK("http://www.twitter.com/NathanBLawrence/status/989225808098021376", "989225808098021376")</f>
        <v/>
      </c>
      <c r="B956" s="2" t="n">
        <v>43215.81465277778</v>
      </c>
      <c r="C956" t="n">
        <v>0</v>
      </c>
      <c r="D956" t="n">
        <v>2</v>
      </c>
      <c r="E956" t="s">
        <v>966</v>
      </c>
      <c r="F956" t="s"/>
      <c r="G956" t="s"/>
      <c r="H956" t="s"/>
      <c r="I956" t="s"/>
      <c r="J956" t="n">
        <v>-0.2732</v>
      </c>
      <c r="K956" t="n">
        <v>0.091</v>
      </c>
      <c r="L956" t="n">
        <v>0.909</v>
      </c>
      <c r="M956" t="n">
        <v>0</v>
      </c>
    </row>
    <row r="957" spans="1:13">
      <c r="A957" s="1">
        <f>HYPERLINK("http://www.twitter.com/NathanBLawrence/status/989225712056918016", "989225712056918016")</f>
        <v/>
      </c>
      <c r="B957" s="2" t="n">
        <v>43215.81438657407</v>
      </c>
      <c r="C957" t="n">
        <v>0</v>
      </c>
      <c r="D957" t="n">
        <v>464</v>
      </c>
      <c r="E957" t="s">
        <v>967</v>
      </c>
      <c r="F957">
        <f>HYPERLINK("http://pbs.twimg.com/media/DbpmvthXkAY3FsG.jpg", "http://pbs.twimg.com/media/DbpmvthXkAY3FsG.jpg")</f>
        <v/>
      </c>
      <c r="G957" t="s"/>
      <c r="H957" t="s"/>
      <c r="I957" t="s"/>
      <c r="J957" t="n">
        <v>0.8481</v>
      </c>
      <c r="K957" t="n">
        <v>0</v>
      </c>
      <c r="L957" t="n">
        <v>0.62</v>
      </c>
      <c r="M957" t="n">
        <v>0.38</v>
      </c>
    </row>
    <row r="958" spans="1:13">
      <c r="A958" s="1">
        <f>HYPERLINK("http://www.twitter.com/NathanBLawrence/status/989225173315284992", "989225173315284992")</f>
        <v/>
      </c>
      <c r="B958" s="2" t="n">
        <v>43215.81289351852</v>
      </c>
      <c r="C958" t="n">
        <v>0</v>
      </c>
      <c r="D958" t="n">
        <v>119</v>
      </c>
      <c r="E958" t="s">
        <v>968</v>
      </c>
      <c r="F958">
        <f>HYPERLINK("http://pbs.twimg.com/media/DbhEV3qU0AEB845.jpg", "http://pbs.twimg.com/media/DbhEV3qU0AEB845.jpg")</f>
        <v/>
      </c>
      <c r="G958" t="s"/>
      <c r="H958" t="s"/>
      <c r="I958" t="s"/>
      <c r="J958" t="n">
        <v>-0.296</v>
      </c>
      <c r="K958" t="n">
        <v>0.175</v>
      </c>
      <c r="L958" t="n">
        <v>0.6889999999999999</v>
      </c>
      <c r="M958" t="n">
        <v>0.136</v>
      </c>
    </row>
    <row r="959" spans="1:13">
      <c r="A959" s="1">
        <f>HYPERLINK("http://www.twitter.com/NathanBLawrence/status/989225080788959232", "989225080788959232")</f>
        <v/>
      </c>
      <c r="B959" s="2" t="n">
        <v>43215.81263888889</v>
      </c>
      <c r="C959" t="n">
        <v>0</v>
      </c>
      <c r="D959" t="n">
        <v>52</v>
      </c>
      <c r="E959" t="s">
        <v>969</v>
      </c>
      <c r="F959">
        <f>HYPERLINK("http://pbs.twimg.com/media/DbhjvPqWAAAVcil.jpg", "http://pbs.twimg.com/media/DbhjvPqWAAAVcil.jpg")</f>
        <v/>
      </c>
      <c r="G959" t="s"/>
      <c r="H959" t="s"/>
      <c r="I959" t="s"/>
      <c r="J959" t="n">
        <v>0</v>
      </c>
      <c r="K959" t="n">
        <v>0</v>
      </c>
      <c r="L959" t="n">
        <v>1</v>
      </c>
      <c r="M959" t="n">
        <v>0</v>
      </c>
    </row>
    <row r="960" spans="1:13">
      <c r="A960" s="1">
        <f>HYPERLINK("http://www.twitter.com/NathanBLawrence/status/989224935850627072", "989224935850627072")</f>
        <v/>
      </c>
      <c r="B960" s="2" t="n">
        <v>43215.81224537037</v>
      </c>
      <c r="C960" t="n">
        <v>0</v>
      </c>
      <c r="D960" t="n">
        <v>25647</v>
      </c>
      <c r="E960" t="s">
        <v>970</v>
      </c>
      <c r="F960" t="s"/>
      <c r="G960" t="s"/>
      <c r="H960" t="s"/>
      <c r="I960" t="s"/>
      <c r="J960" t="n">
        <v>-0.3163</v>
      </c>
      <c r="K960" t="n">
        <v>0.162</v>
      </c>
      <c r="L960" t="n">
        <v>0.722</v>
      </c>
      <c r="M960" t="n">
        <v>0.116</v>
      </c>
    </row>
    <row r="961" spans="1:13">
      <c r="A961" s="1">
        <f>HYPERLINK("http://www.twitter.com/NathanBLawrence/status/989224779600154626", "989224779600154626")</f>
        <v/>
      </c>
      <c r="B961" s="2" t="n">
        <v>43215.81181712963</v>
      </c>
      <c r="C961" t="n">
        <v>0</v>
      </c>
      <c r="D961" t="n">
        <v>2</v>
      </c>
      <c r="E961" t="s">
        <v>971</v>
      </c>
      <c r="F961">
        <f>HYPERLINK("http://pbs.twimg.com/media/Dbhs8FUWkAEQPQ5.jpg", "http://pbs.twimg.com/media/Dbhs8FUWkAEQPQ5.jpg")</f>
        <v/>
      </c>
      <c r="G961" t="s"/>
      <c r="H961" t="s"/>
      <c r="I961" t="s"/>
      <c r="J961" t="n">
        <v>0</v>
      </c>
      <c r="K961" t="n">
        <v>0</v>
      </c>
      <c r="L961" t="n">
        <v>1</v>
      </c>
      <c r="M961" t="n">
        <v>0</v>
      </c>
    </row>
    <row r="962" spans="1:13">
      <c r="A962" s="1">
        <f>HYPERLINK("http://www.twitter.com/NathanBLawrence/status/989224654236598272", "989224654236598272")</f>
        <v/>
      </c>
      <c r="B962" s="2" t="n">
        <v>43215.81146990741</v>
      </c>
      <c r="C962" t="n">
        <v>0</v>
      </c>
      <c r="D962" t="n">
        <v>5</v>
      </c>
      <c r="E962" t="s">
        <v>972</v>
      </c>
      <c r="F962">
        <f>HYPERLINK("http://pbs.twimg.com/media/Dbhs8c7WAAEJXlu.jpg", "http://pbs.twimg.com/media/Dbhs8c7WAAEJXlu.jpg")</f>
        <v/>
      </c>
      <c r="G962" t="s"/>
      <c r="H962" t="s"/>
      <c r="I962" t="s"/>
      <c r="J962" t="n">
        <v>0.4767</v>
      </c>
      <c r="K962" t="n">
        <v>0</v>
      </c>
      <c r="L962" t="n">
        <v>0.871</v>
      </c>
      <c r="M962" t="n">
        <v>0.129</v>
      </c>
    </row>
    <row r="963" spans="1:13">
      <c r="A963" s="1">
        <f>HYPERLINK("http://www.twitter.com/NathanBLawrence/status/989224524926173184", "989224524926173184")</f>
        <v/>
      </c>
      <c r="B963" s="2" t="n">
        <v>43215.81111111111</v>
      </c>
      <c r="C963" t="n">
        <v>0</v>
      </c>
      <c r="D963" t="n">
        <v>206</v>
      </c>
      <c r="E963" t="s">
        <v>973</v>
      </c>
      <c r="F963">
        <f>HYPERLINK("http://pbs.twimg.com/media/DbelA06V0AAjZlu.jpg", "http://pbs.twimg.com/media/DbelA06V0AAjZlu.jpg")</f>
        <v/>
      </c>
      <c r="G963" t="s"/>
      <c r="H963" t="s"/>
      <c r="I963" t="s"/>
      <c r="J963" t="n">
        <v>-0.5574</v>
      </c>
      <c r="K963" t="n">
        <v>0.167</v>
      </c>
      <c r="L963" t="n">
        <v>0.833</v>
      </c>
      <c r="M963" t="n">
        <v>0</v>
      </c>
    </row>
    <row r="964" spans="1:13">
      <c r="A964" s="1">
        <f>HYPERLINK("http://www.twitter.com/NathanBLawrence/status/989224448417976320", "989224448417976320")</f>
        <v/>
      </c>
      <c r="B964" s="2" t="n">
        <v>43215.81090277778</v>
      </c>
      <c r="C964" t="n">
        <v>0</v>
      </c>
      <c r="D964" t="n">
        <v>6530</v>
      </c>
      <c r="E964" t="s">
        <v>974</v>
      </c>
      <c r="F964">
        <f>HYPERLINK("https://video.twimg.com/ext_tw_video/988456048196444160/pu/vid/720x1280/bG83KTKt9SzV_h3X.mp4?tag=3", "https://video.twimg.com/ext_tw_video/988456048196444160/pu/vid/720x1280/bG83KTKt9SzV_h3X.mp4?tag=3")</f>
        <v/>
      </c>
      <c r="G964" t="s"/>
      <c r="H964" t="s"/>
      <c r="I964" t="s"/>
      <c r="J964" t="n">
        <v>0</v>
      </c>
      <c r="K964" t="n">
        <v>0</v>
      </c>
      <c r="L964" t="n">
        <v>1</v>
      </c>
      <c r="M964" t="n">
        <v>0</v>
      </c>
    </row>
    <row r="965" spans="1:13">
      <c r="A965" s="1">
        <f>HYPERLINK("http://www.twitter.com/NathanBLawrence/status/989161470674878464", "989161470674878464")</f>
        <v/>
      </c>
      <c r="B965" s="2" t="n">
        <v>43215.63710648148</v>
      </c>
      <c r="C965" t="n">
        <v>0</v>
      </c>
      <c r="D965" t="n">
        <v>178</v>
      </c>
      <c r="E965" t="s">
        <v>975</v>
      </c>
      <c r="F965">
        <f>HYPERLINK("http://pbs.twimg.com/media/Dbn3c2oXkAMMmMC.jpg", "http://pbs.twimg.com/media/Dbn3c2oXkAMMmMC.jpg")</f>
        <v/>
      </c>
      <c r="G965" t="s"/>
      <c r="H965" t="s"/>
      <c r="I965" t="s"/>
      <c r="J965" t="n">
        <v>0</v>
      </c>
      <c r="K965" t="n">
        <v>0</v>
      </c>
      <c r="L965" t="n">
        <v>1</v>
      </c>
      <c r="M965" t="n">
        <v>0</v>
      </c>
    </row>
    <row r="966" spans="1:13">
      <c r="A966" s="1">
        <f>HYPERLINK("http://www.twitter.com/NathanBLawrence/status/989160703759073280", "989160703759073280")</f>
        <v/>
      </c>
      <c r="B966" s="2" t="n">
        <v>43215.635</v>
      </c>
      <c r="C966" t="n">
        <v>0</v>
      </c>
      <c r="D966" t="n">
        <v>6</v>
      </c>
      <c r="E966" t="s">
        <v>976</v>
      </c>
      <c r="F966">
        <f>HYPERLINK("http://pbs.twimg.com/media/DbotGNLUQAAL_Rp.jpg", "http://pbs.twimg.com/media/DbotGNLUQAAL_Rp.jpg")</f>
        <v/>
      </c>
      <c r="G966" t="s"/>
      <c r="H966" t="s"/>
      <c r="I966" t="s"/>
      <c r="J966" t="n">
        <v>0</v>
      </c>
      <c r="K966" t="n">
        <v>0</v>
      </c>
      <c r="L966" t="n">
        <v>1</v>
      </c>
      <c r="M966" t="n">
        <v>0</v>
      </c>
    </row>
    <row r="967" spans="1:13">
      <c r="A967" s="1">
        <f>HYPERLINK("http://www.twitter.com/NathanBLawrence/status/989160581943869441", "989160581943869441")</f>
        <v/>
      </c>
      <c r="B967" s="2" t="n">
        <v>43215.63466435186</v>
      </c>
      <c r="C967" t="n">
        <v>0</v>
      </c>
      <c r="D967" t="n">
        <v>983</v>
      </c>
      <c r="E967" t="s">
        <v>977</v>
      </c>
      <c r="F967" t="s"/>
      <c r="G967" t="s"/>
      <c r="H967" t="s"/>
      <c r="I967" t="s"/>
      <c r="J967" t="n">
        <v>0</v>
      </c>
      <c r="K967" t="n">
        <v>0</v>
      </c>
      <c r="L967" t="n">
        <v>1</v>
      </c>
      <c r="M967" t="n">
        <v>0</v>
      </c>
    </row>
    <row r="968" spans="1:13">
      <c r="A968" s="1">
        <f>HYPERLINK("http://www.twitter.com/NathanBLawrence/status/989160437416579073", "989160437416579073")</f>
        <v/>
      </c>
      <c r="B968" s="2" t="n">
        <v>43215.63425925926</v>
      </c>
      <c r="C968" t="n">
        <v>0</v>
      </c>
      <c r="D968" t="n">
        <v>31472</v>
      </c>
      <c r="E968" t="s">
        <v>978</v>
      </c>
      <c r="F968">
        <f>HYPERLINK("http://pbs.twimg.com/media/DFYTqAPVoAEmcgY.jpg", "http://pbs.twimg.com/media/DFYTqAPVoAEmcgY.jpg")</f>
        <v/>
      </c>
      <c r="G968" t="s"/>
      <c r="H968" t="s"/>
      <c r="I968" t="s"/>
      <c r="J968" t="n">
        <v>0.5106000000000001</v>
      </c>
      <c r="K968" t="n">
        <v>0</v>
      </c>
      <c r="L968" t="n">
        <v>0.829</v>
      </c>
      <c r="M968" t="n">
        <v>0.171</v>
      </c>
    </row>
    <row r="969" spans="1:13">
      <c r="A969" s="1">
        <f>HYPERLINK("http://www.twitter.com/NathanBLawrence/status/989160002374877185", "989160002374877185")</f>
        <v/>
      </c>
      <c r="B969" s="2" t="n">
        <v>43215.63305555555</v>
      </c>
      <c r="C969" t="n">
        <v>0</v>
      </c>
      <c r="D969" t="n">
        <v>3</v>
      </c>
      <c r="E969" t="s">
        <v>979</v>
      </c>
      <c r="F969" t="s"/>
      <c r="G969" t="s"/>
      <c r="H969" t="s"/>
      <c r="I969" t="s"/>
      <c r="J969" t="n">
        <v>0</v>
      </c>
      <c r="K969" t="n">
        <v>0</v>
      </c>
      <c r="L969" t="n">
        <v>1</v>
      </c>
      <c r="M969" t="n">
        <v>0</v>
      </c>
    </row>
    <row r="970" spans="1:13">
      <c r="A970" s="1">
        <f>HYPERLINK("http://www.twitter.com/NathanBLawrence/status/989155293245333504", "989155293245333504")</f>
        <v/>
      </c>
      <c r="B970" s="2" t="n">
        <v>43215.62006944444</v>
      </c>
      <c r="C970" t="n">
        <v>0</v>
      </c>
      <c r="D970" t="n">
        <v>102</v>
      </c>
      <c r="E970" t="s">
        <v>980</v>
      </c>
      <c r="F970">
        <f>HYPERLINK("http://pbs.twimg.com/media/DbjosrpWkAAhhmN.jpg", "http://pbs.twimg.com/media/DbjosrpWkAAhhmN.jpg")</f>
        <v/>
      </c>
      <c r="G970" t="s"/>
      <c r="H970" t="s"/>
      <c r="I970" t="s"/>
      <c r="J970" t="n">
        <v>-0.5266999999999999</v>
      </c>
      <c r="K970" t="n">
        <v>0.21</v>
      </c>
      <c r="L970" t="n">
        <v>0.699</v>
      </c>
      <c r="M970" t="n">
        <v>0.091</v>
      </c>
    </row>
    <row r="971" spans="1:13">
      <c r="A971" s="1">
        <f>HYPERLINK("http://www.twitter.com/NathanBLawrence/status/989155096817614848", "989155096817614848")</f>
        <v/>
      </c>
      <c r="B971" s="2" t="n">
        <v>43215.61952546296</v>
      </c>
      <c r="C971" t="n">
        <v>0</v>
      </c>
      <c r="D971" t="n">
        <v>25</v>
      </c>
      <c r="E971" t="s">
        <v>981</v>
      </c>
      <c r="F971" t="s"/>
      <c r="G971" t="s"/>
      <c r="H971" t="s"/>
      <c r="I971" t="s"/>
      <c r="J971" t="n">
        <v>0.9393</v>
      </c>
      <c r="K971" t="n">
        <v>0</v>
      </c>
      <c r="L971" t="n">
        <v>0.552</v>
      </c>
      <c r="M971" t="n">
        <v>0.448</v>
      </c>
    </row>
    <row r="972" spans="1:13">
      <c r="A972" s="1">
        <f>HYPERLINK("http://www.twitter.com/NathanBLawrence/status/989155017461411845", "989155017461411845")</f>
        <v/>
      </c>
      <c r="B972" s="2" t="n">
        <v>43215.61930555556</v>
      </c>
      <c r="C972" t="n">
        <v>0</v>
      </c>
      <c r="D972" t="n">
        <v>323</v>
      </c>
      <c r="E972" t="s">
        <v>982</v>
      </c>
      <c r="F972">
        <f>HYPERLINK("http://pbs.twimg.com/media/DbnzvyqW0AAlcn5.jpg", "http://pbs.twimg.com/media/DbnzvyqW0AAlcn5.jpg")</f>
        <v/>
      </c>
      <c r="G972" t="s"/>
      <c r="H972" t="s"/>
      <c r="I972" t="s"/>
      <c r="J972" t="n">
        <v>0</v>
      </c>
      <c r="K972" t="n">
        <v>0</v>
      </c>
      <c r="L972" t="n">
        <v>1</v>
      </c>
      <c r="M972" t="n">
        <v>0</v>
      </c>
    </row>
    <row r="973" spans="1:13">
      <c r="A973" s="1">
        <f>HYPERLINK("http://www.twitter.com/NathanBLawrence/status/989154576828792832", "989154576828792832")</f>
        <v/>
      </c>
      <c r="B973" s="2" t="n">
        <v>43215.61809027778</v>
      </c>
      <c r="C973" t="n">
        <v>0</v>
      </c>
      <c r="D973" t="n">
        <v>2737</v>
      </c>
      <c r="E973" t="s">
        <v>983</v>
      </c>
      <c r="F973" t="s"/>
      <c r="G973" t="s"/>
      <c r="H973" t="s"/>
      <c r="I973" t="s"/>
      <c r="J973" t="n">
        <v>-0.5023</v>
      </c>
      <c r="K973" t="n">
        <v>0.129</v>
      </c>
      <c r="L973" t="n">
        <v>0.871</v>
      </c>
      <c r="M973" t="n">
        <v>0</v>
      </c>
    </row>
    <row r="974" spans="1:13">
      <c r="A974" s="1">
        <f>HYPERLINK("http://www.twitter.com/NathanBLawrence/status/989154504519004161", "989154504519004161")</f>
        <v/>
      </c>
      <c r="B974" s="2" t="n">
        <v>43215.61789351852</v>
      </c>
      <c r="C974" t="n">
        <v>0</v>
      </c>
      <c r="D974" t="n">
        <v>71</v>
      </c>
      <c r="E974" t="s">
        <v>984</v>
      </c>
      <c r="F974">
        <f>HYPERLINK("http://pbs.twimg.com/media/DbmPFCeV4AYvL8L.jpg", "http://pbs.twimg.com/media/DbmPFCeV4AYvL8L.jpg")</f>
        <v/>
      </c>
      <c r="G974" t="s"/>
      <c r="H974" t="s"/>
      <c r="I974" t="s"/>
      <c r="J974" t="n">
        <v>0.7506</v>
      </c>
      <c r="K974" t="n">
        <v>0</v>
      </c>
      <c r="L974" t="n">
        <v>0.738</v>
      </c>
      <c r="M974" t="n">
        <v>0.262</v>
      </c>
    </row>
    <row r="975" spans="1:13">
      <c r="A975" s="1">
        <f>HYPERLINK("http://www.twitter.com/NathanBLawrence/status/989154318463918081", "989154318463918081")</f>
        <v/>
      </c>
      <c r="B975" s="2" t="n">
        <v>43215.61737268518</v>
      </c>
      <c r="C975" t="n">
        <v>0</v>
      </c>
      <c r="D975" t="n">
        <v>197</v>
      </c>
      <c r="E975" t="s">
        <v>985</v>
      </c>
      <c r="F975">
        <f>HYPERLINK("http://pbs.twimg.com/media/Dbn8-LJXUAAWEP4.jpg", "http://pbs.twimg.com/media/Dbn8-LJXUAAWEP4.jpg")</f>
        <v/>
      </c>
      <c r="G975" t="s"/>
      <c r="H975" t="s"/>
      <c r="I975" t="s"/>
      <c r="J975" t="n">
        <v>0.5747</v>
      </c>
      <c r="K975" t="n">
        <v>0.075</v>
      </c>
      <c r="L975" t="n">
        <v>0.674</v>
      </c>
      <c r="M975" t="n">
        <v>0.251</v>
      </c>
    </row>
    <row r="976" spans="1:13">
      <c r="A976" s="1">
        <f>HYPERLINK("http://www.twitter.com/NathanBLawrence/status/989154170224562177", "989154170224562177")</f>
        <v/>
      </c>
      <c r="B976" s="2" t="n">
        <v>43215.61696759259</v>
      </c>
      <c r="C976" t="n">
        <v>0</v>
      </c>
      <c r="D976" t="n">
        <v>559</v>
      </c>
      <c r="E976" t="s">
        <v>986</v>
      </c>
      <c r="F976">
        <f>HYPERLINK("http://pbs.twimg.com/media/Dbn7iZpWkAERVPa.jpg", "http://pbs.twimg.com/media/Dbn7iZpWkAERVPa.jpg")</f>
        <v/>
      </c>
      <c r="G976" t="s"/>
      <c r="H976" t="s"/>
      <c r="I976" t="s"/>
      <c r="J976" t="n">
        <v>0</v>
      </c>
      <c r="K976" t="n">
        <v>0</v>
      </c>
      <c r="L976" t="n">
        <v>1</v>
      </c>
      <c r="M976" t="n">
        <v>0</v>
      </c>
    </row>
    <row r="977" spans="1:13">
      <c r="A977" s="1">
        <f>HYPERLINK("http://www.twitter.com/NathanBLawrence/status/989154092860588035", "989154092860588035")</f>
        <v/>
      </c>
      <c r="B977" s="2" t="n">
        <v>43215.61674768518</v>
      </c>
      <c r="C977" t="n">
        <v>0</v>
      </c>
      <c r="D977" t="n">
        <v>221</v>
      </c>
      <c r="E977" t="s">
        <v>987</v>
      </c>
      <c r="F977">
        <f>HYPERLINK("http://pbs.twimg.com/media/DboH1Y8WAAA2UKR.jpg", "http://pbs.twimg.com/media/DboH1Y8WAAA2UKR.jpg")</f>
        <v/>
      </c>
      <c r="G977" t="s"/>
      <c r="H977" t="s"/>
      <c r="I977" t="s"/>
      <c r="J977" t="n">
        <v>0</v>
      </c>
      <c r="K977" t="n">
        <v>0</v>
      </c>
      <c r="L977" t="n">
        <v>1</v>
      </c>
      <c r="M977" t="n">
        <v>0</v>
      </c>
    </row>
    <row r="978" spans="1:13">
      <c r="A978" s="1">
        <f>HYPERLINK("http://www.twitter.com/NathanBLawrence/status/989154051005730816", "989154051005730816")</f>
        <v/>
      </c>
      <c r="B978" s="2" t="n">
        <v>43215.61664351852</v>
      </c>
      <c r="C978" t="n">
        <v>0</v>
      </c>
      <c r="D978" t="n">
        <v>864</v>
      </c>
      <c r="E978" t="s">
        <v>988</v>
      </c>
      <c r="F978">
        <f>HYPERLINK("http://pbs.twimg.com/media/DbocvnGVAAEPPM-.jpg", "http://pbs.twimg.com/media/DbocvnGVAAEPPM-.jpg")</f>
        <v/>
      </c>
      <c r="G978" t="s"/>
      <c r="H978" t="s"/>
      <c r="I978" t="s"/>
      <c r="J978" t="n">
        <v>0.0609</v>
      </c>
      <c r="K978" t="n">
        <v>0.136</v>
      </c>
      <c r="L978" t="n">
        <v>0.72</v>
      </c>
      <c r="M978" t="n">
        <v>0.144</v>
      </c>
    </row>
    <row r="979" spans="1:13">
      <c r="A979" s="1">
        <f>HYPERLINK("http://www.twitter.com/NathanBLawrence/status/989153939030343680", "989153939030343680")</f>
        <v/>
      </c>
      <c r="B979" s="2" t="n">
        <v>43215.61633101852</v>
      </c>
      <c r="C979" t="n">
        <v>0</v>
      </c>
      <c r="D979" t="n">
        <v>630</v>
      </c>
      <c r="E979" t="s">
        <v>989</v>
      </c>
      <c r="F979">
        <f>HYPERLINK("http://pbs.twimg.com/media/Dbn2210XcAAtv6k.jpg", "http://pbs.twimg.com/media/Dbn2210XcAAtv6k.jpg")</f>
        <v/>
      </c>
      <c r="G979" t="s"/>
      <c r="H979" t="s"/>
      <c r="I979" t="s"/>
      <c r="J979" t="n">
        <v>0.9658</v>
      </c>
      <c r="K979" t="n">
        <v>0</v>
      </c>
      <c r="L979" t="n">
        <v>0.439</v>
      </c>
      <c r="M979" t="n">
        <v>0.5610000000000001</v>
      </c>
    </row>
    <row r="980" spans="1:13">
      <c r="A980" s="1">
        <f>HYPERLINK("http://www.twitter.com/NathanBLawrence/status/989032996014559232", "989032996014559232")</f>
        <v/>
      </c>
      <c r="B980" s="2" t="n">
        <v>43215.28259259259</v>
      </c>
      <c r="C980" t="n">
        <v>0</v>
      </c>
      <c r="D980" t="n">
        <v>0</v>
      </c>
      <c r="E980" t="s">
        <v>990</v>
      </c>
      <c r="F980" t="s"/>
      <c r="G980" t="s"/>
      <c r="H980" t="s"/>
      <c r="I980" t="s"/>
      <c r="J980" t="n">
        <v>0</v>
      </c>
      <c r="K980" t="n">
        <v>0</v>
      </c>
      <c r="L980" t="n">
        <v>1</v>
      </c>
      <c r="M980" t="n">
        <v>0</v>
      </c>
    </row>
    <row r="981" spans="1:13">
      <c r="A981" s="1">
        <f>HYPERLINK("http://www.twitter.com/NathanBLawrence/status/989032441821237249", "989032441821237249")</f>
        <v/>
      </c>
      <c r="B981" s="2" t="n">
        <v>43215.28106481482</v>
      </c>
      <c r="C981" t="n">
        <v>0</v>
      </c>
      <c r="D981" t="n">
        <v>515</v>
      </c>
      <c r="E981" t="s">
        <v>991</v>
      </c>
      <c r="F981">
        <f>HYPERLINK("http://pbs.twimg.com/media/DbiY2RHU8AAU5Qs.jpg", "http://pbs.twimg.com/media/DbiY2RHU8AAU5Qs.jpg")</f>
        <v/>
      </c>
      <c r="G981" t="s"/>
      <c r="H981" t="s"/>
      <c r="I981" t="s"/>
      <c r="J981" t="n">
        <v>0</v>
      </c>
      <c r="K981" t="n">
        <v>0</v>
      </c>
      <c r="L981" t="n">
        <v>1</v>
      </c>
      <c r="M981" t="n">
        <v>0</v>
      </c>
    </row>
    <row r="982" spans="1:13">
      <c r="A982" s="1">
        <f>HYPERLINK("http://www.twitter.com/NathanBLawrence/status/989032395037970434", "989032395037970434")</f>
        <v/>
      </c>
      <c r="B982" s="2" t="n">
        <v>43215.28092592592</v>
      </c>
      <c r="C982" t="n">
        <v>0</v>
      </c>
      <c r="D982" t="n">
        <v>446</v>
      </c>
      <c r="E982" t="s">
        <v>992</v>
      </c>
      <c r="F982">
        <f>HYPERLINK("http://pbs.twimg.com/media/Dbk-FSNWkAI8f0E.jpg", "http://pbs.twimg.com/media/Dbk-FSNWkAI8f0E.jpg")</f>
        <v/>
      </c>
      <c r="G982" t="s"/>
      <c r="H982" t="s"/>
      <c r="I982" t="s"/>
      <c r="J982" t="n">
        <v>0</v>
      </c>
      <c r="K982" t="n">
        <v>0</v>
      </c>
      <c r="L982" t="n">
        <v>1</v>
      </c>
      <c r="M982" t="n">
        <v>0</v>
      </c>
    </row>
    <row r="983" spans="1:13">
      <c r="A983" s="1">
        <f>HYPERLINK("http://www.twitter.com/NathanBLawrence/status/989031691393126400", "989031691393126400")</f>
        <v/>
      </c>
      <c r="B983" s="2" t="n">
        <v>43215.27899305556</v>
      </c>
      <c r="C983" t="n">
        <v>10</v>
      </c>
      <c r="D983" t="n">
        <v>5</v>
      </c>
      <c r="E983" t="s">
        <v>993</v>
      </c>
      <c r="F983" t="s"/>
      <c r="G983" t="s"/>
      <c r="H983" t="s"/>
      <c r="I983" t="s"/>
      <c r="J983" t="n">
        <v>0</v>
      </c>
      <c r="K983" t="n">
        <v>0</v>
      </c>
      <c r="L983" t="n">
        <v>1</v>
      </c>
      <c r="M983" t="n">
        <v>0</v>
      </c>
    </row>
    <row r="984" spans="1:13">
      <c r="A984" s="1">
        <f>HYPERLINK("http://www.twitter.com/NathanBLawrence/status/989031248797585408", "989031248797585408")</f>
        <v/>
      </c>
      <c r="B984" s="2" t="n">
        <v>43215.2777662037</v>
      </c>
      <c r="C984" t="n">
        <v>0</v>
      </c>
      <c r="D984" t="n">
        <v>986</v>
      </c>
      <c r="E984" t="s">
        <v>994</v>
      </c>
      <c r="F984">
        <f>HYPERLINK("http://pbs.twimg.com/media/DbkL2hnV4AEYhU3.jpg", "http://pbs.twimg.com/media/DbkL2hnV4AEYhU3.jpg")</f>
        <v/>
      </c>
      <c r="G984" t="s"/>
      <c r="H984" t="s"/>
      <c r="I984" t="s"/>
      <c r="J984" t="n">
        <v>0.0772</v>
      </c>
      <c r="K984" t="n">
        <v>0.127</v>
      </c>
      <c r="L984" t="n">
        <v>0.732</v>
      </c>
      <c r="M984" t="n">
        <v>0.141</v>
      </c>
    </row>
    <row r="985" spans="1:13">
      <c r="A985" s="1">
        <f>HYPERLINK("http://www.twitter.com/NathanBLawrence/status/989031091347574784", "989031091347574784")</f>
        <v/>
      </c>
      <c r="B985" s="2" t="n">
        <v>43215.27733796297</v>
      </c>
      <c r="C985" t="n">
        <v>0</v>
      </c>
      <c r="D985" t="n">
        <v>1250</v>
      </c>
      <c r="E985" t="s">
        <v>995</v>
      </c>
      <c r="F985">
        <f>HYPERLINK("http://pbs.twimg.com/media/DblftgwVwAAONDm.jpg", "http://pbs.twimg.com/media/DblftgwVwAAONDm.jpg")</f>
        <v/>
      </c>
      <c r="G985" t="s"/>
      <c r="H985" t="s"/>
      <c r="I985" t="s"/>
      <c r="J985" t="n">
        <v>0.8225</v>
      </c>
      <c r="K985" t="n">
        <v>0</v>
      </c>
      <c r="L985" t="n">
        <v>0.482</v>
      </c>
      <c r="M985" t="n">
        <v>0.518</v>
      </c>
    </row>
    <row r="986" spans="1:13">
      <c r="A986" s="1">
        <f>HYPERLINK("http://www.twitter.com/NathanBLawrence/status/989030488642936832", "989030488642936832")</f>
        <v/>
      </c>
      <c r="B986" s="2" t="n">
        <v>43215.27567129629</v>
      </c>
      <c r="C986" t="n">
        <v>7</v>
      </c>
      <c r="D986" t="n">
        <v>1</v>
      </c>
      <c r="E986" t="s">
        <v>996</v>
      </c>
      <c r="F986" t="s"/>
      <c r="G986" t="s"/>
      <c r="H986" t="s"/>
      <c r="I986" t="s"/>
      <c r="J986" t="n">
        <v>0.6369</v>
      </c>
      <c r="K986" t="n">
        <v>0</v>
      </c>
      <c r="L986" t="n">
        <v>0.588</v>
      </c>
      <c r="M986" t="n">
        <v>0.412</v>
      </c>
    </row>
    <row r="987" spans="1:13">
      <c r="A987" s="1">
        <f>HYPERLINK("http://www.twitter.com/NathanBLawrence/status/989024610011107328", "989024610011107328")</f>
        <v/>
      </c>
      <c r="B987" s="2" t="n">
        <v>43215.25944444445</v>
      </c>
      <c r="C987" t="n">
        <v>0</v>
      </c>
      <c r="D987" t="n">
        <v>588</v>
      </c>
      <c r="E987" t="s">
        <v>997</v>
      </c>
      <c r="F987">
        <f>HYPERLINK("http://pbs.twimg.com/media/Dbb7sEbUwAAZka8.jpg", "http://pbs.twimg.com/media/Dbb7sEbUwAAZka8.jpg")</f>
        <v/>
      </c>
      <c r="G987">
        <f>HYPERLINK("http://pbs.twimg.com/media/Dbb7tR2U8AUjScJ.jpg", "http://pbs.twimg.com/media/Dbb7tR2U8AUjScJ.jpg")</f>
        <v/>
      </c>
      <c r="H987">
        <f>HYPERLINK("http://pbs.twimg.com/media/Dbb7tfpVQAIC3QU.jpg", "http://pbs.twimg.com/media/Dbb7tfpVQAIC3QU.jpg")</f>
        <v/>
      </c>
      <c r="I987">
        <f>HYPERLINK("http://pbs.twimg.com/media/Dbb7urkUwAA0Qkx.jpg", "http://pbs.twimg.com/media/Dbb7urkUwAA0Qkx.jpg")</f>
        <v/>
      </c>
      <c r="J987" t="n">
        <v>-0.7603</v>
      </c>
      <c r="K987" t="n">
        <v>0.303</v>
      </c>
      <c r="L987" t="n">
        <v>0.586</v>
      </c>
      <c r="M987" t="n">
        <v>0.111</v>
      </c>
    </row>
    <row r="988" spans="1:13">
      <c r="A988" s="1">
        <f>HYPERLINK("http://www.twitter.com/NathanBLawrence/status/989024074494955520", "989024074494955520")</f>
        <v/>
      </c>
      <c r="B988" s="2" t="n">
        <v>43215.25797453704</v>
      </c>
      <c r="C988" t="n">
        <v>0</v>
      </c>
      <c r="D988" t="n">
        <v>1157</v>
      </c>
      <c r="E988" t="s">
        <v>998</v>
      </c>
      <c r="F988">
        <f>HYPERLINK("https://video.twimg.com/amplify_video/988734875363692544/vid/1280x720/1QPcnFhjcnaP_L6B.mp4?tag=2", "https://video.twimg.com/amplify_video/988734875363692544/vid/1280x720/1QPcnFhjcnaP_L6B.mp4?tag=2")</f>
        <v/>
      </c>
      <c r="G988" t="s"/>
      <c r="H988" t="s"/>
      <c r="I988" t="s"/>
      <c r="J988" t="n">
        <v>0</v>
      </c>
      <c r="K988" t="n">
        <v>0</v>
      </c>
      <c r="L988" t="n">
        <v>1</v>
      </c>
      <c r="M988" t="n">
        <v>0</v>
      </c>
    </row>
    <row r="989" spans="1:13">
      <c r="A989" s="1">
        <f>HYPERLINK("http://www.twitter.com/NathanBLawrence/status/989023959042605056", "989023959042605056")</f>
        <v/>
      </c>
      <c r="B989" s="2" t="n">
        <v>43215.25765046296</v>
      </c>
      <c r="C989" t="n">
        <v>0</v>
      </c>
      <c r="D989" t="n">
        <v>137</v>
      </c>
      <c r="E989" t="s">
        <v>999</v>
      </c>
      <c r="F989">
        <f>HYPERLINK("http://pbs.twimg.com/media/DbjukC1XUAAytS9.jpg", "http://pbs.twimg.com/media/DbjukC1XUAAytS9.jpg")</f>
        <v/>
      </c>
      <c r="G989" t="s"/>
      <c r="H989" t="s"/>
      <c r="I989" t="s"/>
      <c r="J989" t="n">
        <v>0</v>
      </c>
      <c r="K989" t="n">
        <v>0</v>
      </c>
      <c r="L989" t="n">
        <v>1</v>
      </c>
      <c r="M989" t="n">
        <v>0</v>
      </c>
    </row>
    <row r="990" spans="1:13">
      <c r="A990" s="1">
        <f>HYPERLINK("http://www.twitter.com/NathanBLawrence/status/989023638950039552", "989023638950039552")</f>
        <v/>
      </c>
      <c r="B990" s="2" t="n">
        <v>43215.25677083333</v>
      </c>
      <c r="C990" t="n">
        <v>0</v>
      </c>
      <c r="D990" t="n">
        <v>625</v>
      </c>
      <c r="E990" t="s">
        <v>1000</v>
      </c>
      <c r="F990">
        <f>HYPERLINK("http://pbs.twimg.com/media/DbmpC4wVMAAYRzc.jpg", "http://pbs.twimg.com/media/DbmpC4wVMAAYRzc.jpg")</f>
        <v/>
      </c>
      <c r="G990" t="s"/>
      <c r="H990" t="s"/>
      <c r="I990" t="s"/>
      <c r="J990" t="n">
        <v>-0.0516</v>
      </c>
      <c r="K990" t="n">
        <v>0.16</v>
      </c>
      <c r="L990" t="n">
        <v>0.6860000000000001</v>
      </c>
      <c r="M990" t="n">
        <v>0.154</v>
      </c>
    </row>
    <row r="991" spans="1:13">
      <c r="A991" s="1">
        <f>HYPERLINK("http://www.twitter.com/NathanBLawrence/status/989023335693484032", "989023335693484032")</f>
        <v/>
      </c>
      <c r="B991" s="2" t="n">
        <v>43215.2559375</v>
      </c>
      <c r="C991" t="n">
        <v>0</v>
      </c>
      <c r="D991" t="n">
        <v>591</v>
      </c>
      <c r="E991" t="s">
        <v>1001</v>
      </c>
      <c r="F991">
        <f>HYPERLINK("http://pbs.twimg.com/media/Dbk5yX2UwAAq9lo.jpg", "http://pbs.twimg.com/media/Dbk5yX2UwAAq9lo.jpg")</f>
        <v/>
      </c>
      <c r="G991" t="s"/>
      <c r="H991" t="s"/>
      <c r="I991" t="s"/>
      <c r="J991" t="n">
        <v>-0.0387</v>
      </c>
      <c r="K991" t="n">
        <v>0.149</v>
      </c>
      <c r="L991" t="n">
        <v>0.747</v>
      </c>
      <c r="M991" t="n">
        <v>0.104</v>
      </c>
    </row>
    <row r="992" spans="1:13">
      <c r="A992" s="1">
        <f>HYPERLINK("http://www.twitter.com/NathanBLawrence/status/989023070739316736", "989023070739316736")</f>
        <v/>
      </c>
      <c r="B992" s="2" t="n">
        <v>43215.25519675926</v>
      </c>
      <c r="C992" t="n">
        <v>0</v>
      </c>
      <c r="D992" t="n">
        <v>114</v>
      </c>
      <c r="E992" t="s">
        <v>1002</v>
      </c>
      <c r="F992">
        <f>HYPERLINK("http://pbs.twimg.com/media/DblrffRVQAIOm7e.jpg", "http://pbs.twimg.com/media/DblrffRVQAIOm7e.jpg")</f>
        <v/>
      </c>
      <c r="G992" t="s"/>
      <c r="H992" t="s"/>
      <c r="I992" t="s"/>
      <c r="J992" t="n">
        <v>0</v>
      </c>
      <c r="K992" t="n">
        <v>0</v>
      </c>
      <c r="L992" t="n">
        <v>1</v>
      </c>
      <c r="M992" t="n">
        <v>0</v>
      </c>
    </row>
    <row r="993" spans="1:13">
      <c r="A993" s="1">
        <f>HYPERLINK("http://www.twitter.com/NathanBLawrence/status/989022800265408512", "989022800265408512")</f>
        <v/>
      </c>
      <c r="B993" s="2" t="n">
        <v>43215.25445601852</v>
      </c>
      <c r="C993" t="n">
        <v>0</v>
      </c>
      <c r="D993" t="n">
        <v>18794</v>
      </c>
      <c r="E993" t="s">
        <v>1003</v>
      </c>
      <c r="F993">
        <f>HYPERLINK("http://pbs.twimg.com/media/Dbe_zruUQAADtwi.jpg", "http://pbs.twimg.com/media/Dbe_zruUQAADtwi.jpg")</f>
        <v/>
      </c>
      <c r="G993" t="s"/>
      <c r="H993" t="s"/>
      <c r="I993" t="s"/>
      <c r="J993" t="n">
        <v>0</v>
      </c>
      <c r="K993" t="n">
        <v>0</v>
      </c>
      <c r="L993" t="n">
        <v>1</v>
      </c>
      <c r="M993" t="n">
        <v>0</v>
      </c>
    </row>
    <row r="994" spans="1:13">
      <c r="A994" s="1">
        <f>HYPERLINK("http://www.twitter.com/NathanBLawrence/status/989022622208806912", "989022622208806912")</f>
        <v/>
      </c>
      <c r="B994" s="2" t="n">
        <v>43215.25395833333</v>
      </c>
      <c r="C994" t="n">
        <v>0</v>
      </c>
      <c r="D994" t="n">
        <v>16016</v>
      </c>
      <c r="E994" t="s">
        <v>1004</v>
      </c>
      <c r="F994">
        <f>HYPERLINK("http://pbs.twimg.com/media/Dbjp3gfU8AE3rCy.jpg", "http://pbs.twimg.com/media/Dbjp3gfU8AE3rCy.jpg")</f>
        <v/>
      </c>
      <c r="G994" t="s"/>
      <c r="H994" t="s"/>
      <c r="I994" t="s"/>
      <c r="J994" t="n">
        <v>0</v>
      </c>
      <c r="K994" t="n">
        <v>0</v>
      </c>
      <c r="L994" t="n">
        <v>1</v>
      </c>
      <c r="M994" t="n">
        <v>0</v>
      </c>
    </row>
    <row r="995" spans="1:13">
      <c r="A995" s="1">
        <f>HYPERLINK("http://www.twitter.com/NathanBLawrence/status/989022539119673345", "989022539119673345")</f>
        <v/>
      </c>
      <c r="B995" s="2" t="n">
        <v>43215.25373842593</v>
      </c>
      <c r="C995" t="n">
        <v>0</v>
      </c>
      <c r="D995" t="n">
        <v>183</v>
      </c>
      <c r="E995" t="s">
        <v>1005</v>
      </c>
      <c r="F995">
        <f>HYPERLINK("http://pbs.twimg.com/media/DblpOKEX0AAeDPZ.jpg", "http://pbs.twimg.com/media/DblpOKEX0AAeDPZ.jpg")</f>
        <v/>
      </c>
      <c r="G995" t="s"/>
      <c r="H995" t="s"/>
      <c r="I995" t="s"/>
      <c r="J995" t="n">
        <v>0.25</v>
      </c>
      <c r="K995" t="n">
        <v>0.164</v>
      </c>
      <c r="L995" t="n">
        <v>0.672</v>
      </c>
      <c r="M995" t="n">
        <v>0.164</v>
      </c>
    </row>
    <row r="996" spans="1:13">
      <c r="A996" s="1">
        <f>HYPERLINK("http://www.twitter.com/NathanBLawrence/status/989022358332571649", "989022358332571649")</f>
        <v/>
      </c>
      <c r="B996" s="2" t="n">
        <v>43215.25324074074</v>
      </c>
      <c r="C996" t="n">
        <v>0</v>
      </c>
      <c r="D996" t="n">
        <v>201</v>
      </c>
      <c r="E996" t="s">
        <v>1006</v>
      </c>
      <c r="F996" t="s"/>
      <c r="G996" t="s"/>
      <c r="H996" t="s"/>
      <c r="I996" t="s"/>
      <c r="J996" t="n">
        <v>0.2732</v>
      </c>
      <c r="K996" t="n">
        <v>0</v>
      </c>
      <c r="L996" t="n">
        <v>0.704</v>
      </c>
      <c r="M996" t="n">
        <v>0.296</v>
      </c>
    </row>
    <row r="997" spans="1:13">
      <c r="A997" s="1">
        <f>HYPERLINK("http://www.twitter.com/NathanBLawrence/status/989021951522820096", "989021951522820096")</f>
        <v/>
      </c>
      <c r="B997" s="2" t="n">
        <v>43215.25211805556</v>
      </c>
      <c r="C997" t="n">
        <v>0</v>
      </c>
      <c r="D997" t="n">
        <v>35</v>
      </c>
      <c r="E997" t="s">
        <v>1007</v>
      </c>
      <c r="F997" t="s"/>
      <c r="G997" t="s"/>
      <c r="H997" t="s"/>
      <c r="I997" t="s"/>
      <c r="J997" t="n">
        <v>-0.5574</v>
      </c>
      <c r="K997" t="n">
        <v>0.315</v>
      </c>
      <c r="L997" t="n">
        <v>0.6850000000000001</v>
      </c>
      <c r="M997" t="n">
        <v>0</v>
      </c>
    </row>
    <row r="998" spans="1:13">
      <c r="A998" s="1">
        <f>HYPERLINK("http://www.twitter.com/NathanBLawrence/status/989021642176188416", "989021642176188416")</f>
        <v/>
      </c>
      <c r="B998" s="2" t="n">
        <v>43215.25126157407</v>
      </c>
      <c r="C998" t="n">
        <v>94</v>
      </c>
      <c r="D998" t="n">
        <v>55</v>
      </c>
      <c r="E998" t="s">
        <v>1008</v>
      </c>
      <c r="F998">
        <f>HYPERLINK("http://pbs.twimg.com/media/Dbm14jlWsAEe1eD.jpg", "http://pbs.twimg.com/media/Dbm14jlWsAEe1eD.jpg")</f>
        <v/>
      </c>
      <c r="G998" t="s"/>
      <c r="H998" t="s"/>
      <c r="I998" t="s"/>
      <c r="J998" t="n">
        <v>0</v>
      </c>
      <c r="K998" t="n">
        <v>0</v>
      </c>
      <c r="L998" t="n">
        <v>1</v>
      </c>
      <c r="M998" t="n">
        <v>0</v>
      </c>
    </row>
    <row r="999" spans="1:13">
      <c r="A999" s="1">
        <f>HYPERLINK("http://www.twitter.com/NathanBLawrence/status/989021441159979008", "989021441159979008")</f>
        <v/>
      </c>
      <c r="B999" s="2" t="n">
        <v>43215.25070601852</v>
      </c>
      <c r="C999" t="n">
        <v>21</v>
      </c>
      <c r="D999" t="n">
        <v>5</v>
      </c>
      <c r="E999" t="s">
        <v>1009</v>
      </c>
      <c r="F999">
        <f>HYPERLINK("http://pbs.twimg.com/media/Dbm1i4DVMAEbADQ.jpg", "http://pbs.twimg.com/media/Dbm1i4DVMAEbADQ.jpg")</f>
        <v/>
      </c>
      <c r="G999" t="s"/>
      <c r="H999" t="s"/>
      <c r="I999" t="s"/>
      <c r="J999" t="n">
        <v>0</v>
      </c>
      <c r="K999" t="n">
        <v>0</v>
      </c>
      <c r="L999" t="n">
        <v>1</v>
      </c>
      <c r="M999" t="n">
        <v>0</v>
      </c>
    </row>
    <row r="1000" spans="1:13">
      <c r="A1000" s="1">
        <f>HYPERLINK("http://www.twitter.com/NathanBLawrence/status/989018715764084736", "989018715764084736")</f>
        <v/>
      </c>
      <c r="B1000" s="2" t="n">
        <v>43215.24318287037</v>
      </c>
      <c r="C1000" t="n">
        <v>9</v>
      </c>
      <c r="D1000" t="n">
        <v>3</v>
      </c>
      <c r="E1000" t="s">
        <v>1010</v>
      </c>
      <c r="F1000">
        <f>HYPERLINK("http://pbs.twimg.com/media/DbmzL_YU8AA-Xdy.jpg", "http://pbs.twimg.com/media/DbmzL_YU8AA-Xdy.jpg")</f>
        <v/>
      </c>
      <c r="G1000" t="s"/>
      <c r="H1000" t="s"/>
      <c r="I1000" t="s"/>
      <c r="J1000" t="n">
        <v>0</v>
      </c>
      <c r="K1000" t="n">
        <v>0</v>
      </c>
      <c r="L1000" t="n">
        <v>1</v>
      </c>
      <c r="M1000" t="n">
        <v>0</v>
      </c>
    </row>
    <row r="1001" spans="1:13">
      <c r="A1001" s="1">
        <f>HYPERLINK("http://www.twitter.com/NathanBLawrence/status/989018154000048128", "989018154000048128")</f>
        <v/>
      </c>
      <c r="B1001" s="2" t="n">
        <v>43215.24163194445</v>
      </c>
      <c r="C1001" t="n">
        <v>0</v>
      </c>
      <c r="D1001" t="n">
        <v>147</v>
      </c>
      <c r="E1001" t="s">
        <v>1011</v>
      </c>
      <c r="F1001">
        <f>HYPERLINK("http://pbs.twimg.com/media/Dbl_Hy-UQAAG0vB.jpg", "http://pbs.twimg.com/media/Dbl_Hy-UQAAG0vB.jpg")</f>
        <v/>
      </c>
      <c r="G1001" t="s"/>
      <c r="H1001" t="s"/>
      <c r="I1001" t="s"/>
      <c r="J1001" t="n">
        <v>0</v>
      </c>
      <c r="K1001" t="n">
        <v>0</v>
      </c>
      <c r="L1001" t="n">
        <v>1</v>
      </c>
      <c r="M1001" t="n">
        <v>0</v>
      </c>
    </row>
    <row r="1002" spans="1:13">
      <c r="A1002" s="1">
        <f>HYPERLINK("http://www.twitter.com/NathanBLawrence/status/989018058722193408", "989018058722193408")</f>
        <v/>
      </c>
      <c r="B1002" s="2" t="n">
        <v>43215.24136574074</v>
      </c>
      <c r="C1002" t="n">
        <v>0</v>
      </c>
      <c r="D1002" t="n">
        <v>134</v>
      </c>
      <c r="E1002" t="s">
        <v>1012</v>
      </c>
      <c r="F1002">
        <f>HYPERLINK("http://pbs.twimg.com/media/Dbl95QeX4AEHF2l.jpg", "http://pbs.twimg.com/media/Dbl95QeX4AEHF2l.jpg")</f>
        <v/>
      </c>
      <c r="G1002" t="s"/>
      <c r="H1002" t="s"/>
      <c r="I1002" t="s"/>
      <c r="J1002" t="n">
        <v>0.8977000000000001</v>
      </c>
      <c r="K1002" t="n">
        <v>0</v>
      </c>
      <c r="L1002" t="n">
        <v>0.402</v>
      </c>
      <c r="M1002" t="n">
        <v>0.598</v>
      </c>
    </row>
    <row r="1003" spans="1:13">
      <c r="A1003" s="1">
        <f>HYPERLINK("http://www.twitter.com/NathanBLawrence/status/989017841201332224", "989017841201332224")</f>
        <v/>
      </c>
      <c r="B1003" s="2" t="n">
        <v>43215.24077546296</v>
      </c>
      <c r="C1003" t="n">
        <v>3</v>
      </c>
      <c r="D1003" t="n">
        <v>1</v>
      </c>
      <c r="E1003" t="s">
        <v>1013</v>
      </c>
      <c r="F1003" t="s"/>
      <c r="G1003" t="s"/>
      <c r="H1003" t="s"/>
      <c r="I1003" t="s"/>
      <c r="J1003" t="n">
        <v>-0.3818</v>
      </c>
      <c r="K1003" t="n">
        <v>0.274</v>
      </c>
      <c r="L1003" t="n">
        <v>0.625</v>
      </c>
      <c r="M1003" t="n">
        <v>0.101</v>
      </c>
    </row>
    <row r="1004" spans="1:13">
      <c r="A1004" s="1">
        <f>HYPERLINK("http://www.twitter.com/NathanBLawrence/status/989017608073625600", "989017608073625600")</f>
        <v/>
      </c>
      <c r="B1004" s="2" t="n">
        <v>43215.24012731481</v>
      </c>
      <c r="C1004" t="n">
        <v>0</v>
      </c>
      <c r="D1004" t="n">
        <v>0</v>
      </c>
      <c r="E1004" t="s">
        <v>1014</v>
      </c>
      <c r="F1004" t="s"/>
      <c r="G1004" t="s"/>
      <c r="H1004" t="s"/>
      <c r="I1004" t="s"/>
      <c r="J1004" t="n">
        <v>-0.2732</v>
      </c>
      <c r="K1004" t="n">
        <v>0.231</v>
      </c>
      <c r="L1004" t="n">
        <v>0.769</v>
      </c>
      <c r="M1004" t="n">
        <v>0</v>
      </c>
    </row>
    <row r="1005" spans="1:13">
      <c r="A1005" s="1">
        <f>HYPERLINK("http://www.twitter.com/NathanBLawrence/status/989017277272997888", "989017277272997888")</f>
        <v/>
      </c>
      <c r="B1005" s="2" t="n">
        <v>43215.23921296297</v>
      </c>
      <c r="C1005" t="n">
        <v>4</v>
      </c>
      <c r="D1005" t="n">
        <v>0</v>
      </c>
      <c r="E1005" t="s">
        <v>1015</v>
      </c>
      <c r="F1005" t="s"/>
      <c r="G1005" t="s"/>
      <c r="H1005" t="s"/>
      <c r="I1005" t="s"/>
      <c r="J1005" t="n">
        <v>-0.5106000000000001</v>
      </c>
      <c r="K1005" t="n">
        <v>0.191</v>
      </c>
      <c r="L1005" t="n">
        <v>0.8090000000000001</v>
      </c>
      <c r="M1005" t="n">
        <v>0</v>
      </c>
    </row>
    <row r="1006" spans="1:13">
      <c r="A1006" s="1">
        <f>HYPERLINK("http://www.twitter.com/NathanBLawrence/status/989017009013772288", "989017009013772288")</f>
        <v/>
      </c>
      <c r="B1006" s="2" t="n">
        <v>43215.23847222222</v>
      </c>
      <c r="C1006" t="n">
        <v>0</v>
      </c>
      <c r="D1006" t="n">
        <v>4</v>
      </c>
      <c r="E1006" t="s">
        <v>1016</v>
      </c>
      <c r="F1006" t="s"/>
      <c r="G1006" t="s"/>
      <c r="H1006" t="s"/>
      <c r="I1006" t="s"/>
      <c r="J1006" t="n">
        <v>0</v>
      </c>
      <c r="K1006" t="n">
        <v>0</v>
      </c>
      <c r="L1006" t="n">
        <v>1</v>
      </c>
      <c r="M1006" t="n">
        <v>0</v>
      </c>
    </row>
    <row r="1007" spans="1:13">
      <c r="A1007" s="1">
        <f>HYPERLINK("http://www.twitter.com/NathanBLawrence/status/989016648903376896", "989016648903376896")</f>
        <v/>
      </c>
      <c r="B1007" s="2" t="n">
        <v>43215.23747685185</v>
      </c>
      <c r="C1007" t="n">
        <v>0</v>
      </c>
      <c r="D1007" t="n">
        <v>628</v>
      </c>
      <c r="E1007" t="s">
        <v>1017</v>
      </c>
      <c r="F1007">
        <f>HYPERLINK("http://pbs.twimg.com/media/Dbf5S1hV0AEDf7F.jpg", "http://pbs.twimg.com/media/Dbf5S1hV0AEDf7F.jpg")</f>
        <v/>
      </c>
      <c r="G1007" t="s"/>
      <c r="H1007" t="s"/>
      <c r="I1007" t="s"/>
      <c r="J1007" t="n">
        <v>0.6696</v>
      </c>
      <c r="K1007" t="n">
        <v>0</v>
      </c>
      <c r="L1007" t="n">
        <v>0.609</v>
      </c>
      <c r="M1007" t="n">
        <v>0.391</v>
      </c>
    </row>
    <row r="1008" spans="1:13">
      <c r="A1008" s="1">
        <f>HYPERLINK("http://www.twitter.com/NathanBLawrence/status/989016534860251136", "989016534860251136")</f>
        <v/>
      </c>
      <c r="B1008" s="2" t="n">
        <v>43215.23716435185</v>
      </c>
      <c r="C1008" t="n">
        <v>0</v>
      </c>
      <c r="D1008" t="n">
        <v>2055</v>
      </c>
      <c r="E1008" t="s">
        <v>1018</v>
      </c>
      <c r="F1008">
        <f>HYPERLINK("http://pbs.twimg.com/media/DbkmgFnU8AAAyda.jpg", "http://pbs.twimg.com/media/DbkmgFnU8AAAyda.jpg")</f>
        <v/>
      </c>
      <c r="G1008" t="s"/>
      <c r="H1008" t="s"/>
      <c r="I1008" t="s"/>
      <c r="J1008" t="n">
        <v>0.6696</v>
      </c>
      <c r="K1008" t="n">
        <v>0</v>
      </c>
      <c r="L1008" t="n">
        <v>0.667</v>
      </c>
      <c r="M1008" t="n">
        <v>0.333</v>
      </c>
    </row>
    <row r="1009" spans="1:13">
      <c r="A1009" s="1">
        <f>HYPERLINK("http://www.twitter.com/NathanBLawrence/status/989016444531720192", "989016444531720192")</f>
        <v/>
      </c>
      <c r="B1009" s="2" t="n">
        <v>43215.23692129629</v>
      </c>
      <c r="C1009" t="n">
        <v>0</v>
      </c>
      <c r="D1009" t="n">
        <v>23</v>
      </c>
      <c r="E1009" t="s">
        <v>1019</v>
      </c>
      <c r="F1009">
        <f>HYPERLINK("http://pbs.twimg.com/media/DbkyBn4V4AAqs5c.jpg", "http://pbs.twimg.com/media/DbkyBn4V4AAqs5c.jpg")</f>
        <v/>
      </c>
      <c r="G1009" t="s"/>
      <c r="H1009" t="s"/>
      <c r="I1009" t="s"/>
      <c r="J1009" t="n">
        <v>0</v>
      </c>
      <c r="K1009" t="n">
        <v>0</v>
      </c>
      <c r="L1009" t="n">
        <v>1</v>
      </c>
      <c r="M1009" t="n">
        <v>0</v>
      </c>
    </row>
    <row r="1010" spans="1:13">
      <c r="A1010" s="1">
        <f>HYPERLINK("http://www.twitter.com/NathanBLawrence/status/988659395813756929", "988659395813756929")</f>
        <v/>
      </c>
      <c r="B1010" s="2" t="n">
        <v>43214.25165509259</v>
      </c>
      <c r="C1010" t="n">
        <v>0</v>
      </c>
      <c r="D1010" t="n">
        <v>132</v>
      </c>
      <c r="E1010" t="s">
        <v>1020</v>
      </c>
      <c r="F1010" t="s"/>
      <c r="G1010" t="s"/>
      <c r="H1010" t="s"/>
      <c r="I1010" t="s"/>
      <c r="J1010" t="n">
        <v>-0.3169</v>
      </c>
      <c r="K1010" t="n">
        <v>0.223</v>
      </c>
      <c r="L1010" t="n">
        <v>0.663</v>
      </c>
      <c r="M1010" t="n">
        <v>0.114</v>
      </c>
    </row>
    <row r="1011" spans="1:13">
      <c r="A1011" s="1">
        <f>HYPERLINK("http://www.twitter.com/NathanBLawrence/status/988659364692045824", "988659364692045824")</f>
        <v/>
      </c>
      <c r="B1011" s="2" t="n">
        <v>43214.2515625</v>
      </c>
      <c r="C1011" t="n">
        <v>0</v>
      </c>
      <c r="D1011" t="n">
        <v>660</v>
      </c>
      <c r="E1011" t="s">
        <v>1021</v>
      </c>
      <c r="F1011" t="s"/>
      <c r="G1011" t="s"/>
      <c r="H1011" t="s"/>
      <c r="I1011" t="s"/>
      <c r="J1011" t="n">
        <v>0</v>
      </c>
      <c r="K1011" t="n">
        <v>0</v>
      </c>
      <c r="L1011" t="n">
        <v>1</v>
      </c>
      <c r="M1011" t="n">
        <v>0</v>
      </c>
    </row>
    <row r="1012" spans="1:13">
      <c r="A1012" s="1">
        <f>HYPERLINK("http://www.twitter.com/NathanBLawrence/status/988641083037859842", "988641083037859842")</f>
        <v/>
      </c>
      <c r="B1012" s="2" t="n">
        <v>43214.20111111111</v>
      </c>
      <c r="C1012" t="n">
        <v>0</v>
      </c>
      <c r="D1012" t="n">
        <v>1510</v>
      </c>
      <c r="E1012" t="s">
        <v>1022</v>
      </c>
      <c r="F1012">
        <f>HYPERLINK("http://pbs.twimg.com/media/DbfXJsxWkAEwVnk.jpg", "http://pbs.twimg.com/media/DbfXJsxWkAEwVnk.jpg")</f>
        <v/>
      </c>
      <c r="G1012" t="s"/>
      <c r="H1012" t="s"/>
      <c r="I1012" t="s"/>
      <c r="J1012" t="n">
        <v>0.7405</v>
      </c>
      <c r="K1012" t="n">
        <v>0</v>
      </c>
      <c r="L1012" t="n">
        <v>0.8070000000000001</v>
      </c>
      <c r="M1012" t="n">
        <v>0.193</v>
      </c>
    </row>
    <row r="1013" spans="1:13">
      <c r="A1013" s="1">
        <f>HYPERLINK("http://www.twitter.com/NathanBLawrence/status/988640576424722432", "988640576424722432")</f>
        <v/>
      </c>
      <c r="B1013" s="2" t="n">
        <v>43214.19972222222</v>
      </c>
      <c r="C1013" t="n">
        <v>27</v>
      </c>
      <c r="D1013" t="n">
        <v>11</v>
      </c>
      <c r="E1013" t="s">
        <v>1023</v>
      </c>
      <c r="F1013" t="s"/>
      <c r="G1013" t="s"/>
      <c r="H1013" t="s"/>
      <c r="I1013" t="s"/>
      <c r="J1013" t="n">
        <v>0</v>
      </c>
      <c r="K1013" t="n">
        <v>0</v>
      </c>
      <c r="L1013" t="n">
        <v>1</v>
      </c>
      <c r="M1013" t="n">
        <v>0</v>
      </c>
    </row>
    <row r="1014" spans="1:13">
      <c r="A1014" s="1">
        <f>HYPERLINK("http://www.twitter.com/NathanBLawrence/status/988637510401064961", "988637510401064961")</f>
        <v/>
      </c>
      <c r="B1014" s="2" t="n">
        <v>43214.19126157407</v>
      </c>
      <c r="C1014" t="n">
        <v>0</v>
      </c>
      <c r="D1014" t="n">
        <v>28</v>
      </c>
      <c r="E1014" t="s">
        <v>1024</v>
      </c>
      <c r="F1014">
        <f>HYPERLINK("http://pbs.twimg.com/media/DbhDWb3U8AAvG1c.jpg", "http://pbs.twimg.com/media/DbhDWb3U8AAvG1c.jpg")</f>
        <v/>
      </c>
      <c r="G1014" t="s"/>
      <c r="H1014" t="s"/>
      <c r="I1014" t="s"/>
      <c r="J1014" t="n">
        <v>0</v>
      </c>
      <c r="K1014" t="n">
        <v>0</v>
      </c>
      <c r="L1014" t="n">
        <v>1</v>
      </c>
      <c r="M1014" t="n">
        <v>0</v>
      </c>
    </row>
    <row r="1015" spans="1:13">
      <c r="A1015" s="1">
        <f>HYPERLINK("http://www.twitter.com/NathanBLawrence/status/988634965037346818", "988634965037346818")</f>
        <v/>
      </c>
      <c r="B1015" s="2" t="n">
        <v>43214.18423611111</v>
      </c>
      <c r="C1015" t="n">
        <v>0</v>
      </c>
      <c r="D1015" t="n">
        <v>30</v>
      </c>
      <c r="E1015" t="s">
        <v>1025</v>
      </c>
      <c r="F1015">
        <f>HYPERLINK("http://pbs.twimg.com/media/Dbf37MSU0AAP36y.jpg", "http://pbs.twimg.com/media/Dbf37MSU0AAP36y.jpg")</f>
        <v/>
      </c>
      <c r="G1015" t="s"/>
      <c r="H1015" t="s"/>
      <c r="I1015" t="s"/>
      <c r="J1015" t="n">
        <v>0.5525</v>
      </c>
      <c r="K1015" t="n">
        <v>0.096</v>
      </c>
      <c r="L1015" t="n">
        <v>0.657</v>
      </c>
      <c r="M1015" t="n">
        <v>0.246</v>
      </c>
    </row>
    <row r="1016" spans="1:13">
      <c r="A1016" s="1">
        <f>HYPERLINK("http://www.twitter.com/NathanBLawrence/status/988631611439697921", "988631611439697921")</f>
        <v/>
      </c>
      <c r="B1016" s="2" t="n">
        <v>43214.17497685185</v>
      </c>
      <c r="C1016" t="n">
        <v>0</v>
      </c>
      <c r="D1016" t="n">
        <v>692</v>
      </c>
      <c r="E1016" t="s">
        <v>1026</v>
      </c>
      <c r="F1016">
        <f>HYPERLINK("http://pbs.twimg.com/media/Dbf3qVeVMAA1kCe.jpg", "http://pbs.twimg.com/media/Dbf3qVeVMAA1kCe.jpg")</f>
        <v/>
      </c>
      <c r="G1016" t="s"/>
      <c r="H1016" t="s"/>
      <c r="I1016" t="s"/>
      <c r="J1016" t="n">
        <v>0.6467000000000001</v>
      </c>
      <c r="K1016" t="n">
        <v>0</v>
      </c>
      <c r="L1016" t="n">
        <v>0.843</v>
      </c>
      <c r="M1016" t="n">
        <v>0.157</v>
      </c>
    </row>
    <row r="1017" spans="1:13">
      <c r="A1017" s="1">
        <f>HYPERLINK("http://www.twitter.com/NathanBLawrence/status/988631519152361472", "988631519152361472")</f>
        <v/>
      </c>
      <c r="B1017" s="2" t="n">
        <v>43214.17472222223</v>
      </c>
      <c r="C1017" t="n">
        <v>0</v>
      </c>
      <c r="D1017" t="n">
        <v>738</v>
      </c>
      <c r="E1017" t="s">
        <v>1027</v>
      </c>
      <c r="F1017">
        <f>HYPERLINK("http://pbs.twimg.com/media/DbgwhldU8AE6k5H.jpg", "http://pbs.twimg.com/media/DbgwhldU8AE6k5H.jpg")</f>
        <v/>
      </c>
      <c r="G1017" t="s"/>
      <c r="H1017" t="s"/>
      <c r="I1017" t="s"/>
      <c r="J1017" t="n">
        <v>0</v>
      </c>
      <c r="K1017" t="n">
        <v>0</v>
      </c>
      <c r="L1017" t="n">
        <v>1</v>
      </c>
      <c r="M1017" t="n">
        <v>0</v>
      </c>
    </row>
    <row r="1018" spans="1:13">
      <c r="A1018" s="1">
        <f>HYPERLINK("http://www.twitter.com/NathanBLawrence/status/988631410201190400", "988631410201190400")</f>
        <v/>
      </c>
      <c r="B1018" s="2" t="n">
        <v>43214.17442129629</v>
      </c>
      <c r="C1018" t="n">
        <v>0</v>
      </c>
      <c r="D1018" t="n">
        <v>1063</v>
      </c>
      <c r="E1018" t="s">
        <v>1028</v>
      </c>
      <c r="F1018">
        <f>HYPERLINK("http://pbs.twimg.com/media/DbgWVVSWAAAZW45.jpg", "http://pbs.twimg.com/media/DbgWVVSWAAAZW45.jpg")</f>
        <v/>
      </c>
      <c r="G1018">
        <f>HYPERLINK("http://pbs.twimg.com/media/DbgWVVSWkAA8RpG.jpg", "http://pbs.twimg.com/media/DbgWVVSWkAA8RpG.jpg")</f>
        <v/>
      </c>
      <c r="H1018">
        <f>HYPERLINK("http://pbs.twimg.com/media/DbgWVVPXkAAMo-9.jpg", "http://pbs.twimg.com/media/DbgWVVPXkAAMo-9.jpg")</f>
        <v/>
      </c>
      <c r="I1018">
        <f>HYPERLINK("http://pbs.twimg.com/media/DbgWVVaXkAAW6Lk.jpg", "http://pbs.twimg.com/media/DbgWVVaXkAAW6Lk.jpg")</f>
        <v/>
      </c>
      <c r="J1018" t="n">
        <v>0.3597</v>
      </c>
      <c r="K1018" t="n">
        <v>0.08500000000000001</v>
      </c>
      <c r="L1018" t="n">
        <v>0.763</v>
      </c>
      <c r="M1018" t="n">
        <v>0.152</v>
      </c>
    </row>
    <row r="1019" spans="1:13">
      <c r="A1019" s="1">
        <f>HYPERLINK("http://www.twitter.com/NathanBLawrence/status/988630532161388544", "988630532161388544")</f>
        <v/>
      </c>
      <c r="B1019" s="2" t="n">
        <v>43214.17200231482</v>
      </c>
      <c r="C1019" t="n">
        <v>0</v>
      </c>
      <c r="D1019" t="n">
        <v>1475</v>
      </c>
      <c r="E1019" t="s">
        <v>1029</v>
      </c>
      <c r="F1019">
        <f>HYPERLINK("https://video.twimg.com/ext_tw_video/988545119191093248/pu/vid/720x720/W_km16rS7F8wzWkt.mp4?tag=3", "https://video.twimg.com/ext_tw_video/988545119191093248/pu/vid/720x720/W_km16rS7F8wzWkt.mp4?tag=3")</f>
        <v/>
      </c>
      <c r="G1019" t="s"/>
      <c r="H1019" t="s"/>
      <c r="I1019" t="s"/>
      <c r="J1019" t="n">
        <v>0.4767</v>
      </c>
      <c r="K1019" t="n">
        <v>0</v>
      </c>
      <c r="L1019" t="n">
        <v>0.86</v>
      </c>
      <c r="M1019" t="n">
        <v>0.14</v>
      </c>
    </row>
    <row r="1020" spans="1:13">
      <c r="A1020" s="1">
        <f>HYPERLINK("http://www.twitter.com/NathanBLawrence/status/988629875274661888", "988629875274661888")</f>
        <v/>
      </c>
      <c r="B1020" s="2" t="n">
        <v>43214.17018518518</v>
      </c>
      <c r="C1020" t="n">
        <v>0</v>
      </c>
      <c r="D1020" t="n">
        <v>2703</v>
      </c>
      <c r="E1020" t="s">
        <v>1030</v>
      </c>
      <c r="F1020" t="s"/>
      <c r="G1020" t="s"/>
      <c r="H1020" t="s"/>
      <c r="I1020" t="s"/>
      <c r="J1020" t="n">
        <v>-0.8564000000000001</v>
      </c>
      <c r="K1020" t="n">
        <v>0.344</v>
      </c>
      <c r="L1020" t="n">
        <v>0.656</v>
      </c>
      <c r="M1020" t="n">
        <v>0</v>
      </c>
    </row>
    <row r="1021" spans="1:13">
      <c r="A1021" s="1">
        <f>HYPERLINK("http://www.twitter.com/NathanBLawrence/status/988629776129712128", "988629776129712128")</f>
        <v/>
      </c>
      <c r="B1021" s="2" t="n">
        <v>43214.16991898148</v>
      </c>
      <c r="C1021" t="n">
        <v>0</v>
      </c>
      <c r="D1021" t="n">
        <v>174</v>
      </c>
      <c r="E1021" t="s">
        <v>1031</v>
      </c>
      <c r="F1021" t="s"/>
      <c r="G1021" t="s"/>
      <c r="H1021" t="s"/>
      <c r="I1021" t="s"/>
      <c r="J1021" t="n">
        <v>0.5574</v>
      </c>
      <c r="K1021" t="n">
        <v>0</v>
      </c>
      <c r="L1021" t="n">
        <v>0.847</v>
      </c>
      <c r="M1021" t="n">
        <v>0.153</v>
      </c>
    </row>
    <row r="1022" spans="1:13">
      <c r="A1022" s="1">
        <f>HYPERLINK("http://www.twitter.com/NathanBLawrence/status/988629644420071429", "988629644420071429")</f>
        <v/>
      </c>
      <c r="B1022" s="2" t="n">
        <v>43214.16954861111</v>
      </c>
      <c r="C1022" t="n">
        <v>0</v>
      </c>
      <c r="D1022" t="n">
        <v>6607</v>
      </c>
      <c r="E1022" t="s">
        <v>1032</v>
      </c>
      <c r="F1022" t="s"/>
      <c r="G1022" t="s"/>
      <c r="H1022" t="s"/>
      <c r="I1022" t="s"/>
      <c r="J1022" t="n">
        <v>-0.6635</v>
      </c>
      <c r="K1022" t="n">
        <v>0.303</v>
      </c>
      <c r="L1022" t="n">
        <v>0.597</v>
      </c>
      <c r="M1022" t="n">
        <v>0.101</v>
      </c>
    </row>
    <row r="1023" spans="1:13">
      <c r="A1023" s="1">
        <f>HYPERLINK("http://www.twitter.com/NathanBLawrence/status/988628964863168512", "988628964863168512")</f>
        <v/>
      </c>
      <c r="B1023" s="2" t="n">
        <v>43214.16767361111</v>
      </c>
      <c r="C1023" t="n">
        <v>0</v>
      </c>
      <c r="D1023" t="n">
        <v>3994</v>
      </c>
      <c r="E1023" t="s">
        <v>1033</v>
      </c>
      <c r="F1023">
        <f>HYPERLINK("https://video.twimg.com/amplify_video/988597692375949313/vid/1280x720/VrIGbXvap55nF1HP.mp4?tag=2", "https://video.twimg.com/amplify_video/988597692375949313/vid/1280x720/VrIGbXvap55nF1HP.mp4?tag=2")</f>
        <v/>
      </c>
      <c r="G1023" t="s"/>
      <c r="H1023" t="s"/>
      <c r="I1023" t="s"/>
      <c r="J1023" t="n">
        <v>0</v>
      </c>
      <c r="K1023" t="n">
        <v>0</v>
      </c>
      <c r="L1023" t="n">
        <v>1</v>
      </c>
      <c r="M1023" t="n">
        <v>0</v>
      </c>
    </row>
    <row r="1024" spans="1:13">
      <c r="A1024" s="1">
        <f>HYPERLINK("http://www.twitter.com/NathanBLawrence/status/988628770373292032", "988628770373292032")</f>
        <v/>
      </c>
      <c r="B1024" s="2" t="n">
        <v>43214.1671412037</v>
      </c>
      <c r="C1024" t="n">
        <v>0</v>
      </c>
      <c r="D1024" t="n">
        <v>45</v>
      </c>
      <c r="E1024" t="s">
        <v>1034</v>
      </c>
      <c r="F1024">
        <f>HYPERLINK("http://pbs.twimg.com/media/Dbg164wVAAEu59R.jpg", "http://pbs.twimg.com/media/Dbg164wVAAEu59R.jpg")</f>
        <v/>
      </c>
      <c r="G1024" t="s"/>
      <c r="H1024" t="s"/>
      <c r="I1024" t="s"/>
      <c r="J1024" t="n">
        <v>0</v>
      </c>
      <c r="K1024" t="n">
        <v>0</v>
      </c>
      <c r="L1024" t="n">
        <v>1</v>
      </c>
      <c r="M1024" t="n">
        <v>0</v>
      </c>
    </row>
    <row r="1025" spans="1:13">
      <c r="A1025" s="1">
        <f>HYPERLINK("http://www.twitter.com/NathanBLawrence/status/988628672176259072", "988628672176259072")</f>
        <v/>
      </c>
      <c r="B1025" s="2" t="n">
        <v>43214.16686342593</v>
      </c>
      <c r="C1025" t="n">
        <v>0</v>
      </c>
      <c r="D1025" t="n">
        <v>1455</v>
      </c>
      <c r="E1025" t="s">
        <v>1035</v>
      </c>
      <c r="F1025">
        <f>HYPERLINK("https://video.twimg.com/ext_tw_video/988582502599032833/pu/vid/720x720/6oLClUefVvfNsWAQ.mp4?tag=3", "https://video.twimg.com/ext_tw_video/988582502599032833/pu/vid/720x720/6oLClUefVvfNsWAQ.mp4?tag=3")</f>
        <v/>
      </c>
      <c r="G1025" t="s"/>
      <c r="H1025" t="s"/>
      <c r="I1025" t="s"/>
      <c r="J1025" t="n">
        <v>0.6705</v>
      </c>
      <c r="K1025" t="n">
        <v>0</v>
      </c>
      <c r="L1025" t="n">
        <v>0.756</v>
      </c>
      <c r="M1025" t="n">
        <v>0.244</v>
      </c>
    </row>
    <row r="1026" spans="1:13">
      <c r="A1026" s="1">
        <f>HYPERLINK("http://www.twitter.com/NathanBLawrence/status/988628543406985217", "988628543406985217")</f>
        <v/>
      </c>
      <c r="B1026" s="2" t="n">
        <v>43214.1665162037</v>
      </c>
      <c r="C1026" t="n">
        <v>0</v>
      </c>
      <c r="D1026" t="n">
        <v>339</v>
      </c>
      <c r="E1026" t="s">
        <v>1036</v>
      </c>
      <c r="F1026">
        <f>HYPERLINK("http://pbs.twimg.com/media/DbhGZqlV0AET4SG.jpg", "http://pbs.twimg.com/media/DbhGZqlV0AET4SG.jpg")</f>
        <v/>
      </c>
      <c r="G1026" t="s"/>
      <c r="H1026" t="s"/>
      <c r="I1026" t="s"/>
      <c r="J1026" t="n">
        <v>0.2023</v>
      </c>
      <c r="K1026" t="n">
        <v>0.141</v>
      </c>
      <c r="L1026" t="n">
        <v>0.625</v>
      </c>
      <c r="M1026" t="n">
        <v>0.234</v>
      </c>
    </row>
    <row r="1027" spans="1:13">
      <c r="A1027" s="1">
        <f>HYPERLINK("http://www.twitter.com/NathanBLawrence/status/988628490231533570", "988628490231533570")</f>
        <v/>
      </c>
      <c r="B1027" s="2" t="n">
        <v>43214.16636574074</v>
      </c>
      <c r="C1027" t="n">
        <v>0</v>
      </c>
      <c r="D1027" t="n">
        <v>141</v>
      </c>
      <c r="E1027" t="s">
        <v>1037</v>
      </c>
      <c r="F1027">
        <f>HYPERLINK("http://pbs.twimg.com/media/DbgU367X0AAWCLz.jpg", "http://pbs.twimg.com/media/DbgU367X0AAWCLz.jpg")</f>
        <v/>
      </c>
      <c r="G1027" t="s"/>
      <c r="H1027" t="s"/>
      <c r="I1027" t="s"/>
      <c r="J1027" t="n">
        <v>0.4588</v>
      </c>
      <c r="K1027" t="n">
        <v>0</v>
      </c>
      <c r="L1027" t="n">
        <v>0.786</v>
      </c>
      <c r="M1027" t="n">
        <v>0.214</v>
      </c>
    </row>
    <row r="1028" spans="1:13">
      <c r="A1028" s="1">
        <f>HYPERLINK("http://www.twitter.com/NathanBLawrence/status/988628379585806336", "988628379585806336")</f>
        <v/>
      </c>
      <c r="B1028" s="2" t="n">
        <v>43214.16606481482</v>
      </c>
      <c r="C1028" t="n">
        <v>0</v>
      </c>
      <c r="D1028" t="n">
        <v>26</v>
      </c>
      <c r="E1028" t="s">
        <v>1038</v>
      </c>
      <c r="F1028">
        <f>HYPERLINK("http://pbs.twimg.com/media/Dbg_GuLW0AExQDx.jpg", "http://pbs.twimg.com/media/Dbg_GuLW0AExQDx.jpg")</f>
        <v/>
      </c>
      <c r="G1028" t="s"/>
      <c r="H1028" t="s"/>
      <c r="I1028" t="s"/>
      <c r="J1028" t="n">
        <v>0.636</v>
      </c>
      <c r="K1028" t="n">
        <v>0</v>
      </c>
      <c r="L1028" t="n">
        <v>0.488</v>
      </c>
      <c r="M1028" t="n">
        <v>0.512</v>
      </c>
    </row>
    <row r="1029" spans="1:13">
      <c r="A1029" s="1">
        <f>HYPERLINK("http://www.twitter.com/NathanBLawrence/status/988627952840527872", "988627952840527872")</f>
        <v/>
      </c>
      <c r="B1029" s="2" t="n">
        <v>43214.16488425926</v>
      </c>
      <c r="C1029" t="n">
        <v>0</v>
      </c>
      <c r="D1029" t="n">
        <v>627</v>
      </c>
      <c r="E1029" t="s">
        <v>1039</v>
      </c>
      <c r="F1029" t="s"/>
      <c r="G1029" t="s"/>
      <c r="H1029" t="s"/>
      <c r="I1029" t="s"/>
      <c r="J1029" t="n">
        <v>0.1002</v>
      </c>
      <c r="K1029" t="n">
        <v>0.079</v>
      </c>
      <c r="L1029" t="n">
        <v>0.827</v>
      </c>
      <c r="M1029" t="n">
        <v>0.094</v>
      </c>
    </row>
    <row r="1030" spans="1:13">
      <c r="A1030" s="1">
        <f>HYPERLINK("http://www.twitter.com/NathanBLawrence/status/988627791598964736", "988627791598964736")</f>
        <v/>
      </c>
      <c r="B1030" s="2" t="n">
        <v>43214.16443287037</v>
      </c>
      <c r="C1030" t="n">
        <v>0</v>
      </c>
      <c r="D1030" t="n">
        <v>810</v>
      </c>
      <c r="E1030" t="s">
        <v>1040</v>
      </c>
      <c r="F1030" t="s"/>
      <c r="G1030" t="s"/>
      <c r="H1030" t="s"/>
      <c r="I1030" t="s"/>
      <c r="J1030" t="n">
        <v>0.6486</v>
      </c>
      <c r="K1030" t="n">
        <v>0</v>
      </c>
      <c r="L1030" t="n">
        <v>0.798</v>
      </c>
      <c r="M1030" t="n">
        <v>0.202</v>
      </c>
    </row>
    <row r="1031" spans="1:13">
      <c r="A1031" s="1">
        <f>HYPERLINK("http://www.twitter.com/NathanBLawrence/status/988627716348915713", "988627716348915713")</f>
        <v/>
      </c>
      <c r="B1031" s="2" t="n">
        <v>43214.16423611111</v>
      </c>
      <c r="C1031" t="n">
        <v>0</v>
      </c>
      <c r="D1031" t="n">
        <v>1872</v>
      </c>
      <c r="E1031" t="s">
        <v>1041</v>
      </c>
      <c r="F1031" t="s"/>
      <c r="G1031" t="s"/>
      <c r="H1031" t="s"/>
      <c r="I1031" t="s"/>
      <c r="J1031" t="n">
        <v>-0.2732</v>
      </c>
      <c r="K1031" t="n">
        <v>0.216</v>
      </c>
      <c r="L1031" t="n">
        <v>0.653</v>
      </c>
      <c r="M1031" t="n">
        <v>0.131</v>
      </c>
    </row>
    <row r="1032" spans="1:13">
      <c r="A1032" s="1">
        <f>HYPERLINK("http://www.twitter.com/NathanBLawrence/status/988627640067145728", "988627640067145728")</f>
        <v/>
      </c>
      <c r="B1032" s="2" t="n">
        <v>43214.1640162037</v>
      </c>
      <c r="C1032" t="n">
        <v>0</v>
      </c>
      <c r="D1032" t="n">
        <v>1351</v>
      </c>
      <c r="E1032" t="s">
        <v>1042</v>
      </c>
      <c r="F1032" t="s"/>
      <c r="G1032" t="s"/>
      <c r="H1032" t="s"/>
      <c r="I1032" t="s"/>
      <c r="J1032" t="n">
        <v>0</v>
      </c>
      <c r="K1032" t="n">
        <v>0</v>
      </c>
      <c r="L1032" t="n">
        <v>1</v>
      </c>
      <c r="M1032" t="n">
        <v>0</v>
      </c>
    </row>
    <row r="1033" spans="1:13">
      <c r="A1033" s="1">
        <f>HYPERLINK("http://www.twitter.com/NathanBLawrence/status/988627411464929286", "988627411464929286")</f>
        <v/>
      </c>
      <c r="B1033" s="2" t="n">
        <v>43214.16339120371</v>
      </c>
      <c r="C1033" t="n">
        <v>0</v>
      </c>
      <c r="D1033" t="n">
        <v>176</v>
      </c>
      <c r="E1033" t="s">
        <v>1043</v>
      </c>
      <c r="F1033" t="s"/>
      <c r="G1033" t="s"/>
      <c r="H1033" t="s"/>
      <c r="I1033" t="s"/>
      <c r="J1033" t="n">
        <v>-0.296</v>
      </c>
      <c r="K1033" t="n">
        <v>0.091</v>
      </c>
      <c r="L1033" t="n">
        <v>0.909</v>
      </c>
      <c r="M1033" t="n">
        <v>0</v>
      </c>
    </row>
    <row r="1034" spans="1:13">
      <c r="A1034" s="1">
        <f>HYPERLINK("http://www.twitter.com/NathanBLawrence/status/988627140525441025", "988627140525441025")</f>
        <v/>
      </c>
      <c r="B1034" s="2" t="n">
        <v>43214.16263888889</v>
      </c>
      <c r="C1034" t="n">
        <v>0</v>
      </c>
      <c r="D1034" t="n">
        <v>436</v>
      </c>
      <c r="E1034" t="s">
        <v>1044</v>
      </c>
      <c r="F1034" t="s"/>
      <c r="G1034" t="s"/>
      <c r="H1034" t="s"/>
      <c r="I1034" t="s"/>
      <c r="J1034" t="n">
        <v>-0.6996</v>
      </c>
      <c r="K1034" t="n">
        <v>0.308</v>
      </c>
      <c r="L1034" t="n">
        <v>0.6919999999999999</v>
      </c>
      <c r="M1034" t="n">
        <v>0</v>
      </c>
    </row>
    <row r="1035" spans="1:13">
      <c r="A1035" s="1">
        <f>HYPERLINK("http://www.twitter.com/NathanBLawrence/status/988496509976039424", "988496509976039424")</f>
        <v/>
      </c>
      <c r="B1035" s="2" t="n">
        <v>43213.80217592593</v>
      </c>
      <c r="C1035" t="n">
        <v>0</v>
      </c>
      <c r="D1035" t="n">
        <v>779</v>
      </c>
      <c r="E1035" t="s">
        <v>1045</v>
      </c>
      <c r="F1035">
        <f>HYPERLINK("http://pbs.twimg.com/media/DbaP6P6VQAExrd6.jpg", "http://pbs.twimg.com/media/DbaP6P6VQAExrd6.jpg")</f>
        <v/>
      </c>
      <c r="G1035" t="s"/>
      <c r="H1035" t="s"/>
      <c r="I1035" t="s"/>
      <c r="J1035" t="n">
        <v>0</v>
      </c>
      <c r="K1035" t="n">
        <v>0</v>
      </c>
      <c r="L1035" t="n">
        <v>1</v>
      </c>
      <c r="M1035" t="n">
        <v>0</v>
      </c>
    </row>
    <row r="1036" spans="1:13">
      <c r="A1036" s="1">
        <f>HYPERLINK("http://www.twitter.com/NathanBLawrence/status/988459580391768064", "988459580391768064")</f>
        <v/>
      </c>
      <c r="B1036" s="2" t="n">
        <v>43213.7002662037</v>
      </c>
      <c r="C1036" t="n">
        <v>0</v>
      </c>
      <c r="D1036" t="n">
        <v>1499</v>
      </c>
      <c r="E1036" t="s">
        <v>1046</v>
      </c>
      <c r="F1036">
        <f>HYPERLINK("http://pbs.twimg.com/media/Dbb4mv3XUAAxYp2.jpg", "http://pbs.twimg.com/media/Dbb4mv3XUAAxYp2.jpg")</f>
        <v/>
      </c>
      <c r="G1036" t="s"/>
      <c r="H1036" t="s"/>
      <c r="I1036" t="s"/>
      <c r="J1036" t="n">
        <v>-0.0516</v>
      </c>
      <c r="K1036" t="n">
        <v>0.257</v>
      </c>
      <c r="L1036" t="n">
        <v>0.493</v>
      </c>
      <c r="M1036" t="n">
        <v>0.25</v>
      </c>
    </row>
    <row r="1037" spans="1:13">
      <c r="A1037" s="1">
        <f>HYPERLINK("http://www.twitter.com/NathanBLawrence/status/988459038223384577", "988459038223384577")</f>
        <v/>
      </c>
      <c r="B1037" s="2" t="n">
        <v>43213.69877314815</v>
      </c>
      <c r="C1037" t="n">
        <v>0</v>
      </c>
      <c r="D1037" t="n">
        <v>6</v>
      </c>
      <c r="E1037" t="s">
        <v>1047</v>
      </c>
      <c r="F1037">
        <f>HYPERLINK("http://pbs.twimg.com/media/DbedCzUWkAAJOLI.jpg", "http://pbs.twimg.com/media/DbedCzUWkAAJOLI.jpg")</f>
        <v/>
      </c>
      <c r="G1037" t="s"/>
      <c r="H1037" t="s"/>
      <c r="I1037" t="s"/>
      <c r="J1037" t="n">
        <v>0</v>
      </c>
      <c r="K1037" t="n">
        <v>0</v>
      </c>
      <c r="L1037" t="n">
        <v>1</v>
      </c>
      <c r="M1037" t="n">
        <v>0</v>
      </c>
    </row>
    <row r="1038" spans="1:13">
      <c r="A1038" s="1">
        <f>HYPERLINK("http://www.twitter.com/NathanBLawrence/status/988458931243503616", "988458931243503616")</f>
        <v/>
      </c>
      <c r="B1038" s="2" t="n">
        <v>43213.69847222222</v>
      </c>
      <c r="C1038" t="n">
        <v>0</v>
      </c>
      <c r="D1038" t="n">
        <v>1243</v>
      </c>
      <c r="E1038" t="s">
        <v>1048</v>
      </c>
      <c r="F1038">
        <f>HYPERLINK("http://pbs.twimg.com/media/Dbe0pPOWAAADJJS.jpg", "http://pbs.twimg.com/media/Dbe0pPOWAAADJJS.jpg")</f>
        <v/>
      </c>
      <c r="G1038" t="s"/>
      <c r="H1038" t="s"/>
      <c r="I1038" t="s"/>
      <c r="J1038" t="n">
        <v>-0.5859</v>
      </c>
      <c r="K1038" t="n">
        <v>0.161</v>
      </c>
      <c r="L1038" t="n">
        <v>0.839</v>
      </c>
      <c r="M1038" t="n">
        <v>0</v>
      </c>
    </row>
    <row r="1039" spans="1:13">
      <c r="A1039" s="1">
        <f>HYPERLINK("http://www.twitter.com/NathanBLawrence/status/988458867683090432", "988458867683090432")</f>
        <v/>
      </c>
      <c r="B1039" s="2" t="n">
        <v>43213.69829861111</v>
      </c>
      <c r="C1039" t="n">
        <v>0</v>
      </c>
      <c r="D1039" t="n">
        <v>455</v>
      </c>
      <c r="E1039" t="s">
        <v>1049</v>
      </c>
      <c r="F1039">
        <f>HYPERLINK("http://pbs.twimg.com/media/Dbd-DHAU8Ac0kpn.jpg", "http://pbs.twimg.com/media/Dbd-DHAU8Ac0kpn.jpg")</f>
        <v/>
      </c>
      <c r="G1039" t="s"/>
      <c r="H1039" t="s"/>
      <c r="I1039" t="s"/>
      <c r="J1039" t="n">
        <v>0</v>
      </c>
      <c r="K1039" t="n">
        <v>0</v>
      </c>
      <c r="L1039" t="n">
        <v>1</v>
      </c>
      <c r="M1039" t="n">
        <v>0</v>
      </c>
    </row>
    <row r="1040" spans="1:13">
      <c r="A1040" s="1">
        <f>HYPERLINK("http://www.twitter.com/NathanBLawrence/status/988333172113924096", "988333172113924096")</f>
        <v/>
      </c>
      <c r="B1040" s="2" t="n">
        <v>43213.35144675926</v>
      </c>
      <c r="C1040" t="n">
        <v>0</v>
      </c>
      <c r="D1040" t="n">
        <v>312</v>
      </c>
      <c r="E1040" t="s">
        <v>1050</v>
      </c>
      <c r="F1040">
        <f>HYPERLINK("http://pbs.twimg.com/media/DbHapSeVQAA6E_C.jpg", "http://pbs.twimg.com/media/DbHapSeVQAA6E_C.jpg")</f>
        <v/>
      </c>
      <c r="G1040" t="s"/>
      <c r="H1040" t="s"/>
      <c r="I1040" t="s"/>
      <c r="J1040" t="n">
        <v>0</v>
      </c>
      <c r="K1040" t="n">
        <v>0</v>
      </c>
      <c r="L1040" t="n">
        <v>1</v>
      </c>
      <c r="M1040" t="n">
        <v>0</v>
      </c>
    </row>
    <row r="1041" spans="1:13">
      <c r="A1041" s="1">
        <f>HYPERLINK("http://www.twitter.com/NathanBLawrence/status/988333010339512320", "988333010339512320")</f>
        <v/>
      </c>
      <c r="B1041" s="2" t="n">
        <v>43213.35099537037</v>
      </c>
      <c r="C1041" t="n">
        <v>0</v>
      </c>
      <c r="D1041" t="n">
        <v>56</v>
      </c>
      <c r="E1041" t="s">
        <v>1051</v>
      </c>
      <c r="F1041">
        <f>HYPERLINK("http://pbs.twimg.com/media/DXzVX12U8AAbRBN.jpg", "http://pbs.twimg.com/media/DXzVX12U8AAbRBN.jpg")</f>
        <v/>
      </c>
      <c r="G1041" t="s"/>
      <c r="H1041" t="s"/>
      <c r="I1041" t="s"/>
      <c r="J1041" t="n">
        <v>-0.7398</v>
      </c>
      <c r="K1041" t="n">
        <v>0.288</v>
      </c>
      <c r="L1041" t="n">
        <v>0.712</v>
      </c>
      <c r="M1041" t="n">
        <v>0</v>
      </c>
    </row>
    <row r="1042" spans="1:13">
      <c r="A1042" s="1">
        <f>HYPERLINK("http://www.twitter.com/NathanBLawrence/status/988332666733801472", "988332666733801472")</f>
        <v/>
      </c>
      <c r="B1042" s="2" t="n">
        <v>43213.3500462963</v>
      </c>
      <c r="C1042" t="n">
        <v>0</v>
      </c>
      <c r="D1042" t="n">
        <v>136</v>
      </c>
      <c r="E1042" t="s">
        <v>1052</v>
      </c>
      <c r="F1042">
        <f>HYPERLINK("http://pbs.twimg.com/media/DbbXXbuX0AEMjr3.jpg", "http://pbs.twimg.com/media/DbbXXbuX0AEMjr3.jpg")</f>
        <v/>
      </c>
      <c r="G1042" t="s"/>
      <c r="H1042" t="s"/>
      <c r="I1042" t="s"/>
      <c r="J1042" t="n">
        <v>0.5574</v>
      </c>
      <c r="K1042" t="n">
        <v>0</v>
      </c>
      <c r="L1042" t="n">
        <v>0.827</v>
      </c>
      <c r="M1042" t="n">
        <v>0.173</v>
      </c>
    </row>
    <row r="1043" spans="1:13">
      <c r="A1043" s="1">
        <f>HYPERLINK("http://www.twitter.com/NathanBLawrence/status/988332290437664768", "988332290437664768")</f>
        <v/>
      </c>
      <c r="B1043" s="2" t="n">
        <v>43213.34901620371</v>
      </c>
      <c r="C1043" t="n">
        <v>0</v>
      </c>
      <c r="D1043" t="n">
        <v>14</v>
      </c>
      <c r="E1043" t="s">
        <v>1053</v>
      </c>
      <c r="F1043">
        <f>HYPERLINK("http://pbs.twimg.com/media/DbdCRrpVwAALCPn.jpg", "http://pbs.twimg.com/media/DbdCRrpVwAALCPn.jpg")</f>
        <v/>
      </c>
      <c r="G1043" t="s"/>
      <c r="H1043" t="s"/>
      <c r="I1043" t="s"/>
      <c r="J1043" t="n">
        <v>0</v>
      </c>
      <c r="K1043" t="n">
        <v>0</v>
      </c>
      <c r="L1043" t="n">
        <v>1</v>
      </c>
      <c r="M1043" t="n">
        <v>0</v>
      </c>
    </row>
    <row r="1044" spans="1:13">
      <c r="A1044" s="1">
        <f>HYPERLINK("http://www.twitter.com/NathanBLawrence/status/988332189744939008", "988332189744939008")</f>
        <v/>
      </c>
      <c r="B1044" s="2" t="n">
        <v>43213.34873842593</v>
      </c>
      <c r="C1044" t="n">
        <v>0</v>
      </c>
      <c r="D1044" t="n">
        <v>1221</v>
      </c>
      <c r="E1044" t="s">
        <v>1054</v>
      </c>
      <c r="F1044">
        <f>HYPERLINK("http://pbs.twimg.com/media/DbaECe9V4AAYzlB.jpg", "http://pbs.twimg.com/media/DbaECe9V4AAYzlB.jpg")</f>
        <v/>
      </c>
      <c r="G1044" t="s"/>
      <c r="H1044" t="s"/>
      <c r="I1044" t="s"/>
      <c r="J1044" t="n">
        <v>-0.296</v>
      </c>
      <c r="K1044" t="n">
        <v>0.099</v>
      </c>
      <c r="L1044" t="n">
        <v>0.901</v>
      </c>
      <c r="M1044" t="n">
        <v>0</v>
      </c>
    </row>
    <row r="1045" spans="1:13">
      <c r="A1045" s="1">
        <f>HYPERLINK("http://www.twitter.com/NathanBLawrence/status/988332014448214018", "988332014448214018")</f>
        <v/>
      </c>
      <c r="B1045" s="2" t="n">
        <v>43213.34825231481</v>
      </c>
      <c r="C1045" t="n">
        <v>0</v>
      </c>
      <c r="D1045" t="n">
        <v>4</v>
      </c>
      <c r="E1045" t="s">
        <v>1055</v>
      </c>
      <c r="F1045">
        <f>HYPERLINK("http://pbs.twimg.com/media/DbdB91CWAAED1Zv.jpg", "http://pbs.twimg.com/media/DbdB91CWAAED1Zv.jpg")</f>
        <v/>
      </c>
      <c r="G1045" t="s"/>
      <c r="H1045" t="s"/>
      <c r="I1045" t="s"/>
      <c r="J1045" t="n">
        <v>0.4588</v>
      </c>
      <c r="K1045" t="n">
        <v>0</v>
      </c>
      <c r="L1045" t="n">
        <v>0.786</v>
      </c>
      <c r="M1045" t="n">
        <v>0.214</v>
      </c>
    </row>
    <row r="1046" spans="1:13">
      <c r="A1046" s="1">
        <f>HYPERLINK("http://www.twitter.com/NathanBLawrence/status/988331278565965824", "988331278565965824")</f>
        <v/>
      </c>
      <c r="B1046" s="2" t="n">
        <v>43213.34621527778</v>
      </c>
      <c r="C1046" t="n">
        <v>0</v>
      </c>
      <c r="D1046" t="n">
        <v>13</v>
      </c>
      <c r="E1046" t="s">
        <v>1056</v>
      </c>
      <c r="F1046" t="s"/>
      <c r="G1046" t="s"/>
      <c r="H1046" t="s"/>
      <c r="I1046" t="s"/>
      <c r="J1046" t="n">
        <v>0.3612</v>
      </c>
      <c r="K1046" t="n">
        <v>0</v>
      </c>
      <c r="L1046" t="n">
        <v>0.706</v>
      </c>
      <c r="M1046" t="n">
        <v>0.294</v>
      </c>
    </row>
    <row r="1047" spans="1:13">
      <c r="A1047" s="1">
        <f>HYPERLINK("http://www.twitter.com/NathanBLawrence/status/988331044288921600", "988331044288921600")</f>
        <v/>
      </c>
      <c r="B1047" s="2" t="n">
        <v>43213.34556712963</v>
      </c>
      <c r="C1047" t="n">
        <v>0</v>
      </c>
      <c r="D1047" t="n">
        <v>9</v>
      </c>
      <c r="E1047" t="s">
        <v>1057</v>
      </c>
      <c r="F1047" t="s"/>
      <c r="G1047" t="s"/>
      <c r="H1047" t="s"/>
      <c r="I1047" t="s"/>
      <c r="J1047" t="n">
        <v>-0.0516</v>
      </c>
      <c r="K1047" t="n">
        <v>0.146</v>
      </c>
      <c r="L1047" t="n">
        <v>0.854</v>
      </c>
      <c r="M1047" t="n">
        <v>0</v>
      </c>
    </row>
    <row r="1048" spans="1:13">
      <c r="A1048" s="1">
        <f>HYPERLINK("http://www.twitter.com/NathanBLawrence/status/988330728818556928", "988330728818556928")</f>
        <v/>
      </c>
      <c r="B1048" s="2" t="n">
        <v>43213.34469907408</v>
      </c>
      <c r="C1048" t="n">
        <v>5</v>
      </c>
      <c r="D1048" t="n">
        <v>1</v>
      </c>
      <c r="E1048" t="s">
        <v>1058</v>
      </c>
      <c r="F1048">
        <f>HYPERLINK("http://pbs.twimg.com/media/DbdBdkIV0AALtts.jpg", "http://pbs.twimg.com/media/DbdBdkIV0AALtts.jpg")</f>
        <v/>
      </c>
      <c r="G1048" t="s"/>
      <c r="H1048" t="s"/>
      <c r="I1048" t="s"/>
      <c r="J1048" t="n">
        <v>0</v>
      </c>
      <c r="K1048" t="n">
        <v>0</v>
      </c>
      <c r="L1048" t="n">
        <v>1</v>
      </c>
      <c r="M1048" t="n">
        <v>0</v>
      </c>
    </row>
    <row r="1049" spans="1:13">
      <c r="A1049" s="1">
        <f>HYPERLINK("http://www.twitter.com/NathanBLawrence/status/988330403021799425", "988330403021799425")</f>
        <v/>
      </c>
      <c r="B1049" s="2" t="n">
        <v>43213.34380787037</v>
      </c>
      <c r="C1049" t="n">
        <v>15</v>
      </c>
      <c r="D1049" t="n">
        <v>7</v>
      </c>
      <c r="E1049" t="s">
        <v>1059</v>
      </c>
      <c r="F1049">
        <f>HYPERLINK("http://pbs.twimg.com/media/DbdBOtDUwAACGl3.jpg", "http://pbs.twimg.com/media/DbdBOtDUwAACGl3.jpg")</f>
        <v/>
      </c>
      <c r="G1049" t="s"/>
      <c r="H1049" t="s"/>
      <c r="I1049" t="s"/>
      <c r="J1049" t="n">
        <v>0</v>
      </c>
      <c r="K1049" t="n">
        <v>0</v>
      </c>
      <c r="L1049" t="n">
        <v>1</v>
      </c>
      <c r="M1049" t="n">
        <v>0</v>
      </c>
    </row>
    <row r="1050" spans="1:13">
      <c r="A1050" s="1">
        <f>HYPERLINK("http://www.twitter.com/NathanBLawrence/status/988330100469858305", "988330100469858305")</f>
        <v/>
      </c>
      <c r="B1050" s="2" t="n">
        <v>43213.34296296296</v>
      </c>
      <c r="C1050" t="n">
        <v>0</v>
      </c>
      <c r="D1050" t="n">
        <v>22</v>
      </c>
      <c r="E1050" t="s">
        <v>1060</v>
      </c>
      <c r="F1050">
        <f>HYPERLINK("http://pbs.twimg.com/media/DakFHhkXkAEXL7P.jpg", "http://pbs.twimg.com/media/DakFHhkXkAEXL7P.jpg")</f>
        <v/>
      </c>
      <c r="G1050" t="s"/>
      <c r="H1050" t="s"/>
      <c r="I1050" t="s"/>
      <c r="J1050" t="n">
        <v>0</v>
      </c>
      <c r="K1050" t="n">
        <v>0</v>
      </c>
      <c r="L1050" t="n">
        <v>1</v>
      </c>
      <c r="M1050" t="n">
        <v>0</v>
      </c>
    </row>
    <row r="1051" spans="1:13">
      <c r="A1051" s="1">
        <f>HYPERLINK("http://www.twitter.com/NathanBLawrence/status/988329661590482944", "988329661590482944")</f>
        <v/>
      </c>
      <c r="B1051" s="2" t="n">
        <v>43213.34175925926</v>
      </c>
      <c r="C1051" t="n">
        <v>0</v>
      </c>
      <c r="D1051" t="n">
        <v>20</v>
      </c>
      <c r="E1051" t="s">
        <v>1061</v>
      </c>
      <c r="F1051">
        <f>HYPERLINK("http://pbs.twimg.com/media/Dbbp4k2WAAAfc94.jpg", "http://pbs.twimg.com/media/Dbbp4k2WAAAfc94.jpg")</f>
        <v/>
      </c>
      <c r="G1051" t="s"/>
      <c r="H1051" t="s"/>
      <c r="I1051" t="s"/>
      <c r="J1051" t="n">
        <v>0</v>
      </c>
      <c r="K1051" t="n">
        <v>0</v>
      </c>
      <c r="L1051" t="n">
        <v>1</v>
      </c>
      <c r="M1051" t="n">
        <v>0</v>
      </c>
    </row>
    <row r="1052" spans="1:13">
      <c r="A1052" s="1">
        <f>HYPERLINK("http://www.twitter.com/NathanBLawrence/status/988326062974107648", "988326062974107648")</f>
        <v/>
      </c>
      <c r="B1052" s="2" t="n">
        <v>43213.3318287037</v>
      </c>
      <c r="C1052" t="n">
        <v>136</v>
      </c>
      <c r="D1052" t="n">
        <v>91</v>
      </c>
      <c r="E1052" t="s">
        <v>1062</v>
      </c>
      <c r="F1052">
        <f>HYPERLINK("http://pbs.twimg.com/media/Dbc8kpIUQAA0lKS.jpg", "http://pbs.twimg.com/media/Dbc8kpIUQAA0lKS.jpg")</f>
        <v/>
      </c>
      <c r="G1052" t="s"/>
      <c r="H1052" t="s"/>
      <c r="I1052" t="s"/>
      <c r="J1052" t="n">
        <v>0.6271</v>
      </c>
      <c r="K1052" t="n">
        <v>0.08599999999999999</v>
      </c>
      <c r="L1052" t="n">
        <v>0.774</v>
      </c>
      <c r="M1052" t="n">
        <v>0.14</v>
      </c>
    </row>
    <row r="1053" spans="1:13">
      <c r="A1053" s="1">
        <f>HYPERLINK("http://www.twitter.com/NathanBLawrence/status/988325043569545216", "988325043569545216")</f>
        <v/>
      </c>
      <c r="B1053" s="2" t="n">
        <v>43213.3290162037</v>
      </c>
      <c r="C1053" t="n">
        <v>0</v>
      </c>
      <c r="D1053" t="n">
        <v>3247</v>
      </c>
      <c r="E1053" t="s">
        <v>1063</v>
      </c>
      <c r="F1053">
        <f>HYPERLINK("http://pbs.twimg.com/media/DbZ82sTU8AAHTv1.jpg", "http://pbs.twimg.com/media/DbZ82sTU8AAHTv1.jpg")</f>
        <v/>
      </c>
      <c r="G1053" t="s"/>
      <c r="H1053" t="s"/>
      <c r="I1053" t="s"/>
      <c r="J1053" t="n">
        <v>0</v>
      </c>
      <c r="K1053" t="n">
        <v>0</v>
      </c>
      <c r="L1053" t="n">
        <v>1</v>
      </c>
      <c r="M1053" t="n">
        <v>0</v>
      </c>
    </row>
    <row r="1054" spans="1:13">
      <c r="A1054" s="1">
        <f>HYPERLINK("http://www.twitter.com/NathanBLawrence/status/988324623744815104", "988324623744815104")</f>
        <v/>
      </c>
      <c r="B1054" s="2" t="n">
        <v>43213.3278587963</v>
      </c>
      <c r="C1054" t="n">
        <v>0</v>
      </c>
      <c r="D1054" t="n">
        <v>3</v>
      </c>
      <c r="E1054" t="s">
        <v>1064</v>
      </c>
      <c r="F1054" t="s"/>
      <c r="G1054" t="s"/>
      <c r="H1054" t="s"/>
      <c r="I1054" t="s"/>
      <c r="J1054" t="n">
        <v>-0.5574</v>
      </c>
      <c r="K1054" t="n">
        <v>0.31</v>
      </c>
      <c r="L1054" t="n">
        <v>0.6899999999999999</v>
      </c>
      <c r="M1054" t="n">
        <v>0</v>
      </c>
    </row>
    <row r="1055" spans="1:13">
      <c r="A1055" s="1">
        <f>HYPERLINK("http://www.twitter.com/NathanBLawrence/status/988323740361506816", "988323740361506816")</f>
        <v/>
      </c>
      <c r="B1055" s="2" t="n">
        <v>43213.32541666667</v>
      </c>
      <c r="C1055" t="n">
        <v>0</v>
      </c>
      <c r="D1055" t="n">
        <v>1086</v>
      </c>
      <c r="E1055" t="s">
        <v>1065</v>
      </c>
      <c r="F1055">
        <f>HYPERLINK("http://pbs.twimg.com/media/DbbfsffWkAAz98n.jpg", "http://pbs.twimg.com/media/DbbfsffWkAAz98n.jpg")</f>
        <v/>
      </c>
      <c r="G1055" t="s"/>
      <c r="H1055" t="s"/>
      <c r="I1055" t="s"/>
      <c r="J1055" t="n">
        <v>0.4939</v>
      </c>
      <c r="K1055" t="n">
        <v>0</v>
      </c>
      <c r="L1055" t="n">
        <v>0.862</v>
      </c>
      <c r="M1055" t="n">
        <v>0.138</v>
      </c>
    </row>
    <row r="1056" spans="1:13">
      <c r="A1056" s="1">
        <f>HYPERLINK("http://www.twitter.com/NathanBLawrence/status/988323369413099520", "988323369413099520")</f>
        <v/>
      </c>
      <c r="B1056" s="2" t="n">
        <v>43213.32439814815</v>
      </c>
      <c r="C1056" t="n">
        <v>0</v>
      </c>
      <c r="D1056" t="n">
        <v>10</v>
      </c>
      <c r="E1056" t="s">
        <v>1066</v>
      </c>
      <c r="F1056" t="s"/>
      <c r="G1056" t="s"/>
      <c r="H1056" t="s"/>
      <c r="I1056" t="s"/>
      <c r="J1056" t="n">
        <v>0.2577</v>
      </c>
      <c r="K1056" t="n">
        <v>0</v>
      </c>
      <c r="L1056" t="n">
        <v>0.881</v>
      </c>
      <c r="M1056" t="n">
        <v>0.119</v>
      </c>
    </row>
    <row r="1057" spans="1:13">
      <c r="A1057" s="1">
        <f>HYPERLINK("http://www.twitter.com/NathanBLawrence/status/988323065028268032", "988323065028268032")</f>
        <v/>
      </c>
      <c r="B1057" s="2" t="n">
        <v>43213.32355324074</v>
      </c>
      <c r="C1057" t="n">
        <v>0</v>
      </c>
      <c r="D1057" t="n">
        <v>157</v>
      </c>
      <c r="E1057" t="s">
        <v>1067</v>
      </c>
      <c r="F1057">
        <f>HYPERLINK("http://pbs.twimg.com/media/DbTd7iqX0AEkzO-.jpg", "http://pbs.twimg.com/media/DbTd7iqX0AEkzO-.jpg")</f>
        <v/>
      </c>
      <c r="G1057" t="s"/>
      <c r="H1057" t="s"/>
      <c r="I1057" t="s"/>
      <c r="J1057" t="n">
        <v>0.7672</v>
      </c>
      <c r="K1057" t="n">
        <v>0</v>
      </c>
      <c r="L1057" t="n">
        <v>0.751</v>
      </c>
      <c r="M1057" t="n">
        <v>0.249</v>
      </c>
    </row>
    <row r="1058" spans="1:13">
      <c r="A1058" s="1">
        <f>HYPERLINK("http://www.twitter.com/NathanBLawrence/status/988322425388519424", "988322425388519424")</f>
        <v/>
      </c>
      <c r="B1058" s="2" t="n">
        <v>43213.32179398148</v>
      </c>
      <c r="C1058" t="n">
        <v>0</v>
      </c>
      <c r="D1058" t="n">
        <v>799</v>
      </c>
      <c r="E1058" t="s">
        <v>1068</v>
      </c>
      <c r="F1058">
        <f>HYPERLINK("http://pbs.twimg.com/media/DbWGrUfU0AAo3PX.jpg", "http://pbs.twimg.com/media/DbWGrUfU0AAo3PX.jpg")</f>
        <v/>
      </c>
      <c r="G1058">
        <f>HYPERLINK("http://pbs.twimg.com/media/DbWGrXeVAAAQNDb.jpg", "http://pbs.twimg.com/media/DbWGrXeVAAAQNDb.jpg")</f>
        <v/>
      </c>
      <c r="H1058">
        <f>HYPERLINK("http://pbs.twimg.com/media/DbWGrZwUQAAno3r.jpg", "http://pbs.twimg.com/media/DbWGrZwUQAAno3r.jpg")</f>
        <v/>
      </c>
      <c r="I1058" t="s"/>
      <c r="J1058" t="n">
        <v>-0.8889</v>
      </c>
      <c r="K1058" t="n">
        <v>0.365</v>
      </c>
      <c r="L1058" t="n">
        <v>0.635</v>
      </c>
      <c r="M1058" t="n">
        <v>0</v>
      </c>
    </row>
    <row r="1059" spans="1:13">
      <c r="A1059" s="1">
        <f>HYPERLINK("http://www.twitter.com/NathanBLawrence/status/988322283876896768", "988322283876896768")</f>
        <v/>
      </c>
      <c r="B1059" s="2" t="n">
        <v>43213.32140046296</v>
      </c>
      <c r="C1059" t="n">
        <v>0</v>
      </c>
      <c r="D1059" t="n">
        <v>66</v>
      </c>
      <c r="E1059" t="s">
        <v>1069</v>
      </c>
      <c r="F1059" t="s"/>
      <c r="G1059" t="s"/>
      <c r="H1059" t="s"/>
      <c r="I1059" t="s"/>
      <c r="J1059" t="n">
        <v>0.34</v>
      </c>
      <c r="K1059" t="n">
        <v>0</v>
      </c>
      <c r="L1059" t="n">
        <v>0.833</v>
      </c>
      <c r="M1059" t="n">
        <v>0.167</v>
      </c>
    </row>
    <row r="1060" spans="1:13">
      <c r="A1060" s="1">
        <f>HYPERLINK("http://www.twitter.com/NathanBLawrence/status/988322075004755968", "988322075004755968")</f>
        <v/>
      </c>
      <c r="B1060" s="2" t="n">
        <v>43213.32082175926</v>
      </c>
      <c r="C1060" t="n">
        <v>0</v>
      </c>
      <c r="D1060" t="n">
        <v>7</v>
      </c>
      <c r="E1060" t="s">
        <v>1070</v>
      </c>
      <c r="F1060">
        <f>HYPERLINK("http://pbs.twimg.com/media/DbXZdyUV4AA2CDS.jpg", "http://pbs.twimg.com/media/DbXZdyUV4AA2CDS.jpg")</f>
        <v/>
      </c>
      <c r="G1060" t="s"/>
      <c r="H1060" t="s"/>
      <c r="I1060" t="s"/>
      <c r="J1060" t="n">
        <v>0.8555</v>
      </c>
      <c r="K1060" t="n">
        <v>0</v>
      </c>
      <c r="L1060" t="n">
        <v>0.588</v>
      </c>
      <c r="M1060" t="n">
        <v>0.412</v>
      </c>
    </row>
    <row r="1061" spans="1:13">
      <c r="A1061" s="1">
        <f>HYPERLINK("http://www.twitter.com/NathanBLawrence/status/988321508090044418", "988321508090044418")</f>
        <v/>
      </c>
      <c r="B1061" s="2" t="n">
        <v>43213.31925925926</v>
      </c>
      <c r="C1061" t="n">
        <v>0</v>
      </c>
      <c r="D1061" t="n">
        <v>95</v>
      </c>
      <c r="E1061" t="s">
        <v>1071</v>
      </c>
      <c r="F1061">
        <f>HYPERLINK("http://pbs.twimg.com/media/DaH-TnhVQAAOK6D.jpg", "http://pbs.twimg.com/media/DaH-TnhVQAAOK6D.jpg")</f>
        <v/>
      </c>
      <c r="G1061" t="s"/>
      <c r="H1061" t="s"/>
      <c r="I1061" t="s"/>
      <c r="J1061" t="n">
        <v>0.4585</v>
      </c>
      <c r="K1061" t="n">
        <v>0</v>
      </c>
      <c r="L1061" t="n">
        <v>0.765</v>
      </c>
      <c r="M1061" t="n">
        <v>0.235</v>
      </c>
    </row>
    <row r="1062" spans="1:13">
      <c r="A1062" s="1">
        <f>HYPERLINK("http://www.twitter.com/NathanBLawrence/status/988321092472258560", "988321092472258560")</f>
        <v/>
      </c>
      <c r="B1062" s="2" t="n">
        <v>43213.31811342593</v>
      </c>
      <c r="C1062" t="n">
        <v>0</v>
      </c>
      <c r="D1062" t="n">
        <v>70</v>
      </c>
      <c r="E1062" t="s">
        <v>1072</v>
      </c>
      <c r="F1062" t="s"/>
      <c r="G1062" t="s"/>
      <c r="H1062" t="s"/>
      <c r="I1062" t="s"/>
      <c r="J1062" t="n">
        <v>0</v>
      </c>
      <c r="K1062" t="n">
        <v>0</v>
      </c>
      <c r="L1062" t="n">
        <v>1</v>
      </c>
      <c r="M1062" t="n">
        <v>0</v>
      </c>
    </row>
    <row r="1063" spans="1:13">
      <c r="A1063" s="1">
        <f>HYPERLINK("http://www.twitter.com/NathanBLawrence/status/988320747897606145", "988320747897606145")</f>
        <v/>
      </c>
      <c r="B1063" s="2" t="n">
        <v>43213.31716435185</v>
      </c>
      <c r="C1063" t="n">
        <v>0</v>
      </c>
      <c r="D1063" t="n">
        <v>18</v>
      </c>
      <c r="E1063" t="s">
        <v>1073</v>
      </c>
      <c r="F1063">
        <f>HYPERLINK("http://pbs.twimg.com/media/Dbc3P5mWkAAPw6P.jpg", "http://pbs.twimg.com/media/Dbc3P5mWkAAPw6P.jpg")</f>
        <v/>
      </c>
      <c r="G1063" t="s"/>
      <c r="H1063" t="s"/>
      <c r="I1063" t="s"/>
      <c r="J1063" t="n">
        <v>0</v>
      </c>
      <c r="K1063" t="n">
        <v>0</v>
      </c>
      <c r="L1063" t="n">
        <v>1</v>
      </c>
      <c r="M1063" t="n">
        <v>0</v>
      </c>
    </row>
    <row r="1064" spans="1:13">
      <c r="A1064" s="1">
        <f>HYPERLINK("http://www.twitter.com/NathanBLawrence/status/988320602514599936", "988320602514599936")</f>
        <v/>
      </c>
      <c r="B1064" s="2" t="n">
        <v>43213.31675925926</v>
      </c>
      <c r="C1064" t="n">
        <v>0</v>
      </c>
      <c r="D1064" t="n">
        <v>38</v>
      </c>
      <c r="E1064" t="s">
        <v>1074</v>
      </c>
      <c r="F1064" t="s"/>
      <c r="G1064" t="s"/>
      <c r="H1064" t="s"/>
      <c r="I1064" t="s"/>
      <c r="J1064" t="n">
        <v>0.5563</v>
      </c>
      <c r="K1064" t="n">
        <v>0</v>
      </c>
      <c r="L1064" t="n">
        <v>0.841</v>
      </c>
      <c r="M1064" t="n">
        <v>0.159</v>
      </c>
    </row>
    <row r="1065" spans="1:13">
      <c r="A1065" s="1">
        <f>HYPERLINK("http://www.twitter.com/NathanBLawrence/status/988320518158802944", "988320518158802944")</f>
        <v/>
      </c>
      <c r="B1065" s="2" t="n">
        <v>43213.31652777778</v>
      </c>
      <c r="C1065" t="n">
        <v>0</v>
      </c>
      <c r="D1065" t="n">
        <v>325</v>
      </c>
      <c r="E1065" t="s">
        <v>1075</v>
      </c>
      <c r="F1065">
        <f>HYPERLINK("http://pbs.twimg.com/media/DaTHfIfVQAAWQlF.jpg", "http://pbs.twimg.com/media/DaTHfIfVQAAWQlF.jpg")</f>
        <v/>
      </c>
      <c r="G1065" t="s"/>
      <c r="H1065" t="s"/>
      <c r="I1065" t="s"/>
      <c r="J1065" t="n">
        <v>0.4019</v>
      </c>
      <c r="K1065" t="n">
        <v>0</v>
      </c>
      <c r="L1065" t="n">
        <v>0.8159999999999999</v>
      </c>
      <c r="M1065" t="n">
        <v>0.184</v>
      </c>
    </row>
    <row r="1066" spans="1:13">
      <c r="A1066" s="1">
        <f>HYPERLINK("http://www.twitter.com/NathanBLawrence/status/988268865426608128", "988268865426608128")</f>
        <v/>
      </c>
      <c r="B1066" s="2" t="n">
        <v>43213.17399305556</v>
      </c>
      <c r="C1066" t="n">
        <v>0</v>
      </c>
      <c r="D1066" t="n">
        <v>4504</v>
      </c>
      <c r="E1066" t="s">
        <v>1076</v>
      </c>
      <c r="F1066">
        <f>HYPERLINK("https://video.twimg.com/amplify_video/988196478953779200/vid/720x720/gGf4gRTQqZaXq-22.mp4?tag=2", "https://video.twimg.com/amplify_video/988196478953779200/vid/720x720/gGf4gRTQqZaXq-22.mp4?tag=2")</f>
        <v/>
      </c>
      <c r="G1066" t="s"/>
      <c r="H1066" t="s"/>
      <c r="I1066" t="s"/>
      <c r="J1066" t="n">
        <v>0</v>
      </c>
      <c r="K1066" t="n">
        <v>0</v>
      </c>
      <c r="L1066" t="n">
        <v>1</v>
      </c>
      <c r="M1066" t="n">
        <v>0</v>
      </c>
    </row>
    <row r="1067" spans="1:13">
      <c r="A1067" s="1">
        <f>HYPERLINK("http://www.twitter.com/NathanBLawrence/status/988268693233676288", "988268693233676288")</f>
        <v/>
      </c>
      <c r="B1067" s="2" t="n">
        <v>43213.17351851852</v>
      </c>
      <c r="C1067" t="n">
        <v>0</v>
      </c>
      <c r="D1067" t="n">
        <v>7492</v>
      </c>
      <c r="E1067" t="s">
        <v>1077</v>
      </c>
      <c r="F1067">
        <f>HYPERLINK("http://pbs.twimg.com/media/DbbDYVrV0AI7dfH.jpg", "http://pbs.twimg.com/media/DbbDYVrV0AI7dfH.jpg")</f>
        <v/>
      </c>
      <c r="G1067" t="s"/>
      <c r="H1067" t="s"/>
      <c r="I1067" t="s"/>
      <c r="J1067" t="n">
        <v>0.8126</v>
      </c>
      <c r="K1067" t="n">
        <v>0</v>
      </c>
      <c r="L1067" t="n">
        <v>0.73</v>
      </c>
      <c r="M1067" t="n">
        <v>0.27</v>
      </c>
    </row>
    <row r="1068" spans="1:13">
      <c r="A1068" s="1">
        <f>HYPERLINK("http://www.twitter.com/NathanBLawrence/status/988268524454854656", "988268524454854656")</f>
        <v/>
      </c>
      <c r="B1068" s="2" t="n">
        <v>43213.17305555556</v>
      </c>
      <c r="C1068" t="n">
        <v>0</v>
      </c>
      <c r="D1068" t="n">
        <v>20678</v>
      </c>
      <c r="E1068" t="s">
        <v>1078</v>
      </c>
      <c r="F1068" t="s"/>
      <c r="G1068" t="s"/>
      <c r="H1068" t="s"/>
      <c r="I1068" t="s"/>
      <c r="J1068" t="n">
        <v>-0.4753</v>
      </c>
      <c r="K1068" t="n">
        <v>0.14</v>
      </c>
      <c r="L1068" t="n">
        <v>0.86</v>
      </c>
      <c r="M1068" t="n">
        <v>0</v>
      </c>
    </row>
    <row r="1069" spans="1:13">
      <c r="A1069" s="1">
        <f>HYPERLINK("http://www.twitter.com/NathanBLawrence/status/988268491785388032", "988268491785388032")</f>
        <v/>
      </c>
      <c r="B1069" s="2" t="n">
        <v>43213.17296296296</v>
      </c>
      <c r="C1069" t="n">
        <v>0</v>
      </c>
      <c r="D1069" t="n">
        <v>346</v>
      </c>
      <c r="E1069" t="s">
        <v>1079</v>
      </c>
      <c r="F1069" t="s"/>
      <c r="G1069" t="s"/>
      <c r="H1069" t="s"/>
      <c r="I1069" t="s"/>
      <c r="J1069" t="n">
        <v>0.296</v>
      </c>
      <c r="K1069" t="n">
        <v>0</v>
      </c>
      <c r="L1069" t="n">
        <v>0.845</v>
      </c>
      <c r="M1069" t="n">
        <v>0.155</v>
      </c>
    </row>
    <row r="1070" spans="1:13">
      <c r="A1070" s="1">
        <f>HYPERLINK("http://www.twitter.com/NathanBLawrence/status/988268262554189824", "988268262554189824")</f>
        <v/>
      </c>
      <c r="B1070" s="2" t="n">
        <v>43213.17232638889</v>
      </c>
      <c r="C1070" t="n">
        <v>0</v>
      </c>
      <c r="D1070" t="n">
        <v>2</v>
      </c>
      <c r="E1070" t="s">
        <v>1080</v>
      </c>
      <c r="F1070" t="s"/>
      <c r="G1070" t="s"/>
      <c r="H1070" t="s"/>
      <c r="I1070" t="s"/>
      <c r="J1070" t="n">
        <v>0.6892</v>
      </c>
      <c r="K1070" t="n">
        <v>0</v>
      </c>
      <c r="L1070" t="n">
        <v>0.794</v>
      </c>
      <c r="M1070" t="n">
        <v>0.206</v>
      </c>
    </row>
    <row r="1071" spans="1:13">
      <c r="A1071" s="1">
        <f>HYPERLINK("http://www.twitter.com/NathanBLawrence/status/988267614450302977", "988267614450302977")</f>
        <v/>
      </c>
      <c r="B1071" s="2" t="n">
        <v>43213.17054398148</v>
      </c>
      <c r="C1071" t="n">
        <v>0</v>
      </c>
      <c r="D1071" t="n">
        <v>1196</v>
      </c>
      <c r="E1071" t="s">
        <v>1081</v>
      </c>
      <c r="F1071">
        <f>HYPERLINK("https://video.twimg.com/ext_tw_video/987689892376268800/pu/vid/640x360/N8DAn984kZjaYVG4.mp4?tag=3", "https://video.twimg.com/ext_tw_video/987689892376268800/pu/vid/640x360/N8DAn984kZjaYVG4.mp4?tag=3")</f>
        <v/>
      </c>
      <c r="G1071" t="s"/>
      <c r="H1071" t="s"/>
      <c r="I1071" t="s"/>
      <c r="J1071" t="n">
        <v>0.5859</v>
      </c>
      <c r="K1071" t="n">
        <v>0</v>
      </c>
      <c r="L1071" t="n">
        <v>0.833</v>
      </c>
      <c r="M1071" t="n">
        <v>0.167</v>
      </c>
    </row>
    <row r="1072" spans="1:13">
      <c r="A1072" s="1">
        <f>HYPERLINK("http://www.twitter.com/NathanBLawrence/status/988267324091154432", "988267324091154432")</f>
        <v/>
      </c>
      <c r="B1072" s="2" t="n">
        <v>43213.1697337963</v>
      </c>
      <c r="C1072" t="n">
        <v>20</v>
      </c>
      <c r="D1072" t="n">
        <v>6</v>
      </c>
      <c r="E1072" t="s">
        <v>1082</v>
      </c>
      <c r="F1072" t="s"/>
      <c r="G1072" t="s"/>
      <c r="H1072" t="s"/>
      <c r="I1072" t="s"/>
      <c r="J1072" t="n">
        <v>0</v>
      </c>
      <c r="K1072" t="n">
        <v>0</v>
      </c>
      <c r="L1072" t="n">
        <v>1</v>
      </c>
      <c r="M1072" t="n">
        <v>0</v>
      </c>
    </row>
    <row r="1073" spans="1:13">
      <c r="A1073" s="1">
        <f>HYPERLINK("http://www.twitter.com/NathanBLawrence/status/988267059170590720", "988267059170590720")</f>
        <v/>
      </c>
      <c r="B1073" s="2" t="n">
        <v>43213.16900462963</v>
      </c>
      <c r="C1073" t="n">
        <v>0</v>
      </c>
      <c r="D1073" t="n">
        <v>22</v>
      </c>
      <c r="E1073" t="s">
        <v>1083</v>
      </c>
      <c r="F1073" t="s"/>
      <c r="G1073" t="s"/>
      <c r="H1073" t="s"/>
      <c r="I1073" t="s"/>
      <c r="J1073" t="n">
        <v>0.0516</v>
      </c>
      <c r="K1073" t="n">
        <v>0</v>
      </c>
      <c r="L1073" t="n">
        <v>0.948</v>
      </c>
      <c r="M1073" t="n">
        <v>0.052</v>
      </c>
    </row>
    <row r="1074" spans="1:13">
      <c r="A1074" s="1">
        <f>HYPERLINK("http://www.twitter.com/NathanBLawrence/status/988266737832361984", "988266737832361984")</f>
        <v/>
      </c>
      <c r="B1074" s="2" t="n">
        <v>43213.168125</v>
      </c>
      <c r="C1074" t="n">
        <v>0</v>
      </c>
      <c r="D1074" t="n">
        <v>1973</v>
      </c>
      <c r="E1074" t="s">
        <v>1084</v>
      </c>
      <c r="F1074" t="s"/>
      <c r="G1074" t="s"/>
      <c r="H1074" t="s"/>
      <c r="I1074" t="s"/>
      <c r="J1074" t="n">
        <v>0.4939</v>
      </c>
      <c r="K1074" t="n">
        <v>0</v>
      </c>
      <c r="L1074" t="n">
        <v>0.873</v>
      </c>
      <c r="M1074" t="n">
        <v>0.127</v>
      </c>
    </row>
    <row r="1075" spans="1:13">
      <c r="A1075" s="1">
        <f>HYPERLINK("http://www.twitter.com/NathanBLawrence/status/988266464745373699", "988266464745373699")</f>
        <v/>
      </c>
      <c r="B1075" s="2" t="n">
        <v>43213.16736111111</v>
      </c>
      <c r="C1075" t="n">
        <v>0</v>
      </c>
      <c r="D1075" t="n">
        <v>6723</v>
      </c>
      <c r="E1075" t="s">
        <v>1085</v>
      </c>
      <c r="F1075" t="s"/>
      <c r="G1075" t="s"/>
      <c r="H1075" t="s"/>
      <c r="I1075" t="s"/>
      <c r="J1075" t="n">
        <v>-0.8568</v>
      </c>
      <c r="K1075" t="n">
        <v>0.344</v>
      </c>
      <c r="L1075" t="n">
        <v>0.656</v>
      </c>
      <c r="M1075" t="n">
        <v>0</v>
      </c>
    </row>
    <row r="1076" spans="1:13">
      <c r="A1076" s="1">
        <f>HYPERLINK("http://www.twitter.com/NathanBLawrence/status/988266388371337216", "988266388371337216")</f>
        <v/>
      </c>
      <c r="B1076" s="2" t="n">
        <v>43213.16715277778</v>
      </c>
      <c r="C1076" t="n">
        <v>0</v>
      </c>
      <c r="D1076" t="n">
        <v>557</v>
      </c>
      <c r="E1076" t="s">
        <v>1086</v>
      </c>
      <c r="F1076">
        <f>HYPERLINK("http://pbs.twimg.com/media/DbbXcDcXkAMIciE.jpg", "http://pbs.twimg.com/media/DbbXcDcXkAMIciE.jpg")</f>
        <v/>
      </c>
      <c r="G1076" t="s"/>
      <c r="H1076" t="s"/>
      <c r="I1076" t="s"/>
      <c r="J1076" t="n">
        <v>0.6124000000000001</v>
      </c>
      <c r="K1076" t="n">
        <v>0</v>
      </c>
      <c r="L1076" t="n">
        <v>0.792</v>
      </c>
      <c r="M1076" t="n">
        <v>0.208</v>
      </c>
    </row>
    <row r="1077" spans="1:13">
      <c r="A1077" s="1">
        <f>HYPERLINK("http://www.twitter.com/NathanBLawrence/status/988266336357728256", "988266336357728256")</f>
        <v/>
      </c>
      <c r="B1077" s="2" t="n">
        <v>43213.16701388889</v>
      </c>
      <c r="C1077" t="n">
        <v>0</v>
      </c>
      <c r="D1077" t="n">
        <v>395</v>
      </c>
      <c r="E1077" t="s">
        <v>1087</v>
      </c>
      <c r="F1077" t="s"/>
      <c r="G1077" t="s"/>
      <c r="H1077" t="s"/>
      <c r="I1077" t="s"/>
      <c r="J1077" t="n">
        <v>-0.7096</v>
      </c>
      <c r="K1077" t="n">
        <v>0.323</v>
      </c>
      <c r="L1077" t="n">
        <v>0.584</v>
      </c>
      <c r="M1077" t="n">
        <v>0.093</v>
      </c>
    </row>
    <row r="1078" spans="1:13">
      <c r="A1078" s="1">
        <f>HYPERLINK("http://www.twitter.com/NathanBLawrence/status/988266072112484357", "988266072112484357")</f>
        <v/>
      </c>
      <c r="B1078" s="2" t="n">
        <v>43213.16628472223</v>
      </c>
      <c r="C1078" t="n">
        <v>0</v>
      </c>
      <c r="D1078" t="n">
        <v>725</v>
      </c>
      <c r="E1078" t="s">
        <v>1088</v>
      </c>
      <c r="F1078" t="s"/>
      <c r="G1078" t="s"/>
      <c r="H1078" t="s"/>
      <c r="I1078" t="s"/>
      <c r="J1078" t="n">
        <v>0.6597</v>
      </c>
      <c r="K1078" t="n">
        <v>0</v>
      </c>
      <c r="L1078" t="n">
        <v>0.779</v>
      </c>
      <c r="M1078" t="n">
        <v>0.221</v>
      </c>
    </row>
    <row r="1079" spans="1:13">
      <c r="A1079" s="1">
        <f>HYPERLINK("http://www.twitter.com/NathanBLawrence/status/988265991061823488", "988265991061823488")</f>
        <v/>
      </c>
      <c r="B1079" s="2" t="n">
        <v>43213.16606481482</v>
      </c>
      <c r="C1079" t="n">
        <v>0</v>
      </c>
      <c r="D1079" t="n">
        <v>530</v>
      </c>
      <c r="E1079" t="s">
        <v>1089</v>
      </c>
      <c r="F1079">
        <f>HYPERLINK("http://pbs.twimg.com/media/DbbX_miVwAApcoH.jpg", "http://pbs.twimg.com/media/DbbX_miVwAApcoH.jpg")</f>
        <v/>
      </c>
      <c r="G1079" t="s"/>
      <c r="H1079" t="s"/>
      <c r="I1079" t="s"/>
      <c r="J1079" t="n">
        <v>0.6899999999999999</v>
      </c>
      <c r="K1079" t="n">
        <v>0</v>
      </c>
      <c r="L1079" t="n">
        <v>0.695</v>
      </c>
      <c r="M1079" t="n">
        <v>0.305</v>
      </c>
    </row>
    <row r="1080" spans="1:13">
      <c r="A1080" s="1">
        <f>HYPERLINK("http://www.twitter.com/NathanBLawrence/status/988265860228726785", "988265860228726785")</f>
        <v/>
      </c>
      <c r="B1080" s="2" t="n">
        <v>43213.16569444445</v>
      </c>
      <c r="C1080" t="n">
        <v>0</v>
      </c>
      <c r="D1080" t="n">
        <v>715</v>
      </c>
      <c r="E1080" t="s">
        <v>1090</v>
      </c>
      <c r="F1080">
        <f>HYPERLINK("http://pbs.twimg.com/media/DbburNJU0AAH2d9.jpg", "http://pbs.twimg.com/media/DbburNJU0AAH2d9.jpg")</f>
        <v/>
      </c>
      <c r="G1080" t="s"/>
      <c r="H1080" t="s"/>
      <c r="I1080" t="s"/>
      <c r="J1080" t="n">
        <v>0.8555</v>
      </c>
      <c r="K1080" t="n">
        <v>0</v>
      </c>
      <c r="L1080" t="n">
        <v>0.615</v>
      </c>
      <c r="M1080" t="n">
        <v>0.385</v>
      </c>
    </row>
    <row r="1081" spans="1:13">
      <c r="A1081" s="1">
        <f>HYPERLINK("http://www.twitter.com/NathanBLawrence/status/988265710701821952", "988265710701821952")</f>
        <v/>
      </c>
      <c r="B1081" s="2" t="n">
        <v>43213.16528935185</v>
      </c>
      <c r="C1081" t="n">
        <v>0</v>
      </c>
      <c r="D1081" t="n">
        <v>538</v>
      </c>
      <c r="E1081" t="s">
        <v>1091</v>
      </c>
      <c r="F1081">
        <f>HYPERLINK("http://pbs.twimg.com/media/DbbczzfU0AA8w63.jpg", "http://pbs.twimg.com/media/DbbczzfU0AA8w63.jpg")</f>
        <v/>
      </c>
      <c r="G1081" t="s"/>
      <c r="H1081" t="s"/>
      <c r="I1081" t="s"/>
      <c r="J1081" t="n">
        <v>0.1027</v>
      </c>
      <c r="K1081" t="n">
        <v>0.124</v>
      </c>
      <c r="L1081" t="n">
        <v>0.736</v>
      </c>
      <c r="M1081" t="n">
        <v>0.14</v>
      </c>
    </row>
    <row r="1082" spans="1:13">
      <c r="A1082" s="1">
        <f>HYPERLINK("http://www.twitter.com/NathanBLawrence/status/988239364680552448", "988239364680552448")</f>
        <v/>
      </c>
      <c r="B1082" s="2" t="n">
        <v>43213.09258101852</v>
      </c>
      <c r="C1082" t="n">
        <v>13</v>
      </c>
      <c r="D1082" t="n">
        <v>1</v>
      </c>
      <c r="E1082" t="s">
        <v>1092</v>
      </c>
      <c r="F1082">
        <f>HYPERLINK("http://pbs.twimg.com/media/DbbudrzX4AAWKFs.jpg", "http://pbs.twimg.com/media/DbbudrzX4AAWKFs.jpg")</f>
        <v/>
      </c>
      <c r="G1082" t="s"/>
      <c r="H1082" t="s"/>
      <c r="I1082" t="s"/>
      <c r="J1082" t="n">
        <v>0</v>
      </c>
      <c r="K1082" t="n">
        <v>0</v>
      </c>
      <c r="L1082" t="n">
        <v>1</v>
      </c>
      <c r="M1082" t="n">
        <v>0</v>
      </c>
    </row>
    <row r="1083" spans="1:13">
      <c r="A1083" s="1">
        <f>HYPERLINK("http://www.twitter.com/NathanBLawrence/status/988213300939767808", "988213300939767808")</f>
        <v/>
      </c>
      <c r="B1083" s="2" t="n">
        <v>43213.02065972222</v>
      </c>
      <c r="C1083" t="n">
        <v>0</v>
      </c>
      <c r="D1083" t="n">
        <v>165</v>
      </c>
      <c r="E1083" t="s">
        <v>1093</v>
      </c>
      <c r="F1083" t="s"/>
      <c r="G1083" t="s"/>
      <c r="H1083" t="s"/>
      <c r="I1083" t="s"/>
      <c r="J1083" t="n">
        <v>-0.6408</v>
      </c>
      <c r="K1083" t="n">
        <v>0.246</v>
      </c>
      <c r="L1083" t="n">
        <v>0.754</v>
      </c>
      <c r="M1083" t="n">
        <v>0</v>
      </c>
    </row>
    <row r="1084" spans="1:13">
      <c r="A1084" s="1">
        <f>HYPERLINK("http://www.twitter.com/NathanBLawrence/status/988212573924245504", "988212573924245504")</f>
        <v/>
      </c>
      <c r="B1084" s="2" t="n">
        <v>43213.01865740741</v>
      </c>
      <c r="C1084" t="n">
        <v>5</v>
      </c>
      <c r="D1084" t="n">
        <v>4</v>
      </c>
      <c r="E1084" t="s">
        <v>1094</v>
      </c>
      <c r="F1084" t="s"/>
      <c r="G1084" t="s"/>
      <c r="H1084" t="s"/>
      <c r="I1084" t="s"/>
      <c r="J1084" t="n">
        <v>-0.8316</v>
      </c>
      <c r="K1084" t="n">
        <v>0.444</v>
      </c>
      <c r="L1084" t="n">
        <v>0.556</v>
      </c>
      <c r="M1084" t="n">
        <v>0</v>
      </c>
    </row>
    <row r="1085" spans="1:13">
      <c r="A1085" s="1">
        <f>HYPERLINK("http://www.twitter.com/NathanBLawrence/status/988210576823271426", "988210576823271426")</f>
        <v/>
      </c>
      <c r="B1085" s="2" t="n">
        <v>43213.01314814815</v>
      </c>
      <c r="C1085" t="n">
        <v>0</v>
      </c>
      <c r="D1085" t="n">
        <v>1932</v>
      </c>
      <c r="E1085" t="s">
        <v>1095</v>
      </c>
      <c r="F1085">
        <f>HYPERLINK("http://pbs.twimg.com/media/DbZE92dVwAEQgnN.jpg", "http://pbs.twimg.com/media/DbZE92dVwAEQgnN.jpg")</f>
        <v/>
      </c>
      <c r="G1085" t="s"/>
      <c r="H1085" t="s"/>
      <c r="I1085" t="s"/>
      <c r="J1085" t="n">
        <v>0</v>
      </c>
      <c r="K1085" t="n">
        <v>0</v>
      </c>
      <c r="L1085" t="n">
        <v>1</v>
      </c>
      <c r="M1085" t="n">
        <v>0</v>
      </c>
    </row>
    <row r="1086" spans="1:13">
      <c r="A1086" s="1">
        <f>HYPERLINK("http://www.twitter.com/NathanBLawrence/status/988210429733163009", "988210429733163009")</f>
        <v/>
      </c>
      <c r="B1086" s="2" t="n">
        <v>43213.01274305556</v>
      </c>
      <c r="C1086" t="n">
        <v>0</v>
      </c>
      <c r="D1086" t="n">
        <v>557</v>
      </c>
      <c r="E1086" t="s">
        <v>1096</v>
      </c>
      <c r="F1086">
        <f>HYPERLINK("https://video.twimg.com/amplify_video/987098261608697856/vid/1280x720/4OJ9Vd1l_KXOmi6h.mp4?tag=6", "https://video.twimg.com/amplify_video/987098261608697856/vid/1280x720/4OJ9Vd1l_KXOmi6h.mp4?tag=6")</f>
        <v/>
      </c>
      <c r="G1086" t="s"/>
      <c r="H1086" t="s"/>
      <c r="I1086" t="s"/>
      <c r="J1086" t="n">
        <v>0</v>
      </c>
      <c r="K1086" t="n">
        <v>0</v>
      </c>
      <c r="L1086" t="n">
        <v>1</v>
      </c>
      <c r="M1086" t="n">
        <v>0</v>
      </c>
    </row>
    <row r="1087" spans="1:13">
      <c r="A1087" s="1">
        <f>HYPERLINK("http://www.twitter.com/NathanBLawrence/status/988209445220958209", "988209445220958209")</f>
        <v/>
      </c>
      <c r="B1087" s="2" t="n">
        <v>43213.01002314815</v>
      </c>
      <c r="C1087" t="n">
        <v>0</v>
      </c>
      <c r="D1087" t="n">
        <v>17</v>
      </c>
      <c r="E1087" t="s">
        <v>1097</v>
      </c>
      <c r="F1087" t="s"/>
      <c r="G1087" t="s"/>
      <c r="H1087" t="s"/>
      <c r="I1087" t="s"/>
      <c r="J1087" t="n">
        <v>0</v>
      </c>
      <c r="K1087" t="n">
        <v>0</v>
      </c>
      <c r="L1087" t="n">
        <v>1</v>
      </c>
      <c r="M1087" t="n">
        <v>0</v>
      </c>
    </row>
    <row r="1088" spans="1:13">
      <c r="A1088" s="1">
        <f>HYPERLINK("http://www.twitter.com/NathanBLawrence/status/988209279373987840", "988209279373987840")</f>
        <v/>
      </c>
      <c r="B1088" s="2" t="n">
        <v>43213.00956018519</v>
      </c>
      <c r="C1088" t="n">
        <v>0</v>
      </c>
      <c r="D1088" t="n">
        <v>5681</v>
      </c>
      <c r="E1088" t="s">
        <v>1098</v>
      </c>
      <c r="F1088">
        <f>HYPERLINK("https://video.twimg.com/ext_tw_video/986046480552087553/pu/vid/640x360/IXzEKbaTbr2kbW6L.mp4?tag=2", "https://video.twimg.com/ext_tw_video/986046480552087553/pu/vid/640x360/IXzEKbaTbr2kbW6L.mp4?tag=2")</f>
        <v/>
      </c>
      <c r="G1088" t="s"/>
      <c r="H1088" t="s"/>
      <c r="I1088" t="s"/>
      <c r="J1088" t="n">
        <v>0.4404</v>
      </c>
      <c r="K1088" t="n">
        <v>0</v>
      </c>
      <c r="L1088" t="n">
        <v>0.707</v>
      </c>
      <c r="M1088" t="n">
        <v>0.293</v>
      </c>
    </row>
    <row r="1089" spans="1:13">
      <c r="A1089" s="1">
        <f>HYPERLINK("http://www.twitter.com/NathanBLawrence/status/988208910828945408", "988208910828945408")</f>
        <v/>
      </c>
      <c r="B1089" s="2" t="n">
        <v>43213.00855324074</v>
      </c>
      <c r="C1089" t="n">
        <v>0</v>
      </c>
      <c r="D1089" t="n">
        <v>1303</v>
      </c>
      <c r="E1089" t="s">
        <v>1099</v>
      </c>
      <c r="F1089">
        <f>HYPERLINK("http://pbs.twimg.com/media/DbbLbzlXUAA3oyV.jpg", "http://pbs.twimg.com/media/DbbLbzlXUAA3oyV.jpg")</f>
        <v/>
      </c>
      <c r="G1089" t="s"/>
      <c r="H1089" t="s"/>
      <c r="I1089" t="s"/>
      <c r="J1089" t="n">
        <v>0.5562</v>
      </c>
      <c r="K1089" t="n">
        <v>0</v>
      </c>
      <c r="L1089" t="n">
        <v>0.848</v>
      </c>
      <c r="M1089" t="n">
        <v>0.152</v>
      </c>
    </row>
    <row r="1090" spans="1:13">
      <c r="A1090" s="1">
        <f>HYPERLINK("http://www.twitter.com/NathanBLawrence/status/988208817694363648", "988208817694363648")</f>
        <v/>
      </c>
      <c r="B1090" s="2" t="n">
        <v>43213.00828703704</v>
      </c>
      <c r="C1090" t="n">
        <v>0</v>
      </c>
      <c r="D1090" t="n">
        <v>103</v>
      </c>
      <c r="E1090" t="s">
        <v>1100</v>
      </c>
      <c r="F1090">
        <f>HYPERLINK("http://pbs.twimg.com/media/DbbPYYgV4AEA5CB.jpg", "http://pbs.twimg.com/media/DbbPYYgV4AEA5CB.jpg")</f>
        <v/>
      </c>
      <c r="G1090" t="s"/>
      <c r="H1090" t="s"/>
      <c r="I1090" t="s"/>
      <c r="J1090" t="n">
        <v>0</v>
      </c>
      <c r="K1090" t="n">
        <v>0</v>
      </c>
      <c r="L1090" t="n">
        <v>1</v>
      </c>
      <c r="M1090" t="n">
        <v>0</v>
      </c>
    </row>
    <row r="1091" spans="1:13">
      <c r="A1091" s="1">
        <f>HYPERLINK("http://www.twitter.com/NathanBLawrence/status/988208768650391552", "988208768650391552")</f>
        <v/>
      </c>
      <c r="B1091" s="2" t="n">
        <v>43213.00815972222</v>
      </c>
      <c r="C1091" t="n">
        <v>0</v>
      </c>
      <c r="D1091" t="n">
        <v>54</v>
      </c>
      <c r="E1091" t="s">
        <v>1101</v>
      </c>
      <c r="F1091" t="s"/>
      <c r="G1091" t="s"/>
      <c r="H1091" t="s"/>
      <c r="I1091" t="s"/>
      <c r="J1091" t="n">
        <v>-0.357</v>
      </c>
      <c r="K1091" t="n">
        <v>0.15</v>
      </c>
      <c r="L1091" t="n">
        <v>0.85</v>
      </c>
      <c r="M1091" t="n">
        <v>0</v>
      </c>
    </row>
    <row r="1092" spans="1:13">
      <c r="A1092" s="1">
        <f>HYPERLINK("http://www.twitter.com/NathanBLawrence/status/988208427749920768", "988208427749920768")</f>
        <v/>
      </c>
      <c r="B1092" s="2" t="n">
        <v>43213.00721064815</v>
      </c>
      <c r="C1092" t="n">
        <v>0</v>
      </c>
      <c r="D1092" t="n">
        <v>95</v>
      </c>
      <c r="E1092" t="s">
        <v>1102</v>
      </c>
      <c r="F1092">
        <f>HYPERLINK("http://pbs.twimg.com/media/DbXWuYAWkAAG_rU.jpg", "http://pbs.twimg.com/media/DbXWuYAWkAAG_rU.jpg")</f>
        <v/>
      </c>
      <c r="G1092" t="s"/>
      <c r="H1092" t="s"/>
      <c r="I1092" t="s"/>
      <c r="J1092" t="n">
        <v>0</v>
      </c>
      <c r="K1092" t="n">
        <v>0</v>
      </c>
      <c r="L1092" t="n">
        <v>1</v>
      </c>
      <c r="M1092" t="n">
        <v>0</v>
      </c>
    </row>
    <row r="1093" spans="1:13">
      <c r="A1093" s="1">
        <f>HYPERLINK("http://www.twitter.com/NathanBLawrence/status/988208360469159936", "988208360469159936")</f>
        <v/>
      </c>
      <c r="B1093" s="2" t="n">
        <v>43213.00702546296</v>
      </c>
      <c r="C1093" t="n">
        <v>12</v>
      </c>
      <c r="D1093" t="n">
        <v>5</v>
      </c>
      <c r="E1093" t="s">
        <v>1103</v>
      </c>
      <c r="F1093" t="s"/>
      <c r="G1093" t="s"/>
      <c r="H1093" t="s"/>
      <c r="I1093" t="s"/>
      <c r="J1093" t="n">
        <v>0</v>
      </c>
      <c r="K1093" t="n">
        <v>0</v>
      </c>
      <c r="L1093" t="n">
        <v>1</v>
      </c>
      <c r="M1093" t="n">
        <v>0</v>
      </c>
    </row>
    <row r="1094" spans="1:13">
      <c r="A1094" s="1">
        <f>HYPERLINK("http://www.twitter.com/NathanBLawrence/status/988207881555140608", "988207881555140608")</f>
        <v/>
      </c>
      <c r="B1094" s="2" t="n">
        <v>43213.00570601852</v>
      </c>
      <c r="C1094" t="n">
        <v>0</v>
      </c>
      <c r="D1094" t="n">
        <v>294</v>
      </c>
      <c r="E1094" t="s">
        <v>1104</v>
      </c>
      <c r="F1094">
        <f>HYPERLINK("http://pbs.twimg.com/media/DbbPYehV4AE4_1y.jpg", "http://pbs.twimg.com/media/DbbPYehV4AE4_1y.jpg")</f>
        <v/>
      </c>
      <c r="G1094" t="s"/>
      <c r="H1094" t="s"/>
      <c r="I1094" t="s"/>
      <c r="J1094" t="n">
        <v>0</v>
      </c>
      <c r="K1094" t="n">
        <v>0</v>
      </c>
      <c r="L1094" t="n">
        <v>1</v>
      </c>
      <c r="M1094" t="n">
        <v>0</v>
      </c>
    </row>
    <row r="1095" spans="1:13">
      <c r="A1095" s="1">
        <f>HYPERLINK("http://www.twitter.com/NathanBLawrence/status/988207824718069760", "988207824718069760")</f>
        <v/>
      </c>
      <c r="B1095" s="2" t="n">
        <v>43213.00555555556</v>
      </c>
      <c r="C1095" t="n">
        <v>0</v>
      </c>
      <c r="D1095" t="n">
        <v>1</v>
      </c>
      <c r="E1095" t="s">
        <v>1105</v>
      </c>
      <c r="F1095">
        <f>HYPERLINK("http://pbs.twimg.com/media/DbbPaNEVQAA2eTp.jpg", "http://pbs.twimg.com/media/DbbPaNEVQAA2eTp.jpg")</f>
        <v/>
      </c>
      <c r="G1095" t="s"/>
      <c r="H1095" t="s"/>
      <c r="I1095" t="s"/>
      <c r="J1095" t="n">
        <v>0</v>
      </c>
      <c r="K1095" t="n">
        <v>0</v>
      </c>
      <c r="L1095" t="n">
        <v>1</v>
      </c>
      <c r="M1095" t="n">
        <v>0</v>
      </c>
    </row>
    <row r="1096" spans="1:13">
      <c r="A1096" s="1">
        <f>HYPERLINK("http://www.twitter.com/NathanBLawrence/status/988207694908567552", "988207694908567552")</f>
        <v/>
      </c>
      <c r="B1096" s="2" t="n">
        <v>43213.00519675926</v>
      </c>
      <c r="C1096" t="n">
        <v>0</v>
      </c>
      <c r="D1096" t="n">
        <v>101</v>
      </c>
      <c r="E1096" t="s">
        <v>1106</v>
      </c>
      <c r="F1096">
        <f>HYPERLINK("http://pbs.twimg.com/media/DbbPZscW4AAnGLv.jpg", "http://pbs.twimg.com/media/DbbPZscW4AAnGLv.jpg")</f>
        <v/>
      </c>
      <c r="G1096" t="s"/>
      <c r="H1096" t="s"/>
      <c r="I1096" t="s"/>
      <c r="J1096" t="n">
        <v>0</v>
      </c>
      <c r="K1096" t="n">
        <v>0</v>
      </c>
      <c r="L1096" t="n">
        <v>1</v>
      </c>
      <c r="M1096" t="n">
        <v>0</v>
      </c>
    </row>
    <row r="1097" spans="1:13">
      <c r="A1097" s="1">
        <f>HYPERLINK("http://www.twitter.com/NathanBLawrence/status/988207103595560960", "988207103595560960")</f>
        <v/>
      </c>
      <c r="B1097" s="2" t="n">
        <v>43213.00356481481</v>
      </c>
      <c r="C1097" t="n">
        <v>3</v>
      </c>
      <c r="D1097" t="n">
        <v>0</v>
      </c>
      <c r="E1097" t="s">
        <v>1107</v>
      </c>
      <c r="F1097" t="s"/>
      <c r="G1097" t="s"/>
      <c r="H1097" t="s"/>
      <c r="I1097" t="s"/>
      <c r="J1097" t="n">
        <v>-0.7579</v>
      </c>
      <c r="K1097" t="n">
        <v>0.371</v>
      </c>
      <c r="L1097" t="n">
        <v>0.629</v>
      </c>
      <c r="M1097" t="n">
        <v>0</v>
      </c>
    </row>
    <row r="1098" spans="1:13">
      <c r="A1098" s="1">
        <f>HYPERLINK("http://www.twitter.com/NathanBLawrence/status/988206571564945408", "988206571564945408")</f>
        <v/>
      </c>
      <c r="B1098" s="2" t="n">
        <v>43213.00209490741</v>
      </c>
      <c r="C1098" t="n">
        <v>1</v>
      </c>
      <c r="D1098" t="n">
        <v>1</v>
      </c>
      <c r="E1098" t="s">
        <v>1108</v>
      </c>
      <c r="F1098" t="s"/>
      <c r="G1098" t="s"/>
      <c r="H1098" t="s"/>
      <c r="I1098" t="s"/>
      <c r="J1098" t="n">
        <v>-0.4767</v>
      </c>
      <c r="K1098" t="n">
        <v>0.307</v>
      </c>
      <c r="L1098" t="n">
        <v>0.6929999999999999</v>
      </c>
      <c r="M1098" t="n">
        <v>0</v>
      </c>
    </row>
    <row r="1099" spans="1:13">
      <c r="A1099" s="1">
        <f>HYPERLINK("http://www.twitter.com/NathanBLawrence/status/988206394313654272", "988206394313654272")</f>
        <v/>
      </c>
      <c r="B1099" s="2" t="n">
        <v>43213.00160879629</v>
      </c>
      <c r="C1099" t="n">
        <v>2</v>
      </c>
      <c r="D1099" t="n">
        <v>2</v>
      </c>
      <c r="E1099" t="s">
        <v>1109</v>
      </c>
      <c r="F1099" t="s"/>
      <c r="G1099" t="s"/>
      <c r="H1099" t="s"/>
      <c r="I1099" t="s"/>
      <c r="J1099" t="n">
        <v>-0.3818</v>
      </c>
      <c r="K1099" t="n">
        <v>0.191</v>
      </c>
      <c r="L1099" t="n">
        <v>0.8090000000000001</v>
      </c>
      <c r="M1099" t="n">
        <v>0</v>
      </c>
    </row>
    <row r="1100" spans="1:13">
      <c r="A1100" s="1">
        <f>HYPERLINK("http://www.twitter.com/NathanBLawrence/status/988205950182961153", "988205950182961153")</f>
        <v/>
      </c>
      <c r="B1100" s="2" t="n">
        <v>43213.00038194445</v>
      </c>
      <c r="C1100" t="n">
        <v>7</v>
      </c>
      <c r="D1100" t="n">
        <v>3</v>
      </c>
      <c r="E1100" t="s">
        <v>1110</v>
      </c>
      <c r="F1100" t="s"/>
      <c r="G1100" t="s"/>
      <c r="H1100" t="s"/>
      <c r="I1100" t="s"/>
      <c r="J1100" t="n">
        <v>0.2263</v>
      </c>
      <c r="K1100" t="n">
        <v>0.124</v>
      </c>
      <c r="L1100" t="n">
        <v>0.6899999999999999</v>
      </c>
      <c r="M1100" t="n">
        <v>0.186</v>
      </c>
    </row>
    <row r="1101" spans="1:13">
      <c r="A1101" s="1">
        <f>HYPERLINK("http://www.twitter.com/NathanBLawrence/status/988205680958980097", "988205680958980097")</f>
        <v/>
      </c>
      <c r="B1101" s="2" t="n">
        <v>43212.99962962963</v>
      </c>
      <c r="C1101" t="n">
        <v>7</v>
      </c>
      <c r="D1101" t="n">
        <v>9</v>
      </c>
      <c r="E1101" t="s">
        <v>1111</v>
      </c>
      <c r="F1101" t="s"/>
      <c r="G1101" t="s"/>
      <c r="H1101" t="s"/>
      <c r="I1101" t="s"/>
      <c r="J1101" t="n">
        <v>0</v>
      </c>
      <c r="K1101" t="n">
        <v>0</v>
      </c>
      <c r="L1101" t="n">
        <v>1</v>
      </c>
      <c r="M1101" t="n">
        <v>0</v>
      </c>
    </row>
    <row r="1102" spans="1:13">
      <c r="A1102" s="1">
        <f>HYPERLINK("http://www.twitter.com/NathanBLawrence/status/988204892740247552", "988204892740247552")</f>
        <v/>
      </c>
      <c r="B1102" s="2" t="n">
        <v>43212.99746527777</v>
      </c>
      <c r="C1102" t="n">
        <v>0</v>
      </c>
      <c r="D1102" t="n">
        <v>30</v>
      </c>
      <c r="E1102" t="s">
        <v>1112</v>
      </c>
      <c r="F1102">
        <f>HYPERLINK("http://pbs.twimg.com/media/DbbIJzAUwAE0n2B.jpg", "http://pbs.twimg.com/media/DbbIJzAUwAE0n2B.jpg")</f>
        <v/>
      </c>
      <c r="G1102" t="s"/>
      <c r="H1102" t="s"/>
      <c r="I1102" t="s"/>
      <c r="J1102" t="n">
        <v>0</v>
      </c>
      <c r="K1102" t="n">
        <v>0</v>
      </c>
      <c r="L1102" t="n">
        <v>1</v>
      </c>
      <c r="M1102" t="n">
        <v>0</v>
      </c>
    </row>
    <row r="1103" spans="1:13">
      <c r="A1103" s="1">
        <f>HYPERLINK("http://www.twitter.com/NathanBLawrence/status/988204781469499392", "988204781469499392")</f>
        <v/>
      </c>
      <c r="B1103" s="2" t="n">
        <v>43212.99715277777</v>
      </c>
      <c r="C1103" t="n">
        <v>0</v>
      </c>
      <c r="D1103" t="n">
        <v>4</v>
      </c>
      <c r="E1103" t="s">
        <v>1113</v>
      </c>
      <c r="F1103">
        <f>HYPERLINK("http://pbs.twimg.com/media/DbbOZJLVMAAK0xK.jpg", "http://pbs.twimg.com/media/DbbOZJLVMAAK0xK.jpg")</f>
        <v/>
      </c>
      <c r="G1103" t="s"/>
      <c r="H1103" t="s"/>
      <c r="I1103" t="s"/>
      <c r="J1103" t="n">
        <v>0</v>
      </c>
      <c r="K1103" t="n">
        <v>0</v>
      </c>
      <c r="L1103" t="n">
        <v>1</v>
      </c>
      <c r="M1103" t="n">
        <v>0</v>
      </c>
    </row>
    <row r="1104" spans="1:13">
      <c r="A1104" s="1">
        <f>HYPERLINK("http://www.twitter.com/NathanBLawrence/status/988204683691868160", "988204683691868160")</f>
        <v/>
      </c>
      <c r="B1104" s="2" t="n">
        <v>43212.99688657407</v>
      </c>
      <c r="C1104" t="n">
        <v>0</v>
      </c>
      <c r="D1104" t="n">
        <v>9</v>
      </c>
      <c r="E1104" t="s">
        <v>1114</v>
      </c>
      <c r="F1104">
        <f>HYPERLINK("http://pbs.twimg.com/media/DbbOsKMVwAAIBGp.jpg", "http://pbs.twimg.com/media/DbbOsKMVwAAIBGp.jpg")</f>
        <v/>
      </c>
      <c r="G1104" t="s"/>
      <c r="H1104" t="s"/>
      <c r="I1104" t="s"/>
      <c r="J1104" t="n">
        <v>0</v>
      </c>
      <c r="K1104" t="n">
        <v>0</v>
      </c>
      <c r="L1104" t="n">
        <v>1</v>
      </c>
      <c r="M1104" t="n">
        <v>0</v>
      </c>
    </row>
    <row r="1105" spans="1:13">
      <c r="A1105" s="1">
        <f>HYPERLINK("http://www.twitter.com/NathanBLawrence/status/988204416896401408", "988204416896401408")</f>
        <v/>
      </c>
      <c r="B1105" s="2" t="n">
        <v>43212.99614583333</v>
      </c>
      <c r="C1105" t="n">
        <v>0</v>
      </c>
      <c r="D1105" t="n">
        <v>470</v>
      </c>
      <c r="E1105" t="s">
        <v>1115</v>
      </c>
      <c r="F1105">
        <f>HYPERLINK("http://pbs.twimg.com/media/DbbM5r4U8AAzEGg.jpg", "http://pbs.twimg.com/media/DbbM5r4U8AAzEGg.jpg")</f>
        <v/>
      </c>
      <c r="G1105" t="s"/>
      <c r="H1105" t="s"/>
      <c r="I1105" t="s"/>
      <c r="J1105" t="n">
        <v>0.9374</v>
      </c>
      <c r="K1105" t="n">
        <v>0</v>
      </c>
      <c r="L1105" t="n">
        <v>0.586</v>
      </c>
      <c r="M1105" t="n">
        <v>0.414</v>
      </c>
    </row>
    <row r="1106" spans="1:13">
      <c r="A1106" s="1">
        <f>HYPERLINK("http://www.twitter.com/NathanBLawrence/status/988204308406546433", "988204308406546433")</f>
        <v/>
      </c>
      <c r="B1106" s="2" t="n">
        <v>43212.9958449074</v>
      </c>
      <c r="C1106" t="n">
        <v>0</v>
      </c>
      <c r="D1106" t="n">
        <v>799</v>
      </c>
      <c r="E1106" t="s">
        <v>1116</v>
      </c>
      <c r="F1106">
        <f>HYPERLINK("http://pbs.twimg.com/media/Dba4rBqU0AI6TDZ.jpg", "http://pbs.twimg.com/media/Dba4rBqU0AI6TDZ.jpg")</f>
        <v/>
      </c>
      <c r="G1106" t="s"/>
      <c r="H1106" t="s"/>
      <c r="I1106" t="s"/>
      <c r="J1106" t="n">
        <v>-0.5848</v>
      </c>
      <c r="K1106" t="n">
        <v>0.153</v>
      </c>
      <c r="L1106" t="n">
        <v>0.847</v>
      </c>
      <c r="M1106" t="n">
        <v>0</v>
      </c>
    </row>
    <row r="1107" spans="1:13">
      <c r="A1107" s="1">
        <f>HYPERLINK("http://www.twitter.com/NathanBLawrence/status/988204250718126081", "988204250718126081")</f>
        <v/>
      </c>
      <c r="B1107" s="2" t="n">
        <v>43212.99568287037</v>
      </c>
      <c r="C1107" t="n">
        <v>0</v>
      </c>
      <c r="D1107" t="n">
        <v>21</v>
      </c>
      <c r="E1107" t="s">
        <v>1117</v>
      </c>
      <c r="F1107">
        <f>HYPERLINK("http://pbs.twimg.com/media/DbbN2Q8V4AEM6hj.png", "http://pbs.twimg.com/media/DbbN2Q8V4AEM6hj.png")</f>
        <v/>
      </c>
      <c r="G1107" t="s"/>
      <c r="H1107" t="s"/>
      <c r="I1107" t="s"/>
      <c r="J1107" t="n">
        <v>0</v>
      </c>
      <c r="K1107" t="n">
        <v>0</v>
      </c>
      <c r="L1107" t="n">
        <v>1</v>
      </c>
      <c r="M1107" t="n">
        <v>0</v>
      </c>
    </row>
    <row r="1108" spans="1:13">
      <c r="A1108" s="1">
        <f>HYPERLINK("http://www.twitter.com/NathanBLawrence/status/988204095189078017", "988204095189078017")</f>
        <v/>
      </c>
      <c r="B1108" s="2" t="n">
        <v>43212.99525462963</v>
      </c>
      <c r="C1108" t="n">
        <v>0</v>
      </c>
      <c r="D1108" t="n">
        <v>296</v>
      </c>
      <c r="E1108" t="s">
        <v>1118</v>
      </c>
      <c r="F1108" t="s"/>
      <c r="G1108" t="s"/>
      <c r="H1108" t="s"/>
      <c r="I1108" t="s"/>
      <c r="J1108" t="n">
        <v>0</v>
      </c>
      <c r="K1108" t="n">
        <v>0</v>
      </c>
      <c r="L1108" t="n">
        <v>1</v>
      </c>
      <c r="M1108" t="n">
        <v>0</v>
      </c>
    </row>
    <row r="1109" spans="1:13">
      <c r="A1109" s="1">
        <f>HYPERLINK("http://www.twitter.com/NathanBLawrence/status/988203962468777985", "988203962468777985")</f>
        <v/>
      </c>
      <c r="B1109" s="2" t="n">
        <v>43212.99489583333</v>
      </c>
      <c r="C1109" t="n">
        <v>0</v>
      </c>
      <c r="D1109" t="n">
        <v>9</v>
      </c>
      <c r="E1109" t="s">
        <v>1119</v>
      </c>
      <c r="F1109" t="s"/>
      <c r="G1109" t="s"/>
      <c r="H1109" t="s"/>
      <c r="I1109" t="s"/>
      <c r="J1109" t="n">
        <v>-0.7739</v>
      </c>
      <c r="K1109" t="n">
        <v>0.402</v>
      </c>
      <c r="L1109" t="n">
        <v>0.598</v>
      </c>
      <c r="M1109" t="n">
        <v>0</v>
      </c>
    </row>
    <row r="1110" spans="1:13">
      <c r="A1110" s="1">
        <f>HYPERLINK("http://www.twitter.com/NathanBLawrence/status/988203710634344448", "988203710634344448")</f>
        <v/>
      </c>
      <c r="B1110" s="2" t="n">
        <v>43212.99420138889</v>
      </c>
      <c r="C1110" t="n">
        <v>6</v>
      </c>
      <c r="D1110" t="n">
        <v>6</v>
      </c>
      <c r="E1110" t="s">
        <v>1120</v>
      </c>
      <c r="F1110" t="s"/>
      <c r="G1110" t="s"/>
      <c r="H1110" t="s"/>
      <c r="I1110" t="s"/>
      <c r="J1110" t="n">
        <v>-0.296</v>
      </c>
      <c r="K1110" t="n">
        <v>0.196</v>
      </c>
      <c r="L1110" t="n">
        <v>0.804</v>
      </c>
      <c r="M1110" t="n">
        <v>0</v>
      </c>
    </row>
    <row r="1111" spans="1:13">
      <c r="A1111" s="1">
        <f>HYPERLINK("http://www.twitter.com/NathanBLawrence/status/988203354479149056", "988203354479149056")</f>
        <v/>
      </c>
      <c r="B1111" s="2" t="n">
        <v>43212.99321759259</v>
      </c>
      <c r="C1111" t="n">
        <v>0</v>
      </c>
      <c r="D1111" t="n">
        <v>1841</v>
      </c>
      <c r="E1111" t="s">
        <v>1121</v>
      </c>
      <c r="F1111" t="s"/>
      <c r="G1111" t="s"/>
      <c r="H1111" t="s"/>
      <c r="I1111" t="s"/>
      <c r="J1111" t="n">
        <v>-0.6486</v>
      </c>
      <c r="K1111" t="n">
        <v>0.163</v>
      </c>
      <c r="L1111" t="n">
        <v>0.837</v>
      </c>
      <c r="M1111" t="n">
        <v>0</v>
      </c>
    </row>
    <row r="1112" spans="1:13">
      <c r="A1112" s="1">
        <f>HYPERLINK("http://www.twitter.com/NathanBLawrence/status/988203156076085248", "988203156076085248")</f>
        <v/>
      </c>
      <c r="B1112" s="2" t="n">
        <v>43212.99266203704</v>
      </c>
      <c r="C1112" t="n">
        <v>0</v>
      </c>
      <c r="D1112" t="n">
        <v>341</v>
      </c>
      <c r="E1112" t="s">
        <v>1122</v>
      </c>
      <c r="F1112">
        <f>HYPERLINK("http://pbs.twimg.com/media/DbZAHGSV0AETc0A.jpg", "http://pbs.twimg.com/media/DbZAHGSV0AETc0A.jpg")</f>
        <v/>
      </c>
      <c r="G1112" t="s"/>
      <c r="H1112" t="s"/>
      <c r="I1112" t="s"/>
      <c r="J1112" t="n">
        <v>0.7262999999999999</v>
      </c>
      <c r="K1112" t="n">
        <v>0</v>
      </c>
      <c r="L1112" t="n">
        <v>0.791</v>
      </c>
      <c r="M1112" t="n">
        <v>0.209</v>
      </c>
    </row>
    <row r="1113" spans="1:13">
      <c r="A1113" s="1">
        <f>HYPERLINK("http://www.twitter.com/NathanBLawrence/status/988203097322274816", "988203097322274816")</f>
        <v/>
      </c>
      <c r="B1113" s="2" t="n">
        <v>43212.9925</v>
      </c>
      <c r="C1113" t="n">
        <v>0</v>
      </c>
      <c r="D1113" t="n">
        <v>153</v>
      </c>
      <c r="E1113" t="s">
        <v>1123</v>
      </c>
      <c r="F1113">
        <f>HYPERLINK("http://pbs.twimg.com/media/DbaxlFaU8AAB98t.jpg", "http://pbs.twimg.com/media/DbaxlFaU8AAB98t.jpg")</f>
        <v/>
      </c>
      <c r="G1113" t="s"/>
      <c r="H1113" t="s"/>
      <c r="I1113" t="s"/>
      <c r="J1113" t="n">
        <v>-0.4648</v>
      </c>
      <c r="K1113" t="n">
        <v>0.203</v>
      </c>
      <c r="L1113" t="n">
        <v>0.634</v>
      </c>
      <c r="M1113" t="n">
        <v>0.162</v>
      </c>
    </row>
    <row r="1114" spans="1:13">
      <c r="A1114" s="1">
        <f>HYPERLINK("http://www.twitter.com/NathanBLawrence/status/988202882653548544", "988202882653548544")</f>
        <v/>
      </c>
      <c r="B1114" s="2" t="n">
        <v>43212.99190972222</v>
      </c>
      <c r="C1114" t="n">
        <v>0</v>
      </c>
      <c r="D1114" t="n">
        <v>13</v>
      </c>
      <c r="E1114" t="s">
        <v>1124</v>
      </c>
      <c r="F1114">
        <f>HYPERLINK("http://pbs.twimg.com/media/Dba8OvpVMAA-kjh.jpg", "http://pbs.twimg.com/media/Dba8OvpVMAA-kjh.jpg")</f>
        <v/>
      </c>
      <c r="G1114" t="s"/>
      <c r="H1114" t="s"/>
      <c r="I1114" t="s"/>
      <c r="J1114" t="n">
        <v>0.296</v>
      </c>
      <c r="K1114" t="n">
        <v>0</v>
      </c>
      <c r="L1114" t="n">
        <v>0.845</v>
      </c>
      <c r="M1114" t="n">
        <v>0.155</v>
      </c>
    </row>
    <row r="1115" spans="1:13">
      <c r="A1115" s="1">
        <f>HYPERLINK("http://www.twitter.com/NathanBLawrence/status/988202371682455552", "988202371682455552")</f>
        <v/>
      </c>
      <c r="B1115" s="2" t="n">
        <v>43212.99049768518</v>
      </c>
      <c r="C1115" t="n">
        <v>0</v>
      </c>
      <c r="D1115" t="n">
        <v>5</v>
      </c>
      <c r="E1115" t="s">
        <v>1125</v>
      </c>
      <c r="F1115" t="s"/>
      <c r="G1115" t="s"/>
      <c r="H1115" t="s"/>
      <c r="I1115" t="s"/>
      <c r="J1115" t="n">
        <v>-0.7979000000000001</v>
      </c>
      <c r="K1115" t="n">
        <v>0.425</v>
      </c>
      <c r="L1115" t="n">
        <v>0.575</v>
      </c>
      <c r="M1115" t="n">
        <v>0</v>
      </c>
    </row>
    <row r="1116" spans="1:13">
      <c r="A1116" s="1">
        <f>HYPERLINK("http://www.twitter.com/NathanBLawrence/status/988202198772297728", "988202198772297728")</f>
        <v/>
      </c>
      <c r="B1116" s="2" t="n">
        <v>43212.99002314815</v>
      </c>
      <c r="C1116" t="n">
        <v>0</v>
      </c>
      <c r="D1116" t="n">
        <v>18723</v>
      </c>
      <c r="E1116" t="s">
        <v>1126</v>
      </c>
      <c r="F1116" t="s"/>
      <c r="G1116" t="s"/>
      <c r="H1116" t="s"/>
      <c r="I1116" t="s"/>
      <c r="J1116" t="n">
        <v>-0.7783</v>
      </c>
      <c r="K1116" t="n">
        <v>0.264</v>
      </c>
      <c r="L1116" t="n">
        <v>0.736</v>
      </c>
      <c r="M1116" t="n">
        <v>0</v>
      </c>
    </row>
    <row r="1117" spans="1:13">
      <c r="A1117" s="1">
        <f>HYPERLINK("http://www.twitter.com/NathanBLawrence/status/988202122981261313", "988202122981261313")</f>
        <v/>
      </c>
      <c r="B1117" s="2" t="n">
        <v>43212.98981481481</v>
      </c>
      <c r="C1117" t="n">
        <v>0</v>
      </c>
      <c r="D1117" t="n">
        <v>62</v>
      </c>
      <c r="E1117" t="s">
        <v>1127</v>
      </c>
      <c r="F1117">
        <f>HYPERLINK("http://pbs.twimg.com/media/DbaqVLRW0AEQKdB.jpg", "http://pbs.twimg.com/media/DbaqVLRW0AEQKdB.jpg")</f>
        <v/>
      </c>
      <c r="G1117" t="s"/>
      <c r="H1117" t="s"/>
      <c r="I1117" t="s"/>
      <c r="J1117" t="n">
        <v>0</v>
      </c>
      <c r="K1117" t="n">
        <v>0</v>
      </c>
      <c r="L1117" t="n">
        <v>1</v>
      </c>
      <c r="M1117" t="n">
        <v>0</v>
      </c>
    </row>
    <row r="1118" spans="1:13">
      <c r="A1118" s="1">
        <f>HYPERLINK("http://www.twitter.com/NathanBLawrence/status/988202031235055616", "988202031235055616")</f>
        <v/>
      </c>
      <c r="B1118" s="2" t="n">
        <v>43212.98956018518</v>
      </c>
      <c r="C1118" t="n">
        <v>0</v>
      </c>
      <c r="D1118" t="n">
        <v>432</v>
      </c>
      <c r="E1118" t="s">
        <v>1128</v>
      </c>
      <c r="F1118" t="s"/>
      <c r="G1118" t="s"/>
      <c r="H1118" t="s"/>
      <c r="I1118" t="s"/>
      <c r="J1118" t="n">
        <v>0.5707</v>
      </c>
      <c r="K1118" t="n">
        <v>0</v>
      </c>
      <c r="L1118" t="n">
        <v>0.769</v>
      </c>
      <c r="M1118" t="n">
        <v>0.231</v>
      </c>
    </row>
    <row r="1119" spans="1:13">
      <c r="A1119" s="1">
        <f>HYPERLINK("http://www.twitter.com/NathanBLawrence/status/988201909591797760", "988201909591797760")</f>
        <v/>
      </c>
      <c r="B1119" s="2" t="n">
        <v>43212.98922453704</v>
      </c>
      <c r="C1119" t="n">
        <v>0</v>
      </c>
      <c r="D1119" t="n">
        <v>443</v>
      </c>
      <c r="E1119" t="s">
        <v>1129</v>
      </c>
      <c r="F1119">
        <f>HYPERLINK("http://pbs.twimg.com/media/DbZstBmU8AAus3E.jpg", "http://pbs.twimg.com/media/DbZstBmU8AAus3E.jpg")</f>
        <v/>
      </c>
      <c r="G1119" t="s"/>
      <c r="H1119" t="s"/>
      <c r="I1119" t="s"/>
      <c r="J1119" t="n">
        <v>0</v>
      </c>
      <c r="K1119" t="n">
        <v>0</v>
      </c>
      <c r="L1119" t="n">
        <v>1</v>
      </c>
      <c r="M1119" t="n">
        <v>0</v>
      </c>
    </row>
    <row r="1120" spans="1:13">
      <c r="A1120" s="1">
        <f>HYPERLINK("http://www.twitter.com/NathanBLawrence/status/988201049763688448", "988201049763688448")</f>
        <v/>
      </c>
      <c r="B1120" s="2" t="n">
        <v>43212.98685185185</v>
      </c>
      <c r="C1120" t="n">
        <v>7</v>
      </c>
      <c r="D1120" t="n">
        <v>2</v>
      </c>
      <c r="E1120" t="s">
        <v>1130</v>
      </c>
      <c r="F1120" t="s"/>
      <c r="G1120" t="s"/>
      <c r="H1120" t="s"/>
      <c r="I1120" t="s"/>
      <c r="J1120" t="n">
        <v>0</v>
      </c>
      <c r="K1120" t="n">
        <v>0</v>
      </c>
      <c r="L1120" t="n">
        <v>1</v>
      </c>
      <c r="M1120" t="n">
        <v>0</v>
      </c>
    </row>
    <row r="1121" spans="1:13">
      <c r="A1121" s="1">
        <f>HYPERLINK("http://www.twitter.com/NathanBLawrence/status/988200829394956289", "988200829394956289")</f>
        <v/>
      </c>
      <c r="B1121" s="2" t="n">
        <v>43212.98625</v>
      </c>
      <c r="C1121" t="n">
        <v>0</v>
      </c>
      <c r="D1121" t="n">
        <v>302</v>
      </c>
      <c r="E1121" t="s">
        <v>1131</v>
      </c>
      <c r="F1121" t="s"/>
      <c r="G1121" t="s"/>
      <c r="H1121" t="s"/>
      <c r="I1121" t="s"/>
      <c r="J1121" t="n">
        <v>0</v>
      </c>
      <c r="K1121" t="n">
        <v>0</v>
      </c>
      <c r="L1121" t="n">
        <v>1</v>
      </c>
      <c r="M1121" t="n">
        <v>0</v>
      </c>
    </row>
    <row r="1122" spans="1:13">
      <c r="A1122" s="1">
        <f>HYPERLINK("http://www.twitter.com/NathanBLawrence/status/988200755596218368", "988200755596218368")</f>
        <v/>
      </c>
      <c r="B1122" s="2" t="n">
        <v>43212.98604166666</v>
      </c>
      <c r="C1122" t="n">
        <v>0</v>
      </c>
      <c r="D1122" t="n">
        <v>27805</v>
      </c>
      <c r="E1122" t="s">
        <v>1132</v>
      </c>
      <c r="F1122">
        <f>HYPERLINK("http://pbs.twimg.com/media/DbWPyTvU0AAEvxz.jpg", "http://pbs.twimg.com/media/DbWPyTvU0AAEvxz.jpg")</f>
        <v/>
      </c>
      <c r="G1122" t="s"/>
      <c r="H1122" t="s"/>
      <c r="I1122" t="s"/>
      <c r="J1122" t="n">
        <v>0.872</v>
      </c>
      <c r="K1122" t="n">
        <v>0</v>
      </c>
      <c r="L1122" t="n">
        <v>0.548</v>
      </c>
      <c r="M1122" t="n">
        <v>0.452</v>
      </c>
    </row>
    <row r="1123" spans="1:13">
      <c r="A1123" s="1">
        <f>HYPERLINK("http://www.twitter.com/NathanBLawrence/status/988200572577759233", "988200572577759233")</f>
        <v/>
      </c>
      <c r="B1123" s="2" t="n">
        <v>43212.98554398148</v>
      </c>
      <c r="C1123" t="n">
        <v>0</v>
      </c>
      <c r="D1123" t="n">
        <v>498</v>
      </c>
      <c r="E1123" t="s">
        <v>1133</v>
      </c>
      <c r="F1123">
        <f>HYPERLINK("http://pbs.twimg.com/media/Da63zLMU0AECufJ.jpg", "http://pbs.twimg.com/media/Da63zLMU0AECufJ.jpg")</f>
        <v/>
      </c>
      <c r="G1123" t="s"/>
      <c r="H1123" t="s"/>
      <c r="I1123" t="s"/>
      <c r="J1123" t="n">
        <v>-0.1027</v>
      </c>
      <c r="K1123" t="n">
        <v>0.114</v>
      </c>
      <c r="L1123" t="n">
        <v>0.787</v>
      </c>
      <c r="M1123" t="n">
        <v>0.098</v>
      </c>
    </row>
    <row r="1124" spans="1:13">
      <c r="A1124" s="1">
        <f>HYPERLINK("http://www.twitter.com/NathanBLawrence/status/988200512280383488", "988200512280383488")</f>
        <v/>
      </c>
      <c r="B1124" s="2" t="n">
        <v>43212.98537037037</v>
      </c>
      <c r="C1124" t="n">
        <v>2</v>
      </c>
      <c r="D1124" t="n">
        <v>3</v>
      </c>
      <c r="E1124" t="s">
        <v>1134</v>
      </c>
      <c r="F1124" t="s"/>
      <c r="G1124" t="s"/>
      <c r="H1124" t="s"/>
      <c r="I1124" t="s"/>
      <c r="J1124" t="n">
        <v>0</v>
      </c>
      <c r="K1124" t="n">
        <v>0</v>
      </c>
      <c r="L1124" t="n">
        <v>1</v>
      </c>
      <c r="M1124" t="n">
        <v>0</v>
      </c>
    </row>
    <row r="1125" spans="1:13">
      <c r="A1125" s="1">
        <f>HYPERLINK("http://www.twitter.com/NathanBLawrence/status/988200114094198785", "988200114094198785")</f>
        <v/>
      </c>
      <c r="B1125" s="2" t="n">
        <v>43212.98427083333</v>
      </c>
      <c r="C1125" t="n">
        <v>0</v>
      </c>
      <c r="D1125" t="n">
        <v>519</v>
      </c>
      <c r="E1125" t="s">
        <v>1135</v>
      </c>
      <c r="F1125">
        <f>HYPERLINK("http://pbs.twimg.com/media/DbZ4GXFUwAEZkHu.jpg", "http://pbs.twimg.com/media/DbZ4GXFUwAEZkHu.jpg")</f>
        <v/>
      </c>
      <c r="G1125" t="s"/>
      <c r="H1125" t="s"/>
      <c r="I1125" t="s"/>
      <c r="J1125" t="n">
        <v>0.3612</v>
      </c>
      <c r="K1125" t="n">
        <v>0</v>
      </c>
      <c r="L1125" t="n">
        <v>0.8</v>
      </c>
      <c r="M1125" t="n">
        <v>0.2</v>
      </c>
    </row>
    <row r="1126" spans="1:13">
      <c r="A1126" s="1">
        <f>HYPERLINK("http://www.twitter.com/NathanBLawrence/status/988199989942743042", "988199989942743042")</f>
        <v/>
      </c>
      <c r="B1126" s="2" t="n">
        <v>43212.98393518518</v>
      </c>
      <c r="C1126" t="n">
        <v>0</v>
      </c>
      <c r="D1126" t="n">
        <v>2022</v>
      </c>
      <c r="E1126" t="s">
        <v>1136</v>
      </c>
      <c r="F1126">
        <f>HYPERLINK("http://pbs.twimg.com/media/DbbHl8NXcAENJXr.jpg", "http://pbs.twimg.com/media/DbbHl8NXcAENJXr.jpg")</f>
        <v/>
      </c>
      <c r="G1126" t="s"/>
      <c r="H1126" t="s"/>
      <c r="I1126" t="s"/>
      <c r="J1126" t="n">
        <v>0.296</v>
      </c>
      <c r="K1126" t="n">
        <v>0</v>
      </c>
      <c r="L1126" t="n">
        <v>0.919</v>
      </c>
      <c r="M1126" t="n">
        <v>0.081</v>
      </c>
    </row>
    <row r="1127" spans="1:13">
      <c r="A1127" s="1">
        <f>HYPERLINK("http://www.twitter.com/NathanBLawrence/status/988199919373635584", "988199919373635584")</f>
        <v/>
      </c>
      <c r="B1127" s="2" t="n">
        <v>43212.98373842592</v>
      </c>
      <c r="C1127" t="n">
        <v>0</v>
      </c>
      <c r="D1127" t="n">
        <v>15</v>
      </c>
      <c r="E1127" t="s">
        <v>1137</v>
      </c>
      <c r="F1127">
        <f>HYPERLINK("http://pbs.twimg.com/media/DbbHNGSVMAAMk76.jpg", "http://pbs.twimg.com/media/DbbHNGSVMAAMk76.jpg")</f>
        <v/>
      </c>
      <c r="G1127" t="s"/>
      <c r="H1127" t="s"/>
      <c r="I1127" t="s"/>
      <c r="J1127" t="n">
        <v>0.5574</v>
      </c>
      <c r="K1127" t="n">
        <v>0</v>
      </c>
      <c r="L1127" t="n">
        <v>0.735</v>
      </c>
      <c r="M1127" t="n">
        <v>0.265</v>
      </c>
    </row>
    <row r="1128" spans="1:13">
      <c r="A1128" s="1">
        <f>HYPERLINK("http://www.twitter.com/NathanBLawrence/status/988199862419128320", "988199862419128320")</f>
        <v/>
      </c>
      <c r="B1128" s="2" t="n">
        <v>43212.98357638889</v>
      </c>
      <c r="C1128" t="n">
        <v>21</v>
      </c>
      <c r="D1128" t="n">
        <v>6</v>
      </c>
      <c r="E1128" t="s">
        <v>1138</v>
      </c>
      <c r="F1128" t="s"/>
      <c r="G1128" t="s"/>
      <c r="H1128" t="s"/>
      <c r="I1128" t="s"/>
      <c r="J1128" t="n">
        <v>0.7776999999999999</v>
      </c>
      <c r="K1128" t="n">
        <v>0</v>
      </c>
      <c r="L1128" t="n">
        <v>0.371</v>
      </c>
      <c r="M1128" t="n">
        <v>0.629</v>
      </c>
    </row>
    <row r="1129" spans="1:13">
      <c r="A1129" s="1">
        <f>HYPERLINK("http://www.twitter.com/NathanBLawrence/status/988199546491564032", "988199546491564032")</f>
        <v/>
      </c>
      <c r="B1129" s="2" t="n">
        <v>43212.98270833334</v>
      </c>
      <c r="C1129" t="n">
        <v>0</v>
      </c>
      <c r="D1129" t="n">
        <v>119</v>
      </c>
      <c r="E1129" t="s">
        <v>1139</v>
      </c>
      <c r="F1129">
        <f>HYPERLINK("http://pbs.twimg.com/media/DbbJt6FX0AUX-0Y.jpg", "http://pbs.twimg.com/media/DbbJt6FX0AUX-0Y.jpg")</f>
        <v/>
      </c>
      <c r="G1129" t="s"/>
      <c r="H1129" t="s"/>
      <c r="I1129" t="s"/>
      <c r="J1129" t="n">
        <v>0</v>
      </c>
      <c r="K1129" t="n">
        <v>0</v>
      </c>
      <c r="L1129" t="n">
        <v>1</v>
      </c>
      <c r="M1129" t="n">
        <v>0</v>
      </c>
    </row>
    <row r="1130" spans="1:13">
      <c r="A1130" s="1">
        <f>HYPERLINK("http://www.twitter.com/NathanBLawrence/status/988199223798644736", "988199223798644736")</f>
        <v/>
      </c>
      <c r="B1130" s="2" t="n">
        <v>43212.98181712963</v>
      </c>
      <c r="C1130" t="n">
        <v>0</v>
      </c>
      <c r="D1130" t="n">
        <v>817</v>
      </c>
      <c r="E1130" t="s">
        <v>1140</v>
      </c>
      <c r="F1130">
        <f>HYPERLINK("https://video.twimg.com/ext_tw_video/988135217163571200/pu/vid/640x360/7kyyXuPIT3IB3kZC.mp4?tag=3", "https://video.twimg.com/ext_tw_video/988135217163571200/pu/vid/640x360/7kyyXuPIT3IB3kZC.mp4?tag=3")</f>
        <v/>
      </c>
      <c r="G1130" t="s"/>
      <c r="H1130" t="s"/>
      <c r="I1130" t="s"/>
      <c r="J1130" t="n">
        <v>0.6486</v>
      </c>
      <c r="K1130" t="n">
        <v>0.089</v>
      </c>
      <c r="L1130" t="n">
        <v>0.648</v>
      </c>
      <c r="M1130" t="n">
        <v>0.263</v>
      </c>
    </row>
    <row r="1131" spans="1:13">
      <c r="A1131" s="1">
        <f>HYPERLINK("http://www.twitter.com/NathanBLawrence/status/988138247413948416", "988138247413948416")</f>
        <v/>
      </c>
      <c r="B1131" s="2" t="n">
        <v>43212.81355324074</v>
      </c>
      <c r="C1131" t="n">
        <v>0</v>
      </c>
      <c r="D1131" t="n">
        <v>580</v>
      </c>
      <c r="E1131" t="s">
        <v>1141</v>
      </c>
      <c r="F1131" t="s"/>
      <c r="G1131" t="s"/>
      <c r="H1131" t="s"/>
      <c r="I1131" t="s"/>
      <c r="J1131" t="n">
        <v>0.516</v>
      </c>
      <c r="K1131" t="n">
        <v>0</v>
      </c>
      <c r="L1131" t="n">
        <v>0.851</v>
      </c>
      <c r="M1131" t="n">
        <v>0.149</v>
      </c>
    </row>
    <row r="1132" spans="1:13">
      <c r="A1132" s="1">
        <f>HYPERLINK("http://www.twitter.com/NathanBLawrence/status/988137612232687616", "988137612232687616")</f>
        <v/>
      </c>
      <c r="B1132" s="2" t="n">
        <v>43212.81180555555</v>
      </c>
      <c r="C1132" t="n">
        <v>0</v>
      </c>
      <c r="D1132" t="n">
        <v>16</v>
      </c>
      <c r="E1132" t="s">
        <v>1142</v>
      </c>
      <c r="F1132" t="s"/>
      <c r="G1132" t="s"/>
      <c r="H1132" t="s"/>
      <c r="I1132" t="s"/>
      <c r="J1132" t="n">
        <v>0.8122</v>
      </c>
      <c r="K1132" t="n">
        <v>0</v>
      </c>
      <c r="L1132" t="n">
        <v>0.74</v>
      </c>
      <c r="M1132" t="n">
        <v>0.26</v>
      </c>
    </row>
    <row r="1133" spans="1:13">
      <c r="A1133" s="1">
        <f>HYPERLINK("http://www.twitter.com/NathanBLawrence/status/988137565776629760", "988137565776629760")</f>
        <v/>
      </c>
      <c r="B1133" s="2" t="n">
        <v>43212.81167824074</v>
      </c>
      <c r="C1133" t="n">
        <v>0</v>
      </c>
      <c r="D1133" t="n">
        <v>383</v>
      </c>
      <c r="E1133" t="s">
        <v>1143</v>
      </c>
      <c r="F1133" t="s"/>
      <c r="G1133" t="s"/>
      <c r="H1133" t="s"/>
      <c r="I1133" t="s"/>
      <c r="J1133" t="n">
        <v>0.1677</v>
      </c>
      <c r="K1133" t="n">
        <v>0.114</v>
      </c>
      <c r="L1133" t="n">
        <v>0.75</v>
      </c>
      <c r="M1133" t="n">
        <v>0.136</v>
      </c>
    </row>
    <row r="1134" spans="1:13">
      <c r="A1134" s="1">
        <f>HYPERLINK("http://www.twitter.com/NathanBLawrence/status/988137439561564160", "988137439561564160")</f>
        <v/>
      </c>
      <c r="B1134" s="2" t="n">
        <v>43212.81131944444</v>
      </c>
      <c r="C1134" t="n">
        <v>0</v>
      </c>
      <c r="D1134" t="n">
        <v>275</v>
      </c>
      <c r="E1134" t="s">
        <v>1144</v>
      </c>
      <c r="F1134">
        <f>HYPERLINK("http://pbs.twimg.com/media/DbZdSxEVQAAiGsF.jpg", "http://pbs.twimg.com/media/DbZdSxEVQAAiGsF.jpg")</f>
        <v/>
      </c>
      <c r="G1134" t="s"/>
      <c r="H1134" t="s"/>
      <c r="I1134" t="s"/>
      <c r="J1134" t="n">
        <v>0</v>
      </c>
      <c r="K1134" t="n">
        <v>0</v>
      </c>
      <c r="L1134" t="n">
        <v>1</v>
      </c>
      <c r="M1134" t="n">
        <v>0</v>
      </c>
    </row>
    <row r="1135" spans="1:13">
      <c r="A1135" s="1">
        <f>HYPERLINK("http://www.twitter.com/NathanBLawrence/status/988136747199381504", "988136747199381504")</f>
        <v/>
      </c>
      <c r="B1135" s="2" t="n">
        <v>43212.80940972222</v>
      </c>
      <c r="C1135" t="n">
        <v>0</v>
      </c>
      <c r="D1135" t="n">
        <v>25</v>
      </c>
      <c r="E1135" t="s">
        <v>1145</v>
      </c>
      <c r="F1135">
        <f>HYPERLINK("http://pbs.twimg.com/media/DbaPDp5V0AA_krR.jpg", "http://pbs.twimg.com/media/DbaPDp5V0AA_krR.jpg")</f>
        <v/>
      </c>
      <c r="G1135" t="s"/>
      <c r="H1135" t="s"/>
      <c r="I1135" t="s"/>
      <c r="J1135" t="n">
        <v>0.4278</v>
      </c>
      <c r="K1135" t="n">
        <v>0</v>
      </c>
      <c r="L1135" t="n">
        <v>0.638</v>
      </c>
      <c r="M1135" t="n">
        <v>0.362</v>
      </c>
    </row>
    <row r="1136" spans="1:13">
      <c r="A1136" s="1">
        <f>HYPERLINK("http://www.twitter.com/NathanBLawrence/status/988136245795536896", "988136245795536896")</f>
        <v/>
      </c>
      <c r="B1136" s="2" t="n">
        <v>43212.80803240741</v>
      </c>
      <c r="C1136" t="n">
        <v>0</v>
      </c>
      <c r="D1136" t="n">
        <v>8</v>
      </c>
      <c r="E1136" t="s">
        <v>1146</v>
      </c>
      <c r="F1136">
        <f>HYPERLINK("http://pbs.twimg.com/media/DbaQO5gWAAEdDCk.jpg", "http://pbs.twimg.com/media/DbaQO5gWAAEdDCk.jpg")</f>
        <v/>
      </c>
      <c r="G1136" t="s"/>
      <c r="H1136" t="s"/>
      <c r="I1136" t="s"/>
      <c r="J1136" t="n">
        <v>0.6588000000000001</v>
      </c>
      <c r="K1136" t="n">
        <v>0</v>
      </c>
      <c r="L1136" t="n">
        <v>0.747</v>
      </c>
      <c r="M1136" t="n">
        <v>0.253</v>
      </c>
    </row>
    <row r="1137" spans="1:13">
      <c r="A1137" s="1">
        <f>HYPERLINK("http://www.twitter.com/NathanBLawrence/status/988135925371682816", "988135925371682816")</f>
        <v/>
      </c>
      <c r="B1137" s="2" t="n">
        <v>43212.8071412037</v>
      </c>
      <c r="C1137" t="n">
        <v>0</v>
      </c>
      <c r="D1137" t="n">
        <v>852</v>
      </c>
      <c r="E1137" t="s">
        <v>1147</v>
      </c>
      <c r="F1137">
        <f>HYPERLINK("http://pbs.twimg.com/media/DbEA5q7VwAAmG3_.jpg", "http://pbs.twimg.com/media/DbEA5q7VwAAmG3_.jpg")</f>
        <v/>
      </c>
      <c r="G1137" t="s"/>
      <c r="H1137" t="s"/>
      <c r="I1137" t="s"/>
      <c r="J1137" t="n">
        <v>0.4939</v>
      </c>
      <c r="K1137" t="n">
        <v>0</v>
      </c>
      <c r="L1137" t="n">
        <v>0.868</v>
      </c>
      <c r="M1137" t="n">
        <v>0.132</v>
      </c>
    </row>
    <row r="1138" spans="1:13">
      <c r="A1138" s="1">
        <f>HYPERLINK("http://www.twitter.com/NathanBLawrence/status/988135405399638016", "988135405399638016")</f>
        <v/>
      </c>
      <c r="B1138" s="2" t="n">
        <v>43212.80570601852</v>
      </c>
      <c r="C1138" t="n">
        <v>0</v>
      </c>
      <c r="D1138" t="n">
        <v>6530</v>
      </c>
      <c r="E1138" t="s">
        <v>1148</v>
      </c>
      <c r="F1138" t="s"/>
      <c r="G1138" t="s"/>
      <c r="H1138" t="s"/>
      <c r="I1138" t="s"/>
      <c r="J1138" t="n">
        <v>-0.8126</v>
      </c>
      <c r="K1138" t="n">
        <v>0.27</v>
      </c>
      <c r="L1138" t="n">
        <v>0.73</v>
      </c>
      <c r="M1138" t="n">
        <v>0</v>
      </c>
    </row>
    <row r="1139" spans="1:13">
      <c r="A1139" s="1">
        <f>HYPERLINK("http://www.twitter.com/NathanBLawrence/status/988134920940797953", "988134920940797953")</f>
        <v/>
      </c>
      <c r="B1139" s="2" t="n">
        <v>43212.804375</v>
      </c>
      <c r="C1139" t="n">
        <v>0</v>
      </c>
      <c r="D1139" t="n">
        <v>2</v>
      </c>
      <c r="E1139" t="s">
        <v>1149</v>
      </c>
      <c r="F1139">
        <f>HYPERLINK("http://pbs.twimg.com/media/DbZunKFX0AARkj9.jpg", "http://pbs.twimg.com/media/DbZunKFX0AARkj9.jpg")</f>
        <v/>
      </c>
      <c r="G1139" t="s"/>
      <c r="H1139" t="s"/>
      <c r="I1139" t="s"/>
      <c r="J1139" t="n">
        <v>0.8625</v>
      </c>
      <c r="K1139" t="n">
        <v>0</v>
      </c>
      <c r="L1139" t="n">
        <v>0.675</v>
      </c>
      <c r="M1139" t="n">
        <v>0.325</v>
      </c>
    </row>
    <row r="1140" spans="1:13">
      <c r="A1140" s="1">
        <f>HYPERLINK("http://www.twitter.com/NathanBLawrence/status/988134404139532288", "988134404139532288")</f>
        <v/>
      </c>
      <c r="B1140" s="2" t="n">
        <v>43212.80295138889</v>
      </c>
      <c r="C1140" t="n">
        <v>0</v>
      </c>
      <c r="D1140" t="n">
        <v>120</v>
      </c>
      <c r="E1140" t="s">
        <v>1150</v>
      </c>
      <c r="F1140" t="s"/>
      <c r="G1140" t="s"/>
      <c r="H1140" t="s"/>
      <c r="I1140" t="s"/>
      <c r="J1140" t="n">
        <v>-0.5859</v>
      </c>
      <c r="K1140" t="n">
        <v>0.173</v>
      </c>
      <c r="L1140" t="n">
        <v>0.827</v>
      </c>
      <c r="M1140" t="n">
        <v>0</v>
      </c>
    </row>
    <row r="1141" spans="1:13">
      <c r="A1141" s="1">
        <f>HYPERLINK("http://www.twitter.com/NathanBLawrence/status/988134113939869697", "988134113939869697")</f>
        <v/>
      </c>
      <c r="B1141" s="2" t="n">
        <v>43212.80215277777</v>
      </c>
      <c r="C1141" t="n">
        <v>18</v>
      </c>
      <c r="D1141" t="n">
        <v>4</v>
      </c>
      <c r="E1141" t="s">
        <v>1151</v>
      </c>
      <c r="F1141" t="s"/>
      <c r="G1141" t="s"/>
      <c r="H1141" t="s"/>
      <c r="I1141" t="s"/>
      <c r="J1141" t="n">
        <v>0.5826</v>
      </c>
      <c r="K1141" t="n">
        <v>0</v>
      </c>
      <c r="L1141" t="n">
        <v>0.788</v>
      </c>
      <c r="M1141" t="n">
        <v>0.212</v>
      </c>
    </row>
    <row r="1142" spans="1:13">
      <c r="A1142" s="1">
        <f>HYPERLINK("http://www.twitter.com/NathanBLawrence/status/988133166631206912", "988133166631206912")</f>
        <v/>
      </c>
      <c r="B1142" s="2" t="n">
        <v>43212.79953703703</v>
      </c>
      <c r="C1142" t="n">
        <v>0</v>
      </c>
      <c r="D1142" t="n">
        <v>121</v>
      </c>
      <c r="E1142" t="s">
        <v>1152</v>
      </c>
      <c r="F1142" t="s"/>
      <c r="G1142" t="s"/>
      <c r="H1142" t="s"/>
      <c r="I1142" t="s"/>
      <c r="J1142" t="n">
        <v>0.4215</v>
      </c>
      <c r="K1142" t="n">
        <v>0.116</v>
      </c>
      <c r="L1142" t="n">
        <v>0.647</v>
      </c>
      <c r="M1142" t="n">
        <v>0.237</v>
      </c>
    </row>
    <row r="1143" spans="1:13">
      <c r="A1143" s="1">
        <f>HYPERLINK("http://www.twitter.com/NathanBLawrence/status/988132701021483008", "988132701021483008")</f>
        <v/>
      </c>
      <c r="B1143" s="2" t="n">
        <v>43212.79825231482</v>
      </c>
      <c r="C1143" t="n">
        <v>0</v>
      </c>
      <c r="D1143" t="n">
        <v>204</v>
      </c>
      <c r="E1143" t="s">
        <v>1153</v>
      </c>
      <c r="F1143">
        <f>HYPERLINK("http://pbs.twimg.com/media/DbSZY_EXcAA2Z1a.jpg", "http://pbs.twimg.com/media/DbSZY_EXcAA2Z1a.jpg")</f>
        <v/>
      </c>
      <c r="G1143" t="s"/>
      <c r="H1143" t="s"/>
      <c r="I1143" t="s"/>
      <c r="J1143" t="n">
        <v>0</v>
      </c>
      <c r="K1143" t="n">
        <v>0</v>
      </c>
      <c r="L1143" t="n">
        <v>1</v>
      </c>
      <c r="M1143" t="n">
        <v>0</v>
      </c>
    </row>
    <row r="1144" spans="1:13">
      <c r="A1144" s="1">
        <f>HYPERLINK("http://www.twitter.com/NathanBLawrence/status/988132449065431040", "988132449065431040")</f>
        <v/>
      </c>
      <c r="B1144" s="2" t="n">
        <v>43212.79755787037</v>
      </c>
      <c r="C1144" t="n">
        <v>0</v>
      </c>
      <c r="D1144" t="n">
        <v>42</v>
      </c>
      <c r="E1144" t="s">
        <v>1154</v>
      </c>
      <c r="F1144">
        <f>HYPERLINK("http://pbs.twimg.com/media/DbZXWmlV4AAcJZ5.jpg", "http://pbs.twimg.com/media/DbZXWmlV4AAcJZ5.jpg")</f>
        <v/>
      </c>
      <c r="G1144" t="s"/>
      <c r="H1144" t="s"/>
      <c r="I1144" t="s"/>
      <c r="J1144" t="n">
        <v>0</v>
      </c>
      <c r="K1144" t="n">
        <v>0</v>
      </c>
      <c r="L1144" t="n">
        <v>1</v>
      </c>
      <c r="M1144" t="n">
        <v>0</v>
      </c>
    </row>
    <row r="1145" spans="1:13">
      <c r="A1145" s="1">
        <f>HYPERLINK("http://www.twitter.com/NathanBLawrence/status/988132271176630277", "988132271176630277")</f>
        <v/>
      </c>
      <c r="B1145" s="2" t="n">
        <v>43212.79706018518</v>
      </c>
      <c r="C1145" t="n">
        <v>0</v>
      </c>
      <c r="D1145" t="n">
        <v>9</v>
      </c>
      <c r="E1145" t="s">
        <v>1155</v>
      </c>
      <c r="F1145">
        <f>HYPERLINK("http://pbs.twimg.com/media/DbZXYFWVAAEcm2E.jpg", "http://pbs.twimg.com/media/DbZXYFWVAAEcm2E.jpg")</f>
        <v/>
      </c>
      <c r="G1145">
        <f>HYPERLINK("http://pbs.twimg.com/media/DbZXYFSV0AAht2g.jpg", "http://pbs.twimg.com/media/DbZXYFSV0AAht2g.jpg")</f>
        <v/>
      </c>
      <c r="H1145" t="s"/>
      <c r="I1145" t="s"/>
      <c r="J1145" t="n">
        <v>0</v>
      </c>
      <c r="K1145" t="n">
        <v>0</v>
      </c>
      <c r="L1145" t="n">
        <v>1</v>
      </c>
      <c r="M1145" t="n">
        <v>0</v>
      </c>
    </row>
    <row r="1146" spans="1:13">
      <c r="A1146" s="1">
        <f>HYPERLINK("http://www.twitter.com/NathanBLawrence/status/988132087529025537", "988132087529025537")</f>
        <v/>
      </c>
      <c r="B1146" s="2" t="n">
        <v>43212.79655092592</v>
      </c>
      <c r="C1146" t="n">
        <v>0</v>
      </c>
      <c r="D1146" t="n">
        <v>1340</v>
      </c>
      <c r="E1146" t="s">
        <v>1156</v>
      </c>
      <c r="F1146" t="s"/>
      <c r="G1146" t="s"/>
      <c r="H1146" t="s"/>
      <c r="I1146" t="s"/>
      <c r="J1146" t="n">
        <v>0.3818</v>
      </c>
      <c r="K1146" t="n">
        <v>0</v>
      </c>
      <c r="L1146" t="n">
        <v>0.885</v>
      </c>
      <c r="M1146" t="n">
        <v>0.115</v>
      </c>
    </row>
    <row r="1147" spans="1:13">
      <c r="A1147" s="1">
        <f>HYPERLINK("http://www.twitter.com/NathanBLawrence/status/988073431492059136", "988073431492059136")</f>
        <v/>
      </c>
      <c r="B1147" s="2" t="n">
        <v>43212.63469907407</v>
      </c>
      <c r="C1147" t="n">
        <v>7</v>
      </c>
      <c r="D1147" t="n">
        <v>3</v>
      </c>
      <c r="E1147" t="s">
        <v>1157</v>
      </c>
      <c r="F1147" t="s"/>
      <c r="G1147" t="s"/>
      <c r="H1147" t="s"/>
      <c r="I1147" t="s"/>
      <c r="J1147" t="n">
        <v>0</v>
      </c>
      <c r="K1147" t="n">
        <v>0</v>
      </c>
      <c r="L1147" t="n">
        <v>1</v>
      </c>
      <c r="M1147" t="n">
        <v>0</v>
      </c>
    </row>
    <row r="1148" spans="1:13">
      <c r="A1148" s="1">
        <f>HYPERLINK("http://www.twitter.com/NathanBLawrence/status/988072781186088960", "988072781186088960")</f>
        <v/>
      </c>
      <c r="B1148" s="2" t="n">
        <v>43212.63290509259</v>
      </c>
      <c r="C1148" t="n">
        <v>0</v>
      </c>
      <c r="D1148" t="n">
        <v>6</v>
      </c>
      <c r="E1148" t="s">
        <v>1158</v>
      </c>
      <c r="F1148">
        <f>HYPERLINK("http://pbs.twimg.com/media/DbYZtCzU8AASiSJ.jpg", "http://pbs.twimg.com/media/DbYZtCzU8AASiSJ.jpg")</f>
        <v/>
      </c>
      <c r="G1148" t="s"/>
      <c r="H1148" t="s"/>
      <c r="I1148" t="s"/>
      <c r="J1148" t="n">
        <v>0</v>
      </c>
      <c r="K1148" t="n">
        <v>0</v>
      </c>
      <c r="L1148" t="n">
        <v>1</v>
      </c>
      <c r="M1148" t="n">
        <v>0</v>
      </c>
    </row>
    <row r="1149" spans="1:13">
      <c r="A1149" s="1">
        <f>HYPERLINK("http://www.twitter.com/NathanBLawrence/status/988072203794038786", "988072203794038786")</f>
        <v/>
      </c>
      <c r="B1149" s="2" t="n">
        <v>43212.63130787037</v>
      </c>
      <c r="C1149" t="n">
        <v>0</v>
      </c>
      <c r="D1149" t="n">
        <v>14</v>
      </c>
      <c r="E1149" t="s">
        <v>1159</v>
      </c>
      <c r="F1149">
        <f>HYPERLINK("http://pbs.twimg.com/media/ChNeKzNWUAAOU4V.jpg", "http://pbs.twimg.com/media/ChNeKzNWUAAOU4V.jpg")</f>
        <v/>
      </c>
      <c r="G1149" t="s"/>
      <c r="H1149" t="s"/>
      <c r="I1149" t="s"/>
      <c r="J1149" t="n">
        <v>0.0516</v>
      </c>
      <c r="K1149" t="n">
        <v>0.177</v>
      </c>
      <c r="L1149" t="n">
        <v>0.636</v>
      </c>
      <c r="M1149" t="n">
        <v>0.186</v>
      </c>
    </row>
    <row r="1150" spans="1:13">
      <c r="A1150" s="1">
        <f>HYPERLINK("http://www.twitter.com/NathanBLawrence/status/988071993269354496", "988071993269354496")</f>
        <v/>
      </c>
      <c r="B1150" s="2" t="n">
        <v>43212.63072916667</v>
      </c>
      <c r="C1150" t="n">
        <v>0</v>
      </c>
      <c r="D1150" t="n">
        <v>3882</v>
      </c>
      <c r="E1150" t="s">
        <v>1160</v>
      </c>
      <c r="F1150" t="s"/>
      <c r="G1150" t="s"/>
      <c r="H1150" t="s"/>
      <c r="I1150" t="s"/>
      <c r="J1150" t="n">
        <v>-0.5207000000000001</v>
      </c>
      <c r="K1150" t="n">
        <v>0.154</v>
      </c>
      <c r="L1150" t="n">
        <v>0.846</v>
      </c>
      <c r="M1150" t="n">
        <v>0</v>
      </c>
    </row>
    <row r="1151" spans="1:13">
      <c r="A1151" s="1">
        <f>HYPERLINK("http://www.twitter.com/NathanBLawrence/status/988071876021796864", "988071876021796864")</f>
        <v/>
      </c>
      <c r="B1151" s="2" t="n">
        <v>43212.63040509259</v>
      </c>
      <c r="C1151" t="n">
        <v>8</v>
      </c>
      <c r="D1151" t="n">
        <v>6</v>
      </c>
      <c r="E1151" t="s">
        <v>1161</v>
      </c>
      <c r="F1151" t="s"/>
      <c r="G1151" t="s"/>
      <c r="H1151" t="s"/>
      <c r="I1151" t="s"/>
      <c r="J1151" t="n">
        <v>0</v>
      </c>
      <c r="K1151" t="n">
        <v>0</v>
      </c>
      <c r="L1151" t="n">
        <v>1</v>
      </c>
      <c r="M1151" t="n">
        <v>0</v>
      </c>
    </row>
    <row r="1152" spans="1:13">
      <c r="A1152" s="1">
        <f>HYPERLINK("http://www.twitter.com/NathanBLawrence/status/988071475323138048", "988071475323138048")</f>
        <v/>
      </c>
      <c r="B1152" s="2" t="n">
        <v>43212.62929398148</v>
      </c>
      <c r="C1152" t="n">
        <v>0</v>
      </c>
      <c r="D1152" t="n">
        <v>273</v>
      </c>
      <c r="E1152" t="s">
        <v>1162</v>
      </c>
      <c r="F1152">
        <f>HYPERLINK("http://pbs.twimg.com/media/DbXJd39UwAA67FS.jpg", "http://pbs.twimg.com/media/DbXJd39UwAA67FS.jpg")</f>
        <v/>
      </c>
      <c r="G1152">
        <f>HYPERLINK("http://pbs.twimg.com/media/DbXJd3_VQAAx0Rl.jpg", "http://pbs.twimg.com/media/DbXJd3_VQAAx0Rl.jpg")</f>
        <v/>
      </c>
      <c r="H1152" t="s"/>
      <c r="I1152" t="s"/>
      <c r="J1152" t="n">
        <v>0</v>
      </c>
      <c r="K1152" t="n">
        <v>0</v>
      </c>
      <c r="L1152" t="n">
        <v>1</v>
      </c>
      <c r="M1152" t="n">
        <v>0</v>
      </c>
    </row>
    <row r="1153" spans="1:13">
      <c r="A1153" s="1">
        <f>HYPERLINK("http://www.twitter.com/NathanBLawrence/status/987982172081479680", "987982172081479680")</f>
        <v/>
      </c>
      <c r="B1153" s="2" t="n">
        <v>43212.38287037037</v>
      </c>
      <c r="C1153" t="n">
        <v>0</v>
      </c>
      <c r="D1153" t="n">
        <v>1382</v>
      </c>
      <c r="E1153" t="s">
        <v>1163</v>
      </c>
      <c r="F1153">
        <f>HYPERLINK("https://video.twimg.com/ext_tw_video/987758044892225536/pu/vid/1280x720/w4f2NCZGDy0NIZPu.mp4?tag=3", "https://video.twimg.com/ext_tw_video/987758044892225536/pu/vid/1280x720/w4f2NCZGDy0NIZPu.mp4?tag=3")</f>
        <v/>
      </c>
      <c r="G1153" t="s"/>
      <c r="H1153" t="s"/>
      <c r="I1153" t="s"/>
      <c r="J1153" t="n">
        <v>0.4215</v>
      </c>
      <c r="K1153" t="n">
        <v>0</v>
      </c>
      <c r="L1153" t="n">
        <v>0.877</v>
      </c>
      <c r="M1153" t="n">
        <v>0.123</v>
      </c>
    </row>
    <row r="1154" spans="1:13">
      <c r="A1154" s="1">
        <f>HYPERLINK("http://www.twitter.com/NathanBLawrence/status/987982115387015169", "987982115387015169")</f>
        <v/>
      </c>
      <c r="B1154" s="2" t="n">
        <v>43212.38270833333</v>
      </c>
      <c r="C1154" t="n">
        <v>0</v>
      </c>
      <c r="D1154" t="n">
        <v>1100</v>
      </c>
      <c r="E1154" t="s">
        <v>1164</v>
      </c>
      <c r="F1154" t="s"/>
      <c r="G1154" t="s"/>
      <c r="H1154" t="s"/>
      <c r="I1154" t="s"/>
      <c r="J1154" t="n">
        <v>0.5859</v>
      </c>
      <c r="K1154" t="n">
        <v>0</v>
      </c>
      <c r="L1154" t="n">
        <v>0.774</v>
      </c>
      <c r="M1154" t="n">
        <v>0.226</v>
      </c>
    </row>
    <row r="1155" spans="1:13">
      <c r="A1155" s="1">
        <f>HYPERLINK("http://www.twitter.com/NathanBLawrence/status/987981993911640064", "987981993911640064")</f>
        <v/>
      </c>
      <c r="B1155" s="2" t="n">
        <v>43212.38237268518</v>
      </c>
      <c r="C1155" t="n">
        <v>0</v>
      </c>
      <c r="D1155" t="n">
        <v>7</v>
      </c>
      <c r="E1155" t="s">
        <v>1165</v>
      </c>
      <c r="F1155">
        <f>HYPERLINK("http://pbs.twimg.com/media/DbXhOjEWkAAgGyq.jpg", "http://pbs.twimg.com/media/DbXhOjEWkAAgGyq.jpg")</f>
        <v/>
      </c>
      <c r="G1155" t="s"/>
      <c r="H1155" t="s"/>
      <c r="I1155" t="s"/>
      <c r="J1155" t="n">
        <v>0</v>
      </c>
      <c r="K1155" t="n">
        <v>0</v>
      </c>
      <c r="L1155" t="n">
        <v>1</v>
      </c>
      <c r="M1155" t="n">
        <v>0</v>
      </c>
    </row>
    <row r="1156" spans="1:13">
      <c r="A1156" s="1">
        <f>HYPERLINK("http://www.twitter.com/NathanBLawrence/status/987981256146092032", "987981256146092032")</f>
        <v/>
      </c>
      <c r="B1156" s="2" t="n">
        <v>43212.38033564815</v>
      </c>
      <c r="C1156" t="n">
        <v>0</v>
      </c>
      <c r="D1156" t="n">
        <v>30</v>
      </c>
      <c r="E1156" t="s">
        <v>1166</v>
      </c>
      <c r="F1156" t="s"/>
      <c r="G1156" t="s"/>
      <c r="H1156" t="s"/>
      <c r="I1156" t="s"/>
      <c r="J1156" t="n">
        <v>-0.7177</v>
      </c>
      <c r="K1156" t="n">
        <v>0.172</v>
      </c>
      <c r="L1156" t="n">
        <v>0.828</v>
      </c>
      <c r="M1156" t="n">
        <v>0</v>
      </c>
    </row>
    <row r="1157" spans="1:13">
      <c r="A1157" s="1">
        <f>HYPERLINK("http://www.twitter.com/NathanBLawrence/status/987930882815098881", "987930882815098881")</f>
        <v/>
      </c>
      <c r="B1157" s="2" t="n">
        <v>43212.24133101852</v>
      </c>
      <c r="C1157" t="n">
        <v>0</v>
      </c>
      <c r="D1157" t="n">
        <v>1</v>
      </c>
      <c r="E1157" t="s">
        <v>1167</v>
      </c>
      <c r="F1157">
        <f>HYPERLINK("http://pbs.twimg.com/media/DbXNGjBVwAAWY89.jpg", "http://pbs.twimg.com/media/DbXNGjBVwAAWY89.jpg")</f>
        <v/>
      </c>
      <c r="G1157" t="s"/>
      <c r="H1157" t="s"/>
      <c r="I1157" t="s"/>
      <c r="J1157" t="n">
        <v>0</v>
      </c>
      <c r="K1157" t="n">
        <v>0</v>
      </c>
      <c r="L1157" t="n">
        <v>1</v>
      </c>
      <c r="M1157" t="n">
        <v>0</v>
      </c>
    </row>
    <row r="1158" spans="1:13">
      <c r="A1158" s="1">
        <f>HYPERLINK("http://www.twitter.com/NathanBLawrence/status/987930438676107264", "987930438676107264")</f>
        <v/>
      </c>
      <c r="B1158" s="2" t="n">
        <v>43212.24011574074</v>
      </c>
      <c r="C1158" t="n">
        <v>0</v>
      </c>
      <c r="D1158" t="n">
        <v>3</v>
      </c>
      <c r="E1158" t="s">
        <v>1168</v>
      </c>
      <c r="F1158">
        <f>HYPERLINK("http://pbs.twimg.com/media/DbWUGtUU8AIgoLj.jpg", "http://pbs.twimg.com/media/DbWUGtUU8AIgoLj.jpg")</f>
        <v/>
      </c>
      <c r="G1158" t="s"/>
      <c r="H1158" t="s"/>
      <c r="I1158" t="s"/>
      <c r="J1158" t="n">
        <v>0</v>
      </c>
      <c r="K1158" t="n">
        <v>0</v>
      </c>
      <c r="L1158" t="n">
        <v>1</v>
      </c>
      <c r="M1158" t="n">
        <v>0</v>
      </c>
    </row>
    <row r="1159" spans="1:13">
      <c r="A1159" s="1">
        <f>HYPERLINK("http://www.twitter.com/NathanBLawrence/status/987930235499823108", "987930235499823108")</f>
        <v/>
      </c>
      <c r="B1159" s="2" t="n">
        <v>43212.23954861111</v>
      </c>
      <c r="C1159" t="n">
        <v>0</v>
      </c>
      <c r="D1159" t="n">
        <v>917</v>
      </c>
      <c r="E1159" t="s">
        <v>1169</v>
      </c>
      <c r="F1159">
        <f>HYPERLINK("http://pbs.twimg.com/media/DbXGkT4VMAAP4ML.jpg", "http://pbs.twimg.com/media/DbXGkT4VMAAP4ML.jpg")</f>
        <v/>
      </c>
      <c r="G1159" t="s"/>
      <c r="H1159" t="s"/>
      <c r="I1159" t="s"/>
      <c r="J1159" t="n">
        <v>0</v>
      </c>
      <c r="K1159" t="n">
        <v>0</v>
      </c>
      <c r="L1159" t="n">
        <v>1</v>
      </c>
      <c r="M1159" t="n">
        <v>0</v>
      </c>
    </row>
    <row r="1160" spans="1:13">
      <c r="A1160" s="1">
        <f>HYPERLINK("http://www.twitter.com/NathanBLawrence/status/987929033781362689", "987929033781362689")</f>
        <v/>
      </c>
      <c r="B1160" s="2" t="n">
        <v>43212.23623842592</v>
      </c>
      <c r="C1160" t="n">
        <v>0</v>
      </c>
      <c r="D1160" t="n">
        <v>386</v>
      </c>
      <c r="E1160" t="s">
        <v>1170</v>
      </c>
      <c r="F1160">
        <f>HYPERLINK("https://video.twimg.com/amplify_video/987708667188465665/vid/1280x720/111XaE778dW11t_b.mp4?tag=2", "https://video.twimg.com/amplify_video/987708667188465665/vid/1280x720/111XaE778dW11t_b.mp4?tag=2")</f>
        <v/>
      </c>
      <c r="G1160" t="s"/>
      <c r="H1160" t="s"/>
      <c r="I1160" t="s"/>
      <c r="J1160" t="n">
        <v>0.296</v>
      </c>
      <c r="K1160" t="n">
        <v>0.11</v>
      </c>
      <c r="L1160" t="n">
        <v>0.703</v>
      </c>
      <c r="M1160" t="n">
        <v>0.187</v>
      </c>
    </row>
    <row r="1161" spans="1:13">
      <c r="A1161" s="1">
        <f>HYPERLINK("http://www.twitter.com/NathanBLawrence/status/987920953588961280", "987920953588961280")</f>
        <v/>
      </c>
      <c r="B1161" s="2" t="n">
        <v>43212.21393518519</v>
      </c>
      <c r="C1161" t="n">
        <v>0</v>
      </c>
      <c r="D1161" t="n">
        <v>325</v>
      </c>
      <c r="E1161" t="s">
        <v>1171</v>
      </c>
      <c r="F1161" t="s"/>
      <c r="G1161" t="s"/>
      <c r="H1161" t="s"/>
      <c r="I1161" t="s"/>
      <c r="J1161" t="n">
        <v>0</v>
      </c>
      <c r="K1161" t="n">
        <v>0</v>
      </c>
      <c r="L1161" t="n">
        <v>1</v>
      </c>
      <c r="M1161" t="n">
        <v>0</v>
      </c>
    </row>
    <row r="1162" spans="1:13">
      <c r="A1162" s="1">
        <f>HYPERLINK("http://www.twitter.com/NathanBLawrence/status/987894299520991232", "987894299520991232")</f>
        <v/>
      </c>
      <c r="B1162" s="2" t="n">
        <v>43212.14038194445</v>
      </c>
      <c r="C1162" t="n">
        <v>0</v>
      </c>
      <c r="D1162" t="n">
        <v>14155</v>
      </c>
      <c r="E1162" t="s">
        <v>1172</v>
      </c>
      <c r="F1162">
        <f>HYPERLINK("https://video.twimg.com/ext_tw_video/987718619629940737/pu/vid/640x360/lnYGQYfyBQ8YOHUv.mp4?tag=3", "https://video.twimg.com/ext_tw_video/987718619629940737/pu/vid/640x360/lnYGQYfyBQ8YOHUv.mp4?tag=3")</f>
        <v/>
      </c>
      <c r="G1162" t="s"/>
      <c r="H1162" t="s"/>
      <c r="I1162" t="s"/>
      <c r="J1162" t="n">
        <v>0.8883</v>
      </c>
      <c r="K1162" t="n">
        <v>0</v>
      </c>
      <c r="L1162" t="n">
        <v>0.534</v>
      </c>
      <c r="M1162" t="n">
        <v>0.466</v>
      </c>
    </row>
    <row r="1163" spans="1:13">
      <c r="A1163" s="1">
        <f>HYPERLINK("http://www.twitter.com/NathanBLawrence/status/987894055517368321", "987894055517368321")</f>
        <v/>
      </c>
      <c r="B1163" s="2" t="n">
        <v>43212.13971064815</v>
      </c>
      <c r="C1163" t="n">
        <v>0</v>
      </c>
      <c r="D1163" t="n">
        <v>143</v>
      </c>
      <c r="E1163" t="s">
        <v>1173</v>
      </c>
      <c r="F1163" t="s"/>
      <c r="G1163" t="s"/>
      <c r="H1163" t="s"/>
      <c r="I1163" t="s"/>
      <c r="J1163" t="n">
        <v>0</v>
      </c>
      <c r="K1163" t="n">
        <v>0</v>
      </c>
      <c r="L1163" t="n">
        <v>1</v>
      </c>
      <c r="M1163" t="n">
        <v>0</v>
      </c>
    </row>
    <row r="1164" spans="1:13">
      <c r="A1164" s="1">
        <f>HYPERLINK("http://www.twitter.com/NathanBLawrence/status/987893302270705665", "987893302270705665")</f>
        <v/>
      </c>
      <c r="B1164" s="2" t="n">
        <v>43212.13763888889</v>
      </c>
      <c r="C1164" t="n">
        <v>0</v>
      </c>
      <c r="D1164" t="n">
        <v>5</v>
      </c>
      <c r="E1164" t="s">
        <v>1174</v>
      </c>
      <c r="F1164">
        <f>HYPERLINK("http://pbs.twimg.com/media/DbWdjWVVwAAFKVp.jpg", "http://pbs.twimg.com/media/DbWdjWVVwAAFKVp.jpg")</f>
        <v/>
      </c>
      <c r="G1164" t="s"/>
      <c r="H1164" t="s"/>
      <c r="I1164" t="s"/>
      <c r="J1164" t="n">
        <v>0</v>
      </c>
      <c r="K1164" t="n">
        <v>0</v>
      </c>
      <c r="L1164" t="n">
        <v>1</v>
      </c>
      <c r="M1164" t="n">
        <v>0</v>
      </c>
    </row>
    <row r="1165" spans="1:13">
      <c r="A1165" s="1">
        <f>HYPERLINK("http://www.twitter.com/NathanBLawrence/status/987886057143218176", "987886057143218176")</f>
        <v/>
      </c>
      <c r="B1165" s="2" t="n">
        <v>43212.11763888889</v>
      </c>
      <c r="C1165" t="n">
        <v>0</v>
      </c>
      <c r="D1165" t="n">
        <v>218</v>
      </c>
      <c r="E1165" t="s">
        <v>1175</v>
      </c>
      <c r="F1165" t="s"/>
      <c r="G1165" t="s"/>
      <c r="H1165" t="s"/>
      <c r="I1165" t="s"/>
      <c r="J1165" t="n">
        <v>-0.6408</v>
      </c>
      <c r="K1165" t="n">
        <v>0.199</v>
      </c>
      <c r="L1165" t="n">
        <v>0.801</v>
      </c>
      <c r="M1165" t="n">
        <v>0</v>
      </c>
    </row>
    <row r="1166" spans="1:13">
      <c r="A1166" s="1">
        <f>HYPERLINK("http://www.twitter.com/NathanBLawrence/status/987884342390095873", "987884342390095873")</f>
        <v/>
      </c>
      <c r="B1166" s="2" t="n">
        <v>43212.1129050926</v>
      </c>
      <c r="C1166" t="n">
        <v>0</v>
      </c>
      <c r="D1166" t="n">
        <v>813</v>
      </c>
      <c r="E1166" t="s">
        <v>1176</v>
      </c>
      <c r="F1166" t="s"/>
      <c r="G1166" t="s"/>
      <c r="H1166" t="s"/>
      <c r="I1166" t="s"/>
      <c r="J1166" t="n">
        <v>0.0772</v>
      </c>
      <c r="K1166" t="n">
        <v>0.099</v>
      </c>
      <c r="L1166" t="n">
        <v>0.791</v>
      </c>
      <c r="M1166" t="n">
        <v>0.111</v>
      </c>
    </row>
    <row r="1167" spans="1:13">
      <c r="A1167" s="1">
        <f>HYPERLINK("http://www.twitter.com/NathanBLawrence/status/987779957643296768", "987779957643296768")</f>
        <v/>
      </c>
      <c r="B1167" s="2" t="n">
        <v>43211.82486111111</v>
      </c>
      <c r="C1167" t="n">
        <v>4</v>
      </c>
      <c r="D1167" t="n">
        <v>3</v>
      </c>
      <c r="E1167" t="s">
        <v>1177</v>
      </c>
      <c r="F1167" t="s"/>
      <c r="G1167" t="s"/>
      <c r="H1167" t="s"/>
      <c r="I1167" t="s"/>
      <c r="J1167" t="n">
        <v>-0.296</v>
      </c>
      <c r="K1167" t="n">
        <v>0.18</v>
      </c>
      <c r="L1167" t="n">
        <v>0.82</v>
      </c>
      <c r="M1167" t="n">
        <v>0</v>
      </c>
    </row>
    <row r="1168" spans="1:13">
      <c r="A1168" s="1">
        <f>HYPERLINK("http://www.twitter.com/NathanBLawrence/status/987779675685453825", "987779675685453825")</f>
        <v/>
      </c>
      <c r="B1168" s="2" t="n">
        <v>43211.82408564815</v>
      </c>
      <c r="C1168" t="n">
        <v>5</v>
      </c>
      <c r="D1168" t="n">
        <v>2</v>
      </c>
      <c r="E1168" t="s">
        <v>1178</v>
      </c>
      <c r="F1168" t="s"/>
      <c r="G1168" t="s"/>
      <c r="H1168" t="s"/>
      <c r="I1168" t="s"/>
      <c r="J1168" t="n">
        <v>-0.3818</v>
      </c>
      <c r="K1168" t="n">
        <v>0.157</v>
      </c>
      <c r="L1168" t="n">
        <v>0.843</v>
      </c>
      <c r="M1168" t="n">
        <v>0</v>
      </c>
    </row>
    <row r="1169" spans="1:13">
      <c r="A1169" s="1">
        <f>HYPERLINK("http://www.twitter.com/NathanBLawrence/status/987778344010711040", "987778344010711040")</f>
        <v/>
      </c>
      <c r="B1169" s="2" t="n">
        <v>43211.82040509259</v>
      </c>
      <c r="C1169" t="n">
        <v>1</v>
      </c>
      <c r="D1169" t="n">
        <v>0</v>
      </c>
      <c r="E1169" t="s">
        <v>1179</v>
      </c>
      <c r="F1169" t="s"/>
      <c r="G1169" t="s"/>
      <c r="H1169" t="s"/>
      <c r="I1169" t="s"/>
      <c r="J1169" t="n">
        <v>0</v>
      </c>
      <c r="K1169" t="n">
        <v>0</v>
      </c>
      <c r="L1169" t="n">
        <v>1</v>
      </c>
      <c r="M1169" t="n">
        <v>0</v>
      </c>
    </row>
    <row r="1170" spans="1:13">
      <c r="A1170" s="1">
        <f>HYPERLINK("http://www.twitter.com/NathanBLawrence/status/987778168961490945", "987778168961490945")</f>
        <v/>
      </c>
      <c r="B1170" s="2" t="n">
        <v>43211.81993055555</v>
      </c>
      <c r="C1170" t="n">
        <v>3</v>
      </c>
      <c r="D1170" t="n">
        <v>0</v>
      </c>
      <c r="E1170" t="s">
        <v>1180</v>
      </c>
      <c r="F1170" t="s"/>
      <c r="G1170" t="s"/>
      <c r="H1170" t="s"/>
      <c r="I1170" t="s"/>
      <c r="J1170" t="n">
        <v>0.34</v>
      </c>
      <c r="K1170" t="n">
        <v>0</v>
      </c>
      <c r="L1170" t="n">
        <v>0.902</v>
      </c>
      <c r="M1170" t="n">
        <v>0.098</v>
      </c>
    </row>
    <row r="1171" spans="1:13">
      <c r="A1171" s="1">
        <f>HYPERLINK("http://www.twitter.com/NathanBLawrence/status/987776501805236224", "987776501805236224")</f>
        <v/>
      </c>
      <c r="B1171" s="2" t="n">
        <v>43211.81532407407</v>
      </c>
      <c r="C1171" t="n">
        <v>4</v>
      </c>
      <c r="D1171" t="n">
        <v>3</v>
      </c>
      <c r="E1171" t="s">
        <v>1181</v>
      </c>
      <c r="F1171" t="s"/>
      <c r="G1171" t="s"/>
      <c r="H1171" t="s"/>
      <c r="I1171" t="s"/>
      <c r="J1171" t="n">
        <v>-0.7964</v>
      </c>
      <c r="K1171" t="n">
        <v>0.441</v>
      </c>
      <c r="L1171" t="n">
        <v>0.5590000000000001</v>
      </c>
      <c r="M1171" t="n">
        <v>0</v>
      </c>
    </row>
    <row r="1172" spans="1:13">
      <c r="A1172" s="1">
        <f>HYPERLINK("http://www.twitter.com/NathanBLawrence/status/987775414251569152", "987775414251569152")</f>
        <v/>
      </c>
      <c r="B1172" s="2" t="n">
        <v>43211.81232638889</v>
      </c>
      <c r="C1172" t="n">
        <v>5</v>
      </c>
      <c r="D1172" t="n">
        <v>1</v>
      </c>
      <c r="E1172" t="s">
        <v>1182</v>
      </c>
      <c r="F1172" t="s"/>
      <c r="G1172" t="s"/>
      <c r="H1172" t="s"/>
      <c r="I1172" t="s"/>
      <c r="J1172" t="n">
        <v>0</v>
      </c>
      <c r="K1172" t="n">
        <v>0</v>
      </c>
      <c r="L1172" t="n">
        <v>1</v>
      </c>
      <c r="M1172" t="n">
        <v>0</v>
      </c>
    </row>
    <row r="1173" spans="1:13">
      <c r="A1173" s="1">
        <f>HYPERLINK("http://www.twitter.com/NathanBLawrence/status/987775245250478080", "987775245250478080")</f>
        <v/>
      </c>
      <c r="B1173" s="2" t="n">
        <v>43211.81186342592</v>
      </c>
      <c r="C1173" t="n">
        <v>3</v>
      </c>
      <c r="D1173" t="n">
        <v>1</v>
      </c>
      <c r="E1173" t="s">
        <v>1183</v>
      </c>
      <c r="F1173" t="s"/>
      <c r="G1173" t="s"/>
      <c r="H1173" t="s"/>
      <c r="I1173" t="s"/>
      <c r="J1173" t="n">
        <v>-0.5423</v>
      </c>
      <c r="K1173" t="n">
        <v>0.226</v>
      </c>
      <c r="L1173" t="n">
        <v>0.774</v>
      </c>
      <c r="M1173" t="n">
        <v>0</v>
      </c>
    </row>
    <row r="1174" spans="1:13">
      <c r="A1174" s="1">
        <f>HYPERLINK("http://www.twitter.com/NathanBLawrence/status/987774659935391744", "987774659935391744")</f>
        <v/>
      </c>
      <c r="B1174" s="2" t="n">
        <v>43211.81024305556</v>
      </c>
      <c r="C1174" t="n">
        <v>3</v>
      </c>
      <c r="D1174" t="n">
        <v>7</v>
      </c>
      <c r="E1174" t="s">
        <v>1184</v>
      </c>
      <c r="F1174" t="s"/>
      <c r="G1174" t="s"/>
      <c r="H1174" t="s"/>
      <c r="I1174" t="s"/>
      <c r="J1174" t="n">
        <v>-0.872</v>
      </c>
      <c r="K1174" t="n">
        <v>0.426</v>
      </c>
      <c r="L1174" t="n">
        <v>0.574</v>
      </c>
      <c r="M1174" t="n">
        <v>0</v>
      </c>
    </row>
    <row r="1175" spans="1:13">
      <c r="A1175" s="1">
        <f>HYPERLINK("http://www.twitter.com/NathanBLawrence/status/987773734080561152", "987773734080561152")</f>
        <v/>
      </c>
      <c r="B1175" s="2" t="n">
        <v>43211.80768518519</v>
      </c>
      <c r="C1175" t="n">
        <v>0</v>
      </c>
      <c r="D1175" t="n">
        <v>2292</v>
      </c>
      <c r="E1175" t="s">
        <v>1185</v>
      </c>
      <c r="F1175">
        <f>HYPERLINK("http://pbs.twimg.com/media/DbUtmOvX0AAb6Rk.jpg", "http://pbs.twimg.com/media/DbUtmOvX0AAb6Rk.jpg")</f>
        <v/>
      </c>
      <c r="G1175" t="s"/>
      <c r="H1175" t="s"/>
      <c r="I1175" t="s"/>
      <c r="J1175" t="n">
        <v>-0.743</v>
      </c>
      <c r="K1175" t="n">
        <v>0.412</v>
      </c>
      <c r="L1175" t="n">
        <v>0.588</v>
      </c>
      <c r="M1175" t="n">
        <v>0</v>
      </c>
    </row>
    <row r="1176" spans="1:13">
      <c r="A1176" s="1">
        <f>HYPERLINK("http://www.twitter.com/NathanBLawrence/status/987773614106669056", "987773614106669056")</f>
        <v/>
      </c>
      <c r="B1176" s="2" t="n">
        <v>43211.80736111111</v>
      </c>
      <c r="C1176" t="n">
        <v>0</v>
      </c>
      <c r="D1176" t="n">
        <v>574</v>
      </c>
      <c r="E1176" t="s">
        <v>1186</v>
      </c>
      <c r="F1176">
        <f>HYPERLINK("https://video.twimg.com/amplify_video/987321524171485184/vid/1280x720/ebFvZ2lB5MmatSVK.mp4?tag=6", "https://video.twimg.com/amplify_video/987321524171485184/vid/1280x720/ebFvZ2lB5MmatSVK.mp4?tag=6")</f>
        <v/>
      </c>
      <c r="G1176" t="s"/>
      <c r="H1176" t="s"/>
      <c r="I1176" t="s"/>
      <c r="J1176" t="n">
        <v>-0.7978</v>
      </c>
      <c r="K1176" t="n">
        <v>0.284</v>
      </c>
      <c r="L1176" t="n">
        <v>0.716</v>
      </c>
      <c r="M1176" t="n">
        <v>0</v>
      </c>
    </row>
    <row r="1177" spans="1:13">
      <c r="A1177" s="1">
        <f>HYPERLINK("http://www.twitter.com/NathanBLawrence/status/987773548549689344", "987773548549689344")</f>
        <v/>
      </c>
      <c r="B1177" s="2" t="n">
        <v>43211.80717592593</v>
      </c>
      <c r="C1177" t="n">
        <v>0</v>
      </c>
      <c r="D1177" t="n">
        <v>18</v>
      </c>
      <c r="E1177" t="s">
        <v>1187</v>
      </c>
      <c r="F1177">
        <f>HYPERLINK("http://pbs.twimg.com/media/DbU5ml7VQAAgOi0.jpg", "http://pbs.twimg.com/media/DbU5ml7VQAAgOi0.jpg")</f>
        <v/>
      </c>
      <c r="G1177" t="s"/>
      <c r="H1177" t="s"/>
      <c r="I1177" t="s"/>
      <c r="J1177" t="n">
        <v>0</v>
      </c>
      <c r="K1177" t="n">
        <v>0</v>
      </c>
      <c r="L1177" t="n">
        <v>1</v>
      </c>
      <c r="M1177" t="n">
        <v>0</v>
      </c>
    </row>
    <row r="1178" spans="1:13">
      <c r="A1178" s="1">
        <f>HYPERLINK("http://www.twitter.com/NathanBLawrence/status/987773436008136704", "987773436008136704")</f>
        <v/>
      </c>
      <c r="B1178" s="2" t="n">
        <v>43211.80686342593</v>
      </c>
      <c r="C1178" t="n">
        <v>0</v>
      </c>
      <c r="D1178" t="n">
        <v>519</v>
      </c>
      <c r="E1178" t="s">
        <v>1188</v>
      </c>
      <c r="F1178">
        <f>HYPERLINK("http://pbs.twimg.com/media/DbUfZa1W0AA6amy.jpg", "http://pbs.twimg.com/media/DbUfZa1W0AA6amy.jpg")</f>
        <v/>
      </c>
      <c r="G1178" t="s"/>
      <c r="H1178" t="s"/>
      <c r="I1178" t="s"/>
      <c r="J1178" t="n">
        <v>0.5399</v>
      </c>
      <c r="K1178" t="n">
        <v>0</v>
      </c>
      <c r="L1178" t="n">
        <v>0.873</v>
      </c>
      <c r="M1178" t="n">
        <v>0.127</v>
      </c>
    </row>
    <row r="1179" spans="1:13">
      <c r="A1179" s="1">
        <f>HYPERLINK("http://www.twitter.com/NathanBLawrence/status/987773103785701376", "987773103785701376")</f>
        <v/>
      </c>
      <c r="B1179" s="2" t="n">
        <v>43211.80594907407</v>
      </c>
      <c r="C1179" t="n">
        <v>0</v>
      </c>
      <c r="D1179" t="n">
        <v>535</v>
      </c>
      <c r="E1179" t="s">
        <v>1189</v>
      </c>
      <c r="F1179">
        <f>HYPERLINK("http://pbs.twimg.com/media/DbRsofoWsAAoCBh.jpg", "http://pbs.twimg.com/media/DbRsofoWsAAoCBh.jpg")</f>
        <v/>
      </c>
      <c r="G1179" t="s"/>
      <c r="H1179" t="s"/>
      <c r="I1179" t="s"/>
      <c r="J1179" t="n">
        <v>-0.4278</v>
      </c>
      <c r="K1179" t="n">
        <v>0.362</v>
      </c>
      <c r="L1179" t="n">
        <v>0.638</v>
      </c>
      <c r="M1179" t="n">
        <v>0</v>
      </c>
    </row>
    <row r="1180" spans="1:13">
      <c r="A1180" s="1">
        <f>HYPERLINK("http://www.twitter.com/NathanBLawrence/status/987772978828951552", "987772978828951552")</f>
        <v/>
      </c>
      <c r="B1180" s="2" t="n">
        <v>43211.80560185185</v>
      </c>
      <c r="C1180" t="n">
        <v>0</v>
      </c>
      <c r="D1180" t="n">
        <v>13</v>
      </c>
      <c r="E1180" t="s">
        <v>1190</v>
      </c>
      <c r="F1180">
        <f>HYPERLINK("http://pbs.twimg.com/media/DbTyBcGWsAAG2Xs.jpg", "http://pbs.twimg.com/media/DbTyBcGWsAAG2Xs.jpg")</f>
        <v/>
      </c>
      <c r="G1180">
        <f>HYPERLINK("http://pbs.twimg.com/media/DbTyEvRW4AAoKSE.jpg", "http://pbs.twimg.com/media/DbTyEvRW4AAoKSE.jpg")</f>
        <v/>
      </c>
      <c r="H1180" t="s"/>
      <c r="I1180" t="s"/>
      <c r="J1180" t="n">
        <v>0</v>
      </c>
      <c r="K1180" t="n">
        <v>0</v>
      </c>
      <c r="L1180" t="n">
        <v>1</v>
      </c>
      <c r="M1180" t="n">
        <v>0</v>
      </c>
    </row>
    <row r="1181" spans="1:13">
      <c r="A1181" s="1">
        <f>HYPERLINK("http://www.twitter.com/NathanBLawrence/status/987583642187612160", "987583642187612160")</f>
        <v/>
      </c>
      <c r="B1181" s="2" t="n">
        <v>43211.28313657407</v>
      </c>
      <c r="C1181" t="n">
        <v>0</v>
      </c>
      <c r="D1181" t="n">
        <v>42</v>
      </c>
      <c r="E1181" t="s">
        <v>1191</v>
      </c>
      <c r="F1181">
        <f>HYPERLINK("http://pbs.twimg.com/media/DIAzM1-UAAAcYsF.jpg", "http://pbs.twimg.com/media/DIAzM1-UAAAcYsF.jpg")</f>
        <v/>
      </c>
      <c r="G1181" t="s"/>
      <c r="H1181" t="s"/>
      <c r="I1181" t="s"/>
      <c r="J1181" t="n">
        <v>0.6369</v>
      </c>
      <c r="K1181" t="n">
        <v>0</v>
      </c>
      <c r="L1181" t="n">
        <v>0.792</v>
      </c>
      <c r="M1181" t="n">
        <v>0.208</v>
      </c>
    </row>
    <row r="1182" spans="1:13">
      <c r="A1182" s="1">
        <f>HYPERLINK("http://www.twitter.com/NathanBLawrence/status/987583548231106560", "987583548231106560")</f>
        <v/>
      </c>
      <c r="B1182" s="2" t="n">
        <v>43211.28287037037</v>
      </c>
      <c r="C1182" t="n">
        <v>0</v>
      </c>
      <c r="D1182" t="n">
        <v>233</v>
      </c>
      <c r="E1182" t="s">
        <v>1192</v>
      </c>
      <c r="F1182">
        <f>HYPERLINK("http://pbs.twimg.com/media/Da8I_xrUMAEsAxY.jpg", "http://pbs.twimg.com/media/Da8I_xrUMAEsAxY.jpg")</f>
        <v/>
      </c>
      <c r="G1182">
        <f>HYPERLINK("http://pbs.twimg.com/media/Da8I_xqVwAAY_z0.jpg", "http://pbs.twimg.com/media/Da8I_xqVwAAY_z0.jpg")</f>
        <v/>
      </c>
      <c r="H1182" t="s"/>
      <c r="I1182" t="s"/>
      <c r="J1182" t="n">
        <v>0.9169</v>
      </c>
      <c r="K1182" t="n">
        <v>0</v>
      </c>
      <c r="L1182" t="n">
        <v>0.541</v>
      </c>
      <c r="M1182" t="n">
        <v>0.459</v>
      </c>
    </row>
    <row r="1183" spans="1:13">
      <c r="A1183" s="1">
        <f>HYPERLINK("http://www.twitter.com/NathanBLawrence/status/987583441339215872", "987583441339215872")</f>
        <v/>
      </c>
      <c r="B1183" s="2" t="n">
        <v>43211.28258101852</v>
      </c>
      <c r="C1183" t="n">
        <v>0</v>
      </c>
      <c r="D1183" t="n">
        <v>3</v>
      </c>
      <c r="E1183" t="s">
        <v>1193</v>
      </c>
      <c r="F1183" t="s"/>
      <c r="G1183" t="s"/>
      <c r="H1183" t="s"/>
      <c r="I1183" t="s"/>
      <c r="J1183" t="n">
        <v>-0.1779</v>
      </c>
      <c r="K1183" t="n">
        <v>0.258</v>
      </c>
      <c r="L1183" t="n">
        <v>0.53</v>
      </c>
      <c r="M1183" t="n">
        <v>0.212</v>
      </c>
    </row>
    <row r="1184" spans="1:13">
      <c r="A1184" s="1">
        <f>HYPERLINK("http://www.twitter.com/NathanBLawrence/status/987583195712446465", "987583195712446465")</f>
        <v/>
      </c>
      <c r="B1184" s="2" t="n">
        <v>43211.28189814815</v>
      </c>
      <c r="C1184" t="n">
        <v>0</v>
      </c>
      <c r="D1184" t="n">
        <v>108</v>
      </c>
      <c r="E1184" t="s">
        <v>1194</v>
      </c>
      <c r="F1184">
        <f>HYPERLINK("http://pbs.twimg.com/media/DbQvSf0UQAAO3yH.jpg", "http://pbs.twimg.com/media/DbQvSf0UQAAO3yH.jpg")</f>
        <v/>
      </c>
      <c r="G1184">
        <f>HYPERLINK("http://pbs.twimg.com/media/DbQvUPwVMAEX7KJ.jpg", "http://pbs.twimg.com/media/DbQvUPwVMAEX7KJ.jpg")</f>
        <v/>
      </c>
      <c r="H1184">
        <f>HYPERLINK("http://pbs.twimg.com/media/DbQvVAeU8AA31-_.jpg", "http://pbs.twimg.com/media/DbQvVAeU8AA31-_.jpg")</f>
        <v/>
      </c>
      <c r="I1184">
        <f>HYPERLINK("http://pbs.twimg.com/media/DbQvVwMUwAE54v0.jpg", "http://pbs.twimg.com/media/DbQvVwMUwAE54v0.jpg")</f>
        <v/>
      </c>
      <c r="J1184" t="n">
        <v>-0.128</v>
      </c>
      <c r="K1184" t="n">
        <v>0.077</v>
      </c>
      <c r="L1184" t="n">
        <v>0.923</v>
      </c>
      <c r="M1184" t="n">
        <v>0</v>
      </c>
    </row>
    <row r="1185" spans="1:13">
      <c r="A1185" s="1">
        <f>HYPERLINK("http://www.twitter.com/NathanBLawrence/status/987580218301796354", "987580218301796354")</f>
        <v/>
      </c>
      <c r="B1185" s="2" t="n">
        <v>43211.27369212963</v>
      </c>
      <c r="C1185" t="n">
        <v>0</v>
      </c>
      <c r="D1185" t="n">
        <v>238</v>
      </c>
      <c r="E1185" t="s">
        <v>1195</v>
      </c>
      <c r="F1185">
        <f>HYPERLINK("http://pbs.twimg.com/media/DbRLsYaU8AAMN3h.jpg", "http://pbs.twimg.com/media/DbRLsYaU8AAMN3h.jpg")</f>
        <v/>
      </c>
      <c r="G1185" t="s"/>
      <c r="H1185" t="s"/>
      <c r="I1185" t="s"/>
      <c r="J1185" t="n">
        <v>0.3647</v>
      </c>
      <c r="K1185" t="n">
        <v>0.045</v>
      </c>
      <c r="L1185" t="n">
        <v>0.8129999999999999</v>
      </c>
      <c r="M1185" t="n">
        <v>0.142</v>
      </c>
    </row>
    <row r="1186" spans="1:13">
      <c r="A1186" s="1">
        <f>HYPERLINK("http://www.twitter.com/NathanBLawrence/status/987569864062599169", "987569864062599169")</f>
        <v/>
      </c>
      <c r="B1186" s="2" t="n">
        <v>43211.24511574074</v>
      </c>
      <c r="C1186" t="n">
        <v>0</v>
      </c>
      <c r="D1186" t="n">
        <v>1654</v>
      </c>
      <c r="E1186" t="s">
        <v>1196</v>
      </c>
      <c r="F1186">
        <f>HYPERLINK("https://video.twimg.com/ext_tw_video/964933149884125186/pu/vid/720x720/McHYu9lKUGGJlQtJ.mp4", "https://video.twimg.com/ext_tw_video/964933149884125186/pu/vid/720x720/McHYu9lKUGGJlQtJ.mp4")</f>
        <v/>
      </c>
      <c r="G1186" t="s"/>
      <c r="H1186" t="s"/>
      <c r="I1186" t="s"/>
      <c r="J1186" t="n">
        <v>-0.1877</v>
      </c>
      <c r="K1186" t="n">
        <v>0.08400000000000001</v>
      </c>
      <c r="L1186" t="n">
        <v>0.916</v>
      </c>
      <c r="M1186" t="n">
        <v>0</v>
      </c>
    </row>
    <row r="1187" spans="1:13">
      <c r="A1187" s="1">
        <f>HYPERLINK("http://www.twitter.com/NathanBLawrence/status/987566041688489984", "987566041688489984")</f>
        <v/>
      </c>
      <c r="B1187" s="2" t="n">
        <v>43211.23457175926</v>
      </c>
      <c r="C1187" t="n">
        <v>0</v>
      </c>
      <c r="D1187" t="n">
        <v>1679</v>
      </c>
      <c r="E1187" t="s">
        <v>1197</v>
      </c>
      <c r="F1187">
        <f>HYPERLINK("http://pbs.twimg.com/media/DbOz8a3V4AAR1xB.jpg", "http://pbs.twimg.com/media/DbOz8a3V4AAR1xB.jpg")</f>
        <v/>
      </c>
      <c r="G1187" t="s"/>
      <c r="H1187" t="s"/>
      <c r="I1187" t="s"/>
      <c r="J1187" t="n">
        <v>-0.6633</v>
      </c>
      <c r="K1187" t="n">
        <v>0.174</v>
      </c>
      <c r="L1187" t="n">
        <v>0.826</v>
      </c>
      <c r="M1187" t="n">
        <v>0</v>
      </c>
    </row>
    <row r="1188" spans="1:13">
      <c r="A1188" s="1">
        <f>HYPERLINK("http://www.twitter.com/NathanBLawrence/status/987565986210500609", "987565986210500609")</f>
        <v/>
      </c>
      <c r="B1188" s="2" t="n">
        <v>43211.23440972222</v>
      </c>
      <c r="C1188" t="n">
        <v>0</v>
      </c>
      <c r="D1188" t="n">
        <v>121</v>
      </c>
      <c r="E1188" t="s">
        <v>1198</v>
      </c>
      <c r="F1188" t="s"/>
      <c r="G1188" t="s"/>
      <c r="H1188" t="s"/>
      <c r="I1188" t="s"/>
      <c r="J1188" t="n">
        <v>0</v>
      </c>
      <c r="K1188" t="n">
        <v>0</v>
      </c>
      <c r="L1188" t="n">
        <v>1</v>
      </c>
      <c r="M1188" t="n">
        <v>0</v>
      </c>
    </row>
    <row r="1189" spans="1:13">
      <c r="A1189" s="1">
        <f>HYPERLINK("http://www.twitter.com/NathanBLawrence/status/987565954086322177", "987565954086322177")</f>
        <v/>
      </c>
      <c r="B1189" s="2" t="n">
        <v>43211.2343287037</v>
      </c>
      <c r="C1189" t="n">
        <v>0</v>
      </c>
      <c r="D1189" t="n">
        <v>627</v>
      </c>
      <c r="E1189" t="s">
        <v>1199</v>
      </c>
      <c r="F1189" t="s"/>
      <c r="G1189" t="s"/>
      <c r="H1189" t="s"/>
      <c r="I1189" t="s"/>
      <c r="J1189" t="n">
        <v>0.5815</v>
      </c>
      <c r="K1189" t="n">
        <v>0</v>
      </c>
      <c r="L1189" t="n">
        <v>0.746</v>
      </c>
      <c r="M1189" t="n">
        <v>0.254</v>
      </c>
    </row>
    <row r="1190" spans="1:13">
      <c r="A1190" s="1">
        <f>HYPERLINK("http://www.twitter.com/NathanBLawrence/status/987565924298379264", "987565924298379264")</f>
        <v/>
      </c>
      <c r="B1190" s="2" t="n">
        <v>43211.23424768518</v>
      </c>
      <c r="C1190" t="n">
        <v>0</v>
      </c>
      <c r="D1190" t="n">
        <v>8</v>
      </c>
      <c r="E1190" t="s">
        <v>1200</v>
      </c>
      <c r="F1190">
        <f>HYPERLINK("http://pbs.twimg.com/media/DbOkGu5UwAEcz8y.jpg", "http://pbs.twimg.com/media/DbOkGu5UwAEcz8y.jpg")</f>
        <v/>
      </c>
      <c r="G1190" t="s"/>
      <c r="H1190" t="s"/>
      <c r="I1190" t="s"/>
      <c r="J1190" t="n">
        <v>0.3612</v>
      </c>
      <c r="K1190" t="n">
        <v>0</v>
      </c>
      <c r="L1190" t="n">
        <v>0.837</v>
      </c>
      <c r="M1190" t="n">
        <v>0.163</v>
      </c>
    </row>
    <row r="1191" spans="1:13">
      <c r="A1191" s="1">
        <f>HYPERLINK("http://www.twitter.com/NathanBLawrence/status/987539290434420737", "987539290434420737")</f>
        <v/>
      </c>
      <c r="B1191" s="2" t="n">
        <v>43211.16075231481</v>
      </c>
      <c r="C1191" t="n">
        <v>0</v>
      </c>
      <c r="D1191" t="n">
        <v>111</v>
      </c>
      <c r="E1191" t="s">
        <v>1201</v>
      </c>
      <c r="F1191">
        <f>HYPERLINK("http://pbs.twimg.com/media/DbQB7XTXkAIZ6cw.jpg", "http://pbs.twimg.com/media/DbQB7XTXkAIZ6cw.jpg")</f>
        <v/>
      </c>
      <c r="G1191" t="s"/>
      <c r="H1191" t="s"/>
      <c r="I1191" t="s"/>
      <c r="J1191" t="n">
        <v>0</v>
      </c>
      <c r="K1191" t="n">
        <v>0</v>
      </c>
      <c r="L1191" t="n">
        <v>1</v>
      </c>
      <c r="M1191" t="n">
        <v>0</v>
      </c>
    </row>
    <row r="1192" spans="1:13">
      <c r="A1192" s="1">
        <f>HYPERLINK("http://www.twitter.com/NathanBLawrence/status/987538987240730624", "987538987240730624")</f>
        <v/>
      </c>
      <c r="B1192" s="2" t="n">
        <v>43211.1599074074</v>
      </c>
      <c r="C1192" t="n">
        <v>0</v>
      </c>
      <c r="D1192" t="n">
        <v>103</v>
      </c>
      <c r="E1192" t="s">
        <v>1202</v>
      </c>
      <c r="F1192" t="s"/>
      <c r="G1192" t="s"/>
      <c r="H1192" t="s"/>
      <c r="I1192" t="s"/>
      <c r="J1192" t="n">
        <v>-0.2263</v>
      </c>
      <c r="K1192" t="n">
        <v>0.137</v>
      </c>
      <c r="L1192" t="n">
        <v>0.76</v>
      </c>
      <c r="M1192" t="n">
        <v>0.103</v>
      </c>
    </row>
    <row r="1193" spans="1:13">
      <c r="A1193" s="1">
        <f>HYPERLINK("http://www.twitter.com/NathanBLawrence/status/987538040179470336", "987538040179470336")</f>
        <v/>
      </c>
      <c r="B1193" s="2" t="n">
        <v>43211.15730324074</v>
      </c>
      <c r="C1193" t="n">
        <v>0</v>
      </c>
      <c r="D1193" t="n">
        <v>185</v>
      </c>
      <c r="E1193" t="s">
        <v>1203</v>
      </c>
      <c r="F1193">
        <f>HYPERLINK("http://pbs.twimg.com/media/DbQjee8WkAAZMdl.jpg", "http://pbs.twimg.com/media/DbQjee8WkAAZMdl.jpg")</f>
        <v/>
      </c>
      <c r="G1193" t="s"/>
      <c r="H1193" t="s"/>
      <c r="I1193" t="s"/>
      <c r="J1193" t="n">
        <v>0</v>
      </c>
      <c r="K1193" t="n">
        <v>0</v>
      </c>
      <c r="L1193" t="n">
        <v>1</v>
      </c>
      <c r="M1193" t="n">
        <v>0</v>
      </c>
    </row>
    <row r="1194" spans="1:13">
      <c r="A1194" s="1">
        <f>HYPERLINK("http://www.twitter.com/NathanBLawrence/status/987537637517901824", "987537637517901824")</f>
        <v/>
      </c>
      <c r="B1194" s="2" t="n">
        <v>43211.15619212963</v>
      </c>
      <c r="C1194" t="n">
        <v>0</v>
      </c>
      <c r="D1194" t="n">
        <v>192</v>
      </c>
      <c r="E1194" t="s">
        <v>1204</v>
      </c>
      <c r="F1194" t="s"/>
      <c r="G1194" t="s"/>
      <c r="H1194" t="s"/>
      <c r="I1194" t="s"/>
      <c r="J1194" t="n">
        <v>0</v>
      </c>
      <c r="K1194" t="n">
        <v>0</v>
      </c>
      <c r="L1194" t="n">
        <v>1</v>
      </c>
      <c r="M1194" t="n">
        <v>0</v>
      </c>
    </row>
    <row r="1195" spans="1:13">
      <c r="A1195" s="1">
        <f>HYPERLINK("http://www.twitter.com/NathanBLawrence/status/987537173581725696", "987537173581725696")</f>
        <v/>
      </c>
      <c r="B1195" s="2" t="n">
        <v>43211.15490740741</v>
      </c>
      <c r="C1195" t="n">
        <v>0</v>
      </c>
      <c r="D1195" t="n">
        <v>15</v>
      </c>
      <c r="E1195" t="s">
        <v>1205</v>
      </c>
      <c r="F1195">
        <f>HYPERLINK("http://pbs.twimg.com/media/DbRDSdvUQAAc7zn.jpg", "http://pbs.twimg.com/media/DbRDSdvUQAAc7zn.jpg")</f>
        <v/>
      </c>
      <c r="G1195" t="s"/>
      <c r="H1195" t="s"/>
      <c r="I1195" t="s"/>
      <c r="J1195" t="n">
        <v>0.4215</v>
      </c>
      <c r="K1195" t="n">
        <v>0</v>
      </c>
      <c r="L1195" t="n">
        <v>0.887</v>
      </c>
      <c r="M1195" t="n">
        <v>0.113</v>
      </c>
    </row>
    <row r="1196" spans="1:13">
      <c r="A1196" s="1">
        <f>HYPERLINK("http://www.twitter.com/NathanBLawrence/status/987536676753784832", "987536676753784832")</f>
        <v/>
      </c>
      <c r="B1196" s="2" t="n">
        <v>43211.15353009259</v>
      </c>
      <c r="C1196" t="n">
        <v>0</v>
      </c>
      <c r="D1196" t="n">
        <v>28548</v>
      </c>
      <c r="E1196" t="s">
        <v>1206</v>
      </c>
      <c r="F1196" t="s"/>
      <c r="G1196" t="s"/>
      <c r="H1196" t="s"/>
      <c r="I1196" t="s"/>
      <c r="J1196" t="n">
        <v>0.1027</v>
      </c>
      <c r="K1196" t="n">
        <v>0.105</v>
      </c>
      <c r="L1196" t="n">
        <v>0.773</v>
      </c>
      <c r="M1196" t="n">
        <v>0.123</v>
      </c>
    </row>
    <row r="1197" spans="1:13">
      <c r="A1197" s="1">
        <f>HYPERLINK("http://www.twitter.com/NathanBLawrence/status/987536452681527296", "987536452681527296")</f>
        <v/>
      </c>
      <c r="B1197" s="2" t="n">
        <v>43211.15291666667</v>
      </c>
      <c r="C1197" t="n">
        <v>0</v>
      </c>
      <c r="D1197" t="n">
        <v>225</v>
      </c>
      <c r="E1197" t="s">
        <v>1207</v>
      </c>
      <c r="F1197" t="s"/>
      <c r="G1197" t="s"/>
      <c r="H1197" t="s"/>
      <c r="I1197" t="s"/>
      <c r="J1197" t="n">
        <v>0</v>
      </c>
      <c r="K1197" t="n">
        <v>0</v>
      </c>
      <c r="L1197" t="n">
        <v>1</v>
      </c>
      <c r="M1197" t="n">
        <v>0</v>
      </c>
    </row>
    <row r="1198" spans="1:13">
      <c r="A1198" s="1">
        <f>HYPERLINK("http://www.twitter.com/NathanBLawrence/status/987529768303083520", "987529768303083520")</f>
        <v/>
      </c>
      <c r="B1198" s="2" t="n">
        <v>43211.13446759259</v>
      </c>
      <c r="C1198" t="n">
        <v>0</v>
      </c>
      <c r="D1198" t="n">
        <v>3727</v>
      </c>
      <c r="E1198" t="s">
        <v>1208</v>
      </c>
      <c r="F1198" t="s"/>
      <c r="G1198" t="s"/>
      <c r="H1198" t="s"/>
      <c r="I1198" t="s"/>
      <c r="J1198" t="n">
        <v>0</v>
      </c>
      <c r="K1198" t="n">
        <v>0</v>
      </c>
      <c r="L1198" t="n">
        <v>1</v>
      </c>
      <c r="M1198" t="n">
        <v>0</v>
      </c>
    </row>
    <row r="1199" spans="1:13">
      <c r="A1199" s="1">
        <f>HYPERLINK("http://www.twitter.com/NathanBLawrence/status/987498608915185664", "987498608915185664")</f>
        <v/>
      </c>
      <c r="B1199" s="2" t="n">
        <v>43211.04848379629</v>
      </c>
      <c r="C1199" t="n">
        <v>0</v>
      </c>
      <c r="D1199" t="n">
        <v>458</v>
      </c>
      <c r="E1199" t="s">
        <v>1209</v>
      </c>
      <c r="F1199" t="s"/>
      <c r="G1199" t="s"/>
      <c r="H1199" t="s"/>
      <c r="I1199" t="s"/>
      <c r="J1199" t="n">
        <v>0.0343</v>
      </c>
      <c r="K1199" t="n">
        <v>0.183</v>
      </c>
      <c r="L1199" t="n">
        <v>0.63</v>
      </c>
      <c r="M1199" t="n">
        <v>0.187</v>
      </c>
    </row>
    <row r="1200" spans="1:13">
      <c r="A1200" s="1">
        <f>HYPERLINK("http://www.twitter.com/NathanBLawrence/status/987484879146242048", "987484879146242048")</f>
        <v/>
      </c>
      <c r="B1200" s="2" t="n">
        <v>43211.01060185185</v>
      </c>
      <c r="C1200" t="n">
        <v>0</v>
      </c>
      <c r="D1200" t="n">
        <v>222</v>
      </c>
      <c r="E1200" t="s">
        <v>1210</v>
      </c>
      <c r="F1200">
        <f>HYPERLINK("http://pbs.twimg.com/media/DbQ_YU9UwAERVSK.jpg", "http://pbs.twimg.com/media/DbQ_YU9UwAERVSK.jpg")</f>
        <v/>
      </c>
      <c r="G1200" t="s"/>
      <c r="H1200" t="s"/>
      <c r="I1200" t="s"/>
      <c r="J1200" t="n">
        <v>0.9135</v>
      </c>
      <c r="K1200" t="n">
        <v>0</v>
      </c>
      <c r="L1200" t="n">
        <v>0.5620000000000001</v>
      </c>
      <c r="M1200" t="n">
        <v>0.438</v>
      </c>
    </row>
    <row r="1201" spans="1:13">
      <c r="A1201" s="1">
        <f>HYPERLINK("http://www.twitter.com/NathanBLawrence/status/987484439750963201", "987484439750963201")</f>
        <v/>
      </c>
      <c r="B1201" s="2" t="n">
        <v>43211.00938657407</v>
      </c>
      <c r="C1201" t="n">
        <v>0</v>
      </c>
      <c r="D1201" t="n">
        <v>1</v>
      </c>
      <c r="E1201" t="s">
        <v>1211</v>
      </c>
      <c r="F1201" t="s"/>
      <c r="G1201" t="s"/>
      <c r="H1201" t="s"/>
      <c r="I1201" t="s"/>
      <c r="J1201" t="n">
        <v>0</v>
      </c>
      <c r="K1201" t="n">
        <v>0</v>
      </c>
      <c r="L1201" t="n">
        <v>1</v>
      </c>
      <c r="M1201" t="n">
        <v>0</v>
      </c>
    </row>
    <row r="1202" spans="1:13">
      <c r="A1202" s="1">
        <f>HYPERLINK("http://www.twitter.com/NathanBLawrence/status/987484222427316224", "987484222427316224")</f>
        <v/>
      </c>
      <c r="B1202" s="2" t="n">
        <v>43211.00878472222</v>
      </c>
      <c r="C1202" t="n">
        <v>0</v>
      </c>
      <c r="D1202" t="n">
        <v>90</v>
      </c>
      <c r="E1202" t="s">
        <v>1212</v>
      </c>
      <c r="F1202">
        <f>HYPERLINK("http://pbs.twimg.com/media/DbQCrPXXcAExf0P.jpg", "http://pbs.twimg.com/media/DbQCrPXXcAExf0P.jpg")</f>
        <v/>
      </c>
      <c r="G1202" t="s"/>
      <c r="H1202" t="s"/>
      <c r="I1202" t="s"/>
      <c r="J1202" t="n">
        <v>0</v>
      </c>
      <c r="K1202" t="n">
        <v>0</v>
      </c>
      <c r="L1202" t="n">
        <v>1</v>
      </c>
      <c r="M1202" t="n">
        <v>0</v>
      </c>
    </row>
    <row r="1203" spans="1:13">
      <c r="A1203" s="1">
        <f>HYPERLINK("http://www.twitter.com/NathanBLawrence/status/987483905660936192", "987483905660936192")</f>
        <v/>
      </c>
      <c r="B1203" s="2" t="n">
        <v>43211.00791666667</v>
      </c>
      <c r="C1203" t="n">
        <v>0</v>
      </c>
      <c r="D1203" t="n">
        <v>200</v>
      </c>
      <c r="E1203" t="s">
        <v>1213</v>
      </c>
      <c r="F1203">
        <f>HYPERLINK("http://pbs.twimg.com/media/DbM30W3VMAAyRoC.jpg", "http://pbs.twimg.com/media/DbM30W3VMAAyRoC.jpg")</f>
        <v/>
      </c>
      <c r="G1203">
        <f>HYPERLINK("http://pbs.twimg.com/media/DbM304jVQAAjEXj.jpg", "http://pbs.twimg.com/media/DbM304jVQAAjEXj.jpg")</f>
        <v/>
      </c>
      <c r="H1203" t="s"/>
      <c r="I1203" t="s"/>
      <c r="J1203" t="n">
        <v>0.7804</v>
      </c>
      <c r="K1203" t="n">
        <v>0</v>
      </c>
      <c r="L1203" t="n">
        <v>0.697</v>
      </c>
      <c r="M1203" t="n">
        <v>0.303</v>
      </c>
    </row>
    <row r="1204" spans="1:13">
      <c r="A1204" s="1">
        <f>HYPERLINK("http://www.twitter.com/NathanBLawrence/status/987483700450349056", "987483700450349056")</f>
        <v/>
      </c>
      <c r="B1204" s="2" t="n">
        <v>43211.00734953704</v>
      </c>
      <c r="C1204" t="n">
        <v>0</v>
      </c>
      <c r="D1204" t="n">
        <v>281</v>
      </c>
      <c r="E1204" t="s">
        <v>1214</v>
      </c>
      <c r="F1204">
        <f>HYPERLINK("http://pbs.twimg.com/media/DbQtsAsXkAAe0D-.jpg", "http://pbs.twimg.com/media/DbQtsAsXkAAe0D-.jpg")</f>
        <v/>
      </c>
      <c r="G1204" t="s"/>
      <c r="H1204" t="s"/>
      <c r="I1204" t="s"/>
      <c r="J1204" t="n">
        <v>0</v>
      </c>
      <c r="K1204" t="n">
        <v>0</v>
      </c>
      <c r="L1204" t="n">
        <v>1</v>
      </c>
      <c r="M1204" t="n">
        <v>0</v>
      </c>
    </row>
    <row r="1205" spans="1:13">
      <c r="A1205" s="1">
        <f>HYPERLINK("http://www.twitter.com/NathanBLawrence/status/987483457306574848", "987483457306574848")</f>
        <v/>
      </c>
      <c r="B1205" s="2" t="n">
        <v>43211.00667824074</v>
      </c>
      <c r="C1205" t="n">
        <v>0</v>
      </c>
      <c r="D1205" t="n">
        <v>508</v>
      </c>
      <c r="E1205" t="s">
        <v>1215</v>
      </c>
      <c r="F1205">
        <f>HYPERLINK("http://pbs.twimg.com/media/DbLAmVuU8AAxgW4.jpg", "http://pbs.twimg.com/media/DbLAmVuU8AAxgW4.jpg")</f>
        <v/>
      </c>
      <c r="G1205" t="s"/>
      <c r="H1205" t="s"/>
      <c r="I1205" t="s"/>
      <c r="J1205" t="n">
        <v>0</v>
      </c>
      <c r="K1205" t="n">
        <v>0</v>
      </c>
      <c r="L1205" t="n">
        <v>1</v>
      </c>
      <c r="M1205" t="n">
        <v>0</v>
      </c>
    </row>
    <row r="1206" spans="1:13">
      <c r="A1206" s="1">
        <f>HYPERLINK("http://www.twitter.com/NathanBLawrence/status/987479139404791809", "987479139404791809")</f>
        <v/>
      </c>
      <c r="B1206" s="2" t="n">
        <v>43210.99475694444</v>
      </c>
      <c r="C1206" t="n">
        <v>4</v>
      </c>
      <c r="D1206" t="n">
        <v>1</v>
      </c>
      <c r="E1206" t="s">
        <v>1216</v>
      </c>
      <c r="F1206" t="s"/>
      <c r="G1206" t="s"/>
      <c r="H1206" t="s"/>
      <c r="I1206" t="s"/>
      <c r="J1206" t="n">
        <v>0</v>
      </c>
      <c r="K1206" t="n">
        <v>0</v>
      </c>
      <c r="L1206" t="n">
        <v>1</v>
      </c>
      <c r="M1206" t="n">
        <v>0</v>
      </c>
    </row>
    <row r="1207" spans="1:13">
      <c r="A1207" s="1">
        <f>HYPERLINK("http://www.twitter.com/NathanBLawrence/status/987477859785568257", "987477859785568257")</f>
        <v/>
      </c>
      <c r="B1207" s="2" t="n">
        <v>43210.99122685185</v>
      </c>
      <c r="C1207" t="n">
        <v>0</v>
      </c>
      <c r="D1207" t="n">
        <v>5</v>
      </c>
      <c r="E1207" t="s">
        <v>1217</v>
      </c>
      <c r="F1207" t="s"/>
      <c r="G1207" t="s"/>
      <c r="H1207" t="s"/>
      <c r="I1207" t="s"/>
      <c r="J1207" t="n">
        <v>0.5449000000000001</v>
      </c>
      <c r="K1207" t="n">
        <v>0</v>
      </c>
      <c r="L1207" t="n">
        <v>0.872</v>
      </c>
      <c r="M1207" t="n">
        <v>0.128</v>
      </c>
    </row>
    <row r="1208" spans="1:13">
      <c r="A1208" s="1">
        <f>HYPERLINK("http://www.twitter.com/NathanBLawrence/status/987477557028143105", "987477557028143105")</f>
        <v/>
      </c>
      <c r="B1208" s="2" t="n">
        <v>43210.99039351852</v>
      </c>
      <c r="C1208" t="n">
        <v>0</v>
      </c>
      <c r="D1208" t="n">
        <v>337</v>
      </c>
      <c r="E1208" t="s">
        <v>1218</v>
      </c>
      <c r="F1208" t="s"/>
      <c r="G1208" t="s"/>
      <c r="H1208" t="s"/>
      <c r="I1208" t="s"/>
      <c r="J1208" t="n">
        <v>-0.3182</v>
      </c>
      <c r="K1208" t="n">
        <v>0.161</v>
      </c>
      <c r="L1208" t="n">
        <v>0.839</v>
      </c>
      <c r="M1208" t="n">
        <v>0</v>
      </c>
    </row>
    <row r="1209" spans="1:13">
      <c r="A1209" s="1">
        <f>HYPERLINK("http://www.twitter.com/NathanBLawrence/status/987477446806069250", "987477446806069250")</f>
        <v/>
      </c>
      <c r="B1209" s="2" t="n">
        <v>43210.99009259259</v>
      </c>
      <c r="C1209" t="n">
        <v>0</v>
      </c>
      <c r="D1209" t="n">
        <v>616</v>
      </c>
      <c r="E1209" t="s">
        <v>1219</v>
      </c>
      <c r="F1209" t="s"/>
      <c r="G1209" t="s"/>
      <c r="H1209" t="s"/>
      <c r="I1209" t="s"/>
      <c r="J1209" t="n">
        <v>-0.296</v>
      </c>
      <c r="K1209" t="n">
        <v>0.136</v>
      </c>
      <c r="L1209" t="n">
        <v>0.864</v>
      </c>
      <c r="M1209" t="n">
        <v>0</v>
      </c>
    </row>
    <row r="1210" spans="1:13">
      <c r="A1210" s="1">
        <f>HYPERLINK("http://www.twitter.com/NathanBLawrence/status/987444722804273154", "987444722804273154")</f>
        <v/>
      </c>
      <c r="B1210" s="2" t="n">
        <v>43210.89979166666</v>
      </c>
      <c r="C1210" t="n">
        <v>22</v>
      </c>
      <c r="D1210" t="n">
        <v>10</v>
      </c>
      <c r="E1210" t="s">
        <v>1220</v>
      </c>
      <c r="F1210" t="s"/>
      <c r="G1210" t="s"/>
      <c r="H1210" t="s"/>
      <c r="I1210" t="s"/>
      <c r="J1210" t="n">
        <v>0</v>
      </c>
      <c r="K1210" t="n">
        <v>0</v>
      </c>
      <c r="L1210" t="n">
        <v>1</v>
      </c>
      <c r="M1210" t="n">
        <v>0</v>
      </c>
    </row>
    <row r="1211" spans="1:13">
      <c r="A1211" s="1">
        <f>HYPERLINK("http://www.twitter.com/NathanBLawrence/status/987444467274665984", "987444467274665984")</f>
        <v/>
      </c>
      <c r="B1211" s="2" t="n">
        <v>43210.89908564815</v>
      </c>
      <c r="C1211" t="n">
        <v>2</v>
      </c>
      <c r="D1211" t="n">
        <v>1</v>
      </c>
      <c r="E1211" t="s">
        <v>1221</v>
      </c>
      <c r="F1211" t="s"/>
      <c r="G1211" t="s"/>
      <c r="H1211" t="s"/>
      <c r="I1211" t="s"/>
      <c r="J1211" t="n">
        <v>-0.4404</v>
      </c>
      <c r="K1211" t="n">
        <v>0.244</v>
      </c>
      <c r="L1211" t="n">
        <v>0.756</v>
      </c>
      <c r="M1211" t="n">
        <v>0</v>
      </c>
    </row>
    <row r="1212" spans="1:13">
      <c r="A1212" s="1">
        <f>HYPERLINK("http://www.twitter.com/NathanBLawrence/status/987443635196055552", "987443635196055552")</f>
        <v/>
      </c>
      <c r="B1212" s="2" t="n">
        <v>43210.89679398148</v>
      </c>
      <c r="C1212" t="n">
        <v>0</v>
      </c>
      <c r="D1212" t="n">
        <v>402</v>
      </c>
      <c r="E1212" t="s">
        <v>1222</v>
      </c>
      <c r="F1212">
        <f>HYPERLINK("http://pbs.twimg.com/media/DbQYNTtWkAUlO9O.jpg", "http://pbs.twimg.com/media/DbQYNTtWkAUlO9O.jpg")</f>
        <v/>
      </c>
      <c r="G1212" t="s"/>
      <c r="H1212" t="s"/>
      <c r="I1212" t="s"/>
      <c r="J1212" t="n">
        <v>0.5484</v>
      </c>
      <c r="K1212" t="n">
        <v>0.102</v>
      </c>
      <c r="L1212" t="n">
        <v>0.67</v>
      </c>
      <c r="M1212" t="n">
        <v>0.227</v>
      </c>
    </row>
    <row r="1213" spans="1:13">
      <c r="A1213" s="1">
        <f>HYPERLINK("http://www.twitter.com/NathanBLawrence/status/987442679054127104", "987442679054127104")</f>
        <v/>
      </c>
      <c r="B1213" s="2" t="n">
        <v>43210.8941550926</v>
      </c>
      <c r="C1213" t="n">
        <v>0</v>
      </c>
      <c r="D1213" t="n">
        <v>136</v>
      </c>
      <c r="E1213" t="s">
        <v>1223</v>
      </c>
      <c r="F1213">
        <f>HYPERLINK("http://pbs.twimg.com/media/DbAS998XkAAcpi0.jpg", "http://pbs.twimg.com/media/DbAS998XkAAcpi0.jpg")</f>
        <v/>
      </c>
      <c r="G1213" t="s"/>
      <c r="H1213" t="s"/>
      <c r="I1213" t="s"/>
      <c r="J1213" t="n">
        <v>0</v>
      </c>
      <c r="K1213" t="n">
        <v>0</v>
      </c>
      <c r="L1213" t="n">
        <v>1</v>
      </c>
      <c r="M1213" t="n">
        <v>0</v>
      </c>
    </row>
    <row r="1214" spans="1:13">
      <c r="A1214" s="1">
        <f>HYPERLINK("http://www.twitter.com/NathanBLawrence/status/987442369359368192", "987442369359368192")</f>
        <v/>
      </c>
      <c r="B1214" s="2" t="n">
        <v>43210.89329861111</v>
      </c>
      <c r="C1214" t="n">
        <v>0</v>
      </c>
      <c r="D1214" t="n">
        <v>97</v>
      </c>
      <c r="E1214" t="s">
        <v>1224</v>
      </c>
      <c r="F1214">
        <f>HYPERLINK("http://pbs.twimg.com/media/DbAbN5dWAAASAUk.jpg", "http://pbs.twimg.com/media/DbAbN5dWAAASAUk.jpg")</f>
        <v/>
      </c>
      <c r="G1214" t="s"/>
      <c r="H1214" t="s"/>
      <c r="I1214" t="s"/>
      <c r="J1214" t="n">
        <v>0</v>
      </c>
      <c r="K1214" t="n">
        <v>0</v>
      </c>
      <c r="L1214" t="n">
        <v>1</v>
      </c>
      <c r="M1214" t="n">
        <v>0</v>
      </c>
    </row>
    <row r="1215" spans="1:13">
      <c r="A1215" s="1">
        <f>HYPERLINK("http://www.twitter.com/NathanBLawrence/status/987440829936553984", "987440829936553984")</f>
        <v/>
      </c>
      <c r="B1215" s="2" t="n">
        <v>43210.88905092593</v>
      </c>
      <c r="C1215" t="n">
        <v>0</v>
      </c>
      <c r="D1215" t="n">
        <v>169</v>
      </c>
      <c r="E1215" t="s">
        <v>1225</v>
      </c>
      <c r="F1215">
        <f>HYPERLINK("https://video.twimg.com/ext_tw_video/987339068299079680/pu/vid/318x180/He1wzxNy9orktMd1.mp4?tag=3", "https://video.twimg.com/ext_tw_video/987339068299079680/pu/vid/318x180/He1wzxNy9orktMd1.mp4?tag=3")</f>
        <v/>
      </c>
      <c r="G1215" t="s"/>
      <c r="H1215" t="s"/>
      <c r="I1215" t="s"/>
      <c r="J1215" t="n">
        <v>0.8439</v>
      </c>
      <c r="K1215" t="n">
        <v>0</v>
      </c>
      <c r="L1215" t="n">
        <v>0.652</v>
      </c>
      <c r="M1215" t="n">
        <v>0.348</v>
      </c>
    </row>
    <row r="1216" spans="1:13">
      <c r="A1216" s="1">
        <f>HYPERLINK("http://www.twitter.com/NathanBLawrence/status/987440597861482496", "987440597861482496")</f>
        <v/>
      </c>
      <c r="B1216" s="2" t="n">
        <v>43210.88840277777</v>
      </c>
      <c r="C1216" t="n">
        <v>0</v>
      </c>
      <c r="D1216" t="n">
        <v>428</v>
      </c>
      <c r="E1216" t="s">
        <v>1226</v>
      </c>
      <c r="F1216" t="s"/>
      <c r="G1216" t="s"/>
      <c r="H1216" t="s"/>
      <c r="I1216" t="s"/>
      <c r="J1216" t="n">
        <v>-0.5106000000000001</v>
      </c>
      <c r="K1216" t="n">
        <v>0.148</v>
      </c>
      <c r="L1216" t="n">
        <v>0.852</v>
      </c>
      <c r="M1216" t="n">
        <v>0</v>
      </c>
    </row>
    <row r="1217" spans="1:13">
      <c r="A1217" s="1">
        <f>HYPERLINK("http://www.twitter.com/NathanBLawrence/status/987440383238918144", "987440383238918144")</f>
        <v/>
      </c>
      <c r="B1217" s="2" t="n">
        <v>43210.8878125</v>
      </c>
      <c r="C1217" t="n">
        <v>29</v>
      </c>
      <c r="D1217" t="n">
        <v>14</v>
      </c>
      <c r="E1217" t="s">
        <v>1227</v>
      </c>
      <c r="F1217" t="s"/>
      <c r="G1217" t="s"/>
      <c r="H1217" t="s"/>
      <c r="I1217" t="s"/>
      <c r="J1217" t="n">
        <v>0.8439</v>
      </c>
      <c r="K1217" t="n">
        <v>0</v>
      </c>
      <c r="L1217" t="n">
        <v>0.41</v>
      </c>
      <c r="M1217" t="n">
        <v>0.59</v>
      </c>
    </row>
    <row r="1218" spans="1:13">
      <c r="A1218" s="1">
        <f>HYPERLINK("http://www.twitter.com/NathanBLawrence/status/987413247593627648", "987413247593627648")</f>
        <v/>
      </c>
      <c r="B1218" s="2" t="n">
        <v>43210.81293981482</v>
      </c>
      <c r="C1218" t="n">
        <v>4</v>
      </c>
      <c r="D1218" t="n">
        <v>4</v>
      </c>
      <c r="E1218" t="s">
        <v>1228</v>
      </c>
      <c r="F1218" t="s"/>
      <c r="G1218" t="s"/>
      <c r="H1218" t="s"/>
      <c r="I1218" t="s"/>
      <c r="J1218" t="n">
        <v>0</v>
      </c>
      <c r="K1218" t="n">
        <v>0</v>
      </c>
      <c r="L1218" t="n">
        <v>1</v>
      </c>
      <c r="M1218" t="n">
        <v>0</v>
      </c>
    </row>
    <row r="1219" spans="1:13">
      <c r="A1219" s="1">
        <f>HYPERLINK("http://www.twitter.com/NathanBLawrence/status/987412725662793728", "987412725662793728")</f>
        <v/>
      </c>
      <c r="B1219" s="2" t="n">
        <v>43210.81149305555</v>
      </c>
      <c r="C1219" t="n">
        <v>4</v>
      </c>
      <c r="D1219" t="n">
        <v>0</v>
      </c>
      <c r="E1219" t="s">
        <v>1229</v>
      </c>
      <c r="F1219" t="s"/>
      <c r="G1219" t="s"/>
      <c r="H1219" t="s"/>
      <c r="I1219" t="s"/>
      <c r="J1219" t="n">
        <v>0</v>
      </c>
      <c r="K1219" t="n">
        <v>0</v>
      </c>
      <c r="L1219" t="n">
        <v>1</v>
      </c>
      <c r="M1219" t="n">
        <v>0</v>
      </c>
    </row>
    <row r="1220" spans="1:13">
      <c r="A1220" s="1">
        <f>HYPERLINK("http://www.twitter.com/NathanBLawrence/status/987411099149484032", "987411099149484032")</f>
        <v/>
      </c>
      <c r="B1220" s="2" t="n">
        <v>43210.80700231482</v>
      </c>
      <c r="C1220" t="n">
        <v>0</v>
      </c>
      <c r="D1220" t="n">
        <v>510</v>
      </c>
      <c r="E1220" t="s">
        <v>1230</v>
      </c>
      <c r="F1220">
        <f>HYPERLINK("http://pbs.twimg.com/media/DbO0JXwX0AArQNd.jpg", "http://pbs.twimg.com/media/DbO0JXwX0AArQNd.jpg")</f>
        <v/>
      </c>
      <c r="G1220" t="s"/>
      <c r="H1220" t="s"/>
      <c r="I1220" t="s"/>
      <c r="J1220" t="n">
        <v>0</v>
      </c>
      <c r="K1220" t="n">
        <v>0</v>
      </c>
      <c r="L1220" t="n">
        <v>1</v>
      </c>
      <c r="M1220" t="n">
        <v>0</v>
      </c>
    </row>
    <row r="1221" spans="1:13">
      <c r="A1221" s="1">
        <f>HYPERLINK("http://www.twitter.com/NathanBLawrence/status/987410958061527040", "987410958061527040")</f>
        <v/>
      </c>
      <c r="B1221" s="2" t="n">
        <v>43210.80662037037</v>
      </c>
      <c r="C1221" t="n">
        <v>0</v>
      </c>
      <c r="D1221" t="n">
        <v>83</v>
      </c>
      <c r="E1221" t="s">
        <v>1231</v>
      </c>
      <c r="F1221">
        <f>HYPERLINK("http://pbs.twimg.com/media/DbPqWCuXUAE9Ux0.jpg", "http://pbs.twimg.com/media/DbPqWCuXUAE9Ux0.jpg")</f>
        <v/>
      </c>
      <c r="G1221" t="s"/>
      <c r="H1221" t="s"/>
      <c r="I1221" t="s"/>
      <c r="J1221" t="n">
        <v>0.4019</v>
      </c>
      <c r="K1221" t="n">
        <v>0</v>
      </c>
      <c r="L1221" t="n">
        <v>0.837</v>
      </c>
      <c r="M1221" t="n">
        <v>0.163</v>
      </c>
    </row>
    <row r="1222" spans="1:13">
      <c r="A1222" s="1">
        <f>HYPERLINK("http://www.twitter.com/NathanBLawrence/status/987410784509571072", "987410784509571072")</f>
        <v/>
      </c>
      <c r="B1222" s="2" t="n">
        <v>43210.80613425926</v>
      </c>
      <c r="C1222" t="n">
        <v>0</v>
      </c>
      <c r="D1222" t="n">
        <v>51</v>
      </c>
      <c r="E1222" t="s">
        <v>1232</v>
      </c>
      <c r="F1222">
        <f>HYPERLINK("http://pbs.twimg.com/media/DbP3LLCVwAAbkZH.jpg", "http://pbs.twimg.com/media/DbP3LLCVwAAbkZH.jpg")</f>
        <v/>
      </c>
      <c r="G1222" t="s"/>
      <c r="H1222" t="s"/>
      <c r="I1222" t="s"/>
      <c r="J1222" t="n">
        <v>-0.3182</v>
      </c>
      <c r="K1222" t="n">
        <v>0.103</v>
      </c>
      <c r="L1222" t="n">
        <v>0.897</v>
      </c>
      <c r="M1222" t="n">
        <v>0</v>
      </c>
    </row>
    <row r="1223" spans="1:13">
      <c r="A1223" s="1">
        <f>HYPERLINK("http://www.twitter.com/NathanBLawrence/status/987409943870361600", "987409943870361600")</f>
        <v/>
      </c>
      <c r="B1223" s="2" t="n">
        <v>43210.80381944445</v>
      </c>
      <c r="C1223" t="n">
        <v>4</v>
      </c>
      <c r="D1223" t="n">
        <v>2</v>
      </c>
      <c r="E1223" t="s">
        <v>1233</v>
      </c>
      <c r="F1223" t="s"/>
      <c r="G1223" t="s"/>
      <c r="H1223" t="s"/>
      <c r="I1223" t="s"/>
      <c r="J1223" t="n">
        <v>-0.128</v>
      </c>
      <c r="K1223" t="n">
        <v>0.111</v>
      </c>
      <c r="L1223" t="n">
        <v>0.889</v>
      </c>
      <c r="M1223" t="n">
        <v>0</v>
      </c>
    </row>
    <row r="1224" spans="1:13">
      <c r="A1224" s="1">
        <f>HYPERLINK("http://www.twitter.com/NathanBLawrence/status/987409740635430912", "987409740635430912")</f>
        <v/>
      </c>
      <c r="B1224" s="2" t="n">
        <v>43210.80326388889</v>
      </c>
      <c r="C1224" t="n">
        <v>2</v>
      </c>
      <c r="D1224" t="n">
        <v>1</v>
      </c>
      <c r="E1224" t="s">
        <v>1234</v>
      </c>
      <c r="F1224" t="s"/>
      <c r="G1224" t="s"/>
      <c r="H1224" t="s"/>
      <c r="I1224" t="s"/>
      <c r="J1224" t="n">
        <v>0.4019</v>
      </c>
      <c r="K1224" t="n">
        <v>0</v>
      </c>
      <c r="L1224" t="n">
        <v>0.838</v>
      </c>
      <c r="M1224" t="n">
        <v>0.162</v>
      </c>
    </row>
    <row r="1225" spans="1:13">
      <c r="A1225" s="1">
        <f>HYPERLINK("http://www.twitter.com/NathanBLawrence/status/987409206440378368", "987409206440378368")</f>
        <v/>
      </c>
      <c r="B1225" s="2" t="n">
        <v>43210.8017824074</v>
      </c>
      <c r="C1225" t="n">
        <v>0</v>
      </c>
      <c r="D1225" t="n">
        <v>69</v>
      </c>
      <c r="E1225" t="s">
        <v>1235</v>
      </c>
      <c r="F1225">
        <f>HYPERLINK("http://pbs.twimg.com/media/DbPTadvX0AEo_yG.jpg", "http://pbs.twimg.com/media/DbPTadvX0AEo_yG.jpg")</f>
        <v/>
      </c>
      <c r="G1225" t="s"/>
      <c r="H1225" t="s"/>
      <c r="I1225" t="s"/>
      <c r="J1225" t="n">
        <v>-0.5423</v>
      </c>
      <c r="K1225" t="n">
        <v>0.163</v>
      </c>
      <c r="L1225" t="n">
        <v>0.837</v>
      </c>
      <c r="M1225" t="n">
        <v>0</v>
      </c>
    </row>
    <row r="1226" spans="1:13">
      <c r="A1226" s="1">
        <f>HYPERLINK("http://www.twitter.com/NathanBLawrence/status/987409118196461568", "987409118196461568")</f>
        <v/>
      </c>
      <c r="B1226" s="2" t="n">
        <v>43210.80153935185</v>
      </c>
      <c r="C1226" t="n">
        <v>0</v>
      </c>
      <c r="D1226" t="n">
        <v>160</v>
      </c>
      <c r="E1226" t="s">
        <v>1236</v>
      </c>
      <c r="F1226">
        <f>HYPERLINK("https://video.twimg.com/amplify_video/987363600879759360/vid/1280x720/L5tpSQ6GIhUAQgH6.mp4?tag=6", "https://video.twimg.com/amplify_video/987363600879759360/vid/1280x720/L5tpSQ6GIhUAQgH6.mp4?tag=6")</f>
        <v/>
      </c>
      <c r="G1226" t="s"/>
      <c r="H1226" t="s"/>
      <c r="I1226" t="s"/>
      <c r="J1226" t="n">
        <v>0</v>
      </c>
      <c r="K1226" t="n">
        <v>0</v>
      </c>
      <c r="L1226" t="n">
        <v>1</v>
      </c>
      <c r="M1226" t="n">
        <v>0</v>
      </c>
    </row>
    <row r="1227" spans="1:13">
      <c r="A1227" s="1">
        <f>HYPERLINK("http://www.twitter.com/NathanBLawrence/status/987408962185121792", "987408962185121792")</f>
        <v/>
      </c>
      <c r="B1227" s="2" t="n">
        <v>43210.80111111111</v>
      </c>
      <c r="C1227" t="n">
        <v>0</v>
      </c>
      <c r="D1227" t="n">
        <v>159</v>
      </c>
      <c r="E1227" t="s">
        <v>1237</v>
      </c>
      <c r="F1227">
        <f>HYPERLINK("http://pbs.twimg.com/media/DbPlUk_XcAIcmlY.jpg", "http://pbs.twimg.com/media/DbPlUk_XcAIcmlY.jpg")</f>
        <v/>
      </c>
      <c r="G1227" t="s"/>
      <c r="H1227" t="s"/>
      <c r="I1227" t="s"/>
      <c r="J1227" t="n">
        <v>0.7562</v>
      </c>
      <c r="K1227" t="n">
        <v>0.184</v>
      </c>
      <c r="L1227" t="n">
        <v>0.434</v>
      </c>
      <c r="M1227" t="n">
        <v>0.382</v>
      </c>
    </row>
    <row r="1228" spans="1:13">
      <c r="A1228" s="1">
        <f>HYPERLINK("http://www.twitter.com/NathanBLawrence/status/987408872796143616", "987408872796143616")</f>
        <v/>
      </c>
      <c r="B1228" s="2" t="n">
        <v>43210.80086805556</v>
      </c>
      <c r="C1228" t="n">
        <v>0</v>
      </c>
      <c r="D1228" t="n">
        <v>250</v>
      </c>
      <c r="E1228" t="s">
        <v>1238</v>
      </c>
      <c r="F1228" t="s"/>
      <c r="G1228" t="s"/>
      <c r="H1228" t="s"/>
      <c r="I1228" t="s"/>
      <c r="J1228" t="n">
        <v>0.2023</v>
      </c>
      <c r="K1228" t="n">
        <v>0</v>
      </c>
      <c r="L1228" t="n">
        <v>0.833</v>
      </c>
      <c r="M1228" t="n">
        <v>0.167</v>
      </c>
    </row>
    <row r="1229" spans="1:13">
      <c r="A1229" s="1">
        <f>HYPERLINK("http://www.twitter.com/NathanBLawrence/status/987408413863788544", "987408413863788544")</f>
        <v/>
      </c>
      <c r="B1229" s="2" t="n">
        <v>43210.79959490741</v>
      </c>
      <c r="C1229" t="n">
        <v>0</v>
      </c>
      <c r="D1229" t="n">
        <v>1200</v>
      </c>
      <c r="E1229" t="s">
        <v>1239</v>
      </c>
      <c r="F1229" t="s"/>
      <c r="G1229" t="s"/>
      <c r="H1229" t="s"/>
      <c r="I1229" t="s"/>
      <c r="J1229" t="n">
        <v>-0.2263</v>
      </c>
      <c r="K1229" t="n">
        <v>0.145</v>
      </c>
      <c r="L1229" t="n">
        <v>0.706</v>
      </c>
      <c r="M1229" t="n">
        <v>0.149</v>
      </c>
    </row>
    <row r="1230" spans="1:13">
      <c r="A1230" s="1">
        <f>HYPERLINK("http://www.twitter.com/NathanBLawrence/status/987408111580299264", "987408111580299264")</f>
        <v/>
      </c>
      <c r="B1230" s="2" t="n">
        <v>43210.79876157407</v>
      </c>
      <c r="C1230" t="n">
        <v>0</v>
      </c>
      <c r="D1230" t="n">
        <v>25346</v>
      </c>
      <c r="E1230" t="s">
        <v>1240</v>
      </c>
      <c r="F1230" t="s"/>
      <c r="G1230" t="s"/>
      <c r="H1230" t="s"/>
      <c r="I1230" t="s"/>
      <c r="J1230" t="n">
        <v>-0.6669</v>
      </c>
      <c r="K1230" t="n">
        <v>0.283</v>
      </c>
      <c r="L1230" t="n">
        <v>0.624</v>
      </c>
      <c r="M1230" t="n">
        <v>0.094</v>
      </c>
    </row>
    <row r="1231" spans="1:13">
      <c r="A1231" s="1">
        <f>HYPERLINK("http://www.twitter.com/NathanBLawrence/status/987408048216981505", "987408048216981505")</f>
        <v/>
      </c>
      <c r="B1231" s="2" t="n">
        <v>43210.79858796296</v>
      </c>
      <c r="C1231" t="n">
        <v>0</v>
      </c>
      <c r="D1231" t="n">
        <v>30158</v>
      </c>
      <c r="E1231" t="s">
        <v>1241</v>
      </c>
      <c r="F1231" t="s"/>
      <c r="G1231" t="s"/>
      <c r="H1231" t="s"/>
      <c r="I1231" t="s"/>
      <c r="J1231" t="n">
        <v>-0.7089</v>
      </c>
      <c r="K1231" t="n">
        <v>0.211</v>
      </c>
      <c r="L1231" t="n">
        <v>0.789</v>
      </c>
      <c r="M1231" t="n">
        <v>0</v>
      </c>
    </row>
    <row r="1232" spans="1:13">
      <c r="A1232" s="1">
        <f>HYPERLINK("http://www.twitter.com/NathanBLawrence/status/987407867425652736", "987407867425652736")</f>
        <v/>
      </c>
      <c r="B1232" s="2" t="n">
        <v>43210.79809027778</v>
      </c>
      <c r="C1232" t="n">
        <v>0</v>
      </c>
      <c r="D1232" t="n">
        <v>1135</v>
      </c>
      <c r="E1232" t="s">
        <v>1242</v>
      </c>
      <c r="F1232">
        <f>HYPERLINK("https://video.twimg.com/amplify_video/987384164432392192/vid/1280x720/sZNI2m1d5KpW_OdV.mp4?tag=6", "https://video.twimg.com/amplify_video/987384164432392192/vid/1280x720/sZNI2m1d5KpW_OdV.mp4?tag=6")</f>
        <v/>
      </c>
      <c r="G1232" t="s"/>
      <c r="H1232" t="s"/>
      <c r="I1232" t="s"/>
      <c r="J1232" t="n">
        <v>-0.4767</v>
      </c>
      <c r="K1232" t="n">
        <v>0.225</v>
      </c>
      <c r="L1232" t="n">
        <v>0.672</v>
      </c>
      <c r="M1232" t="n">
        <v>0.103</v>
      </c>
    </row>
    <row r="1233" spans="1:13">
      <c r="A1233" s="1">
        <f>HYPERLINK("http://www.twitter.com/NathanBLawrence/status/987407541654073345", "987407541654073345")</f>
        <v/>
      </c>
      <c r="B1233" s="2" t="n">
        <v>43210.7971875</v>
      </c>
      <c r="C1233" t="n">
        <v>0</v>
      </c>
      <c r="D1233" t="n">
        <v>510</v>
      </c>
      <c r="E1233" t="s">
        <v>1243</v>
      </c>
      <c r="F1233" t="s"/>
      <c r="G1233" t="s"/>
      <c r="H1233" t="s"/>
      <c r="I1233" t="s"/>
      <c r="J1233" t="n">
        <v>-0.1511</v>
      </c>
      <c r="K1233" t="n">
        <v>0.074</v>
      </c>
      <c r="L1233" t="n">
        <v>0.926</v>
      </c>
      <c r="M1233" t="n">
        <v>0</v>
      </c>
    </row>
    <row r="1234" spans="1:13">
      <c r="A1234" s="1">
        <f>HYPERLINK("http://www.twitter.com/NathanBLawrence/status/987406969328685057", "987406969328685057")</f>
        <v/>
      </c>
      <c r="B1234" s="2" t="n">
        <v>43210.79561342593</v>
      </c>
      <c r="C1234" t="n">
        <v>0</v>
      </c>
      <c r="D1234" t="n">
        <v>1581</v>
      </c>
      <c r="E1234" t="s">
        <v>1244</v>
      </c>
      <c r="F1234">
        <f>HYPERLINK("http://pbs.twimg.com/media/DbAE6JMXUAAFn3l.jpg", "http://pbs.twimg.com/media/DbAE6JMXUAAFn3l.jpg")</f>
        <v/>
      </c>
      <c r="G1234" t="s"/>
      <c r="H1234" t="s"/>
      <c r="I1234" t="s"/>
      <c r="J1234" t="n">
        <v>0</v>
      </c>
      <c r="K1234" t="n">
        <v>0</v>
      </c>
      <c r="L1234" t="n">
        <v>1</v>
      </c>
      <c r="M1234" t="n">
        <v>0</v>
      </c>
    </row>
    <row r="1235" spans="1:13">
      <c r="A1235" s="1">
        <f>HYPERLINK("http://www.twitter.com/NathanBLawrence/status/987406894565244928", "987406894565244928")</f>
        <v/>
      </c>
      <c r="B1235" s="2" t="n">
        <v>43210.79540509259</v>
      </c>
      <c r="C1235" t="n">
        <v>0</v>
      </c>
      <c r="D1235" t="n">
        <v>253</v>
      </c>
      <c r="E1235" t="s">
        <v>1245</v>
      </c>
      <c r="F1235">
        <f>HYPERLINK("http://pbs.twimg.com/media/DbPPdfeVQAABJfL.jpg", "http://pbs.twimg.com/media/DbPPdfeVQAABJfL.jpg")</f>
        <v/>
      </c>
      <c r="G1235" t="s"/>
      <c r="H1235" t="s"/>
      <c r="I1235" t="s"/>
      <c r="J1235" t="n">
        <v>-0.5994</v>
      </c>
      <c r="K1235" t="n">
        <v>0.157</v>
      </c>
      <c r="L1235" t="n">
        <v>0.843</v>
      </c>
      <c r="M1235" t="n">
        <v>0</v>
      </c>
    </row>
    <row r="1236" spans="1:13">
      <c r="A1236" s="1">
        <f>HYPERLINK("http://www.twitter.com/NathanBLawrence/status/987406400446840832", "987406400446840832")</f>
        <v/>
      </c>
      <c r="B1236" s="2" t="n">
        <v>43210.79403935185</v>
      </c>
      <c r="C1236" t="n">
        <v>2</v>
      </c>
      <c r="D1236" t="n">
        <v>0</v>
      </c>
      <c r="E1236" t="s">
        <v>1246</v>
      </c>
      <c r="F1236" t="s"/>
      <c r="G1236" t="s"/>
      <c r="H1236" t="s"/>
      <c r="I1236" t="s"/>
      <c r="J1236" t="n">
        <v>-0.5106000000000001</v>
      </c>
      <c r="K1236" t="n">
        <v>0.231</v>
      </c>
      <c r="L1236" t="n">
        <v>0.769</v>
      </c>
      <c r="M1236" t="n">
        <v>0</v>
      </c>
    </row>
    <row r="1237" spans="1:13">
      <c r="A1237" s="1">
        <f>HYPERLINK("http://www.twitter.com/NathanBLawrence/status/987406084947128321", "987406084947128321")</f>
        <v/>
      </c>
      <c r="B1237" s="2" t="n">
        <v>43210.7931712963</v>
      </c>
      <c r="C1237" t="n">
        <v>0</v>
      </c>
      <c r="D1237" t="n">
        <v>2447</v>
      </c>
      <c r="E1237" t="s">
        <v>1247</v>
      </c>
      <c r="F1237">
        <f>HYPERLINK("https://video.twimg.com/ext_tw_video/982698565515599875/pu/vid/486x360/vUALDZXlqUJ1X1gY.mp4?tag=2", "https://video.twimg.com/ext_tw_video/982698565515599875/pu/vid/486x360/vUALDZXlqUJ1X1gY.mp4?tag=2")</f>
        <v/>
      </c>
      <c r="G1237" t="s"/>
      <c r="H1237" t="s"/>
      <c r="I1237" t="s"/>
      <c r="J1237" t="n">
        <v>0.6705</v>
      </c>
      <c r="K1237" t="n">
        <v>0</v>
      </c>
      <c r="L1237" t="n">
        <v>0.792</v>
      </c>
      <c r="M1237" t="n">
        <v>0.208</v>
      </c>
    </row>
    <row r="1238" spans="1:13">
      <c r="A1238" s="1">
        <f>HYPERLINK("http://www.twitter.com/NathanBLawrence/status/987406010934374406", "987406010934374406")</f>
        <v/>
      </c>
      <c r="B1238" s="2" t="n">
        <v>43210.79296296297</v>
      </c>
      <c r="C1238" t="n">
        <v>0</v>
      </c>
      <c r="D1238" t="n">
        <v>861</v>
      </c>
      <c r="E1238" t="s">
        <v>1248</v>
      </c>
      <c r="F1238">
        <f>HYPERLINK("http://pbs.twimg.com/media/DbPHZaiW4AAG6ZB.jpg", "http://pbs.twimg.com/media/DbPHZaiW4AAG6ZB.jpg")</f>
        <v/>
      </c>
      <c r="G1238" t="s"/>
      <c r="H1238" t="s"/>
      <c r="I1238" t="s"/>
      <c r="J1238" t="n">
        <v>-0.3818</v>
      </c>
      <c r="K1238" t="n">
        <v>0.196</v>
      </c>
      <c r="L1238" t="n">
        <v>0.699</v>
      </c>
      <c r="M1238" t="n">
        <v>0.105</v>
      </c>
    </row>
    <row r="1239" spans="1:13">
      <c r="A1239" s="1">
        <f>HYPERLINK("http://www.twitter.com/NathanBLawrence/status/987226444207017989", "987226444207017989")</f>
        <v/>
      </c>
      <c r="B1239" s="2" t="n">
        <v>43210.2974537037</v>
      </c>
      <c r="C1239" t="n">
        <v>0</v>
      </c>
      <c r="D1239" t="n">
        <v>448</v>
      </c>
      <c r="E1239" t="s">
        <v>1249</v>
      </c>
      <c r="F1239">
        <f>HYPERLINK("http://pbs.twimg.com/media/DbMR0fqU8AAez0_.jpg", "http://pbs.twimg.com/media/DbMR0fqU8AAez0_.jpg")</f>
        <v/>
      </c>
      <c r="G1239" t="s"/>
      <c r="H1239" t="s"/>
      <c r="I1239" t="s"/>
      <c r="J1239" t="n">
        <v>0.296</v>
      </c>
      <c r="K1239" t="n">
        <v>0</v>
      </c>
      <c r="L1239" t="n">
        <v>0.905</v>
      </c>
      <c r="M1239" t="n">
        <v>0.095</v>
      </c>
    </row>
    <row r="1240" spans="1:13">
      <c r="A1240" s="1">
        <f>HYPERLINK("http://www.twitter.com/NathanBLawrence/status/987225655992500224", "987225655992500224")</f>
        <v/>
      </c>
      <c r="B1240" s="2" t="n">
        <v>43210.29527777778</v>
      </c>
      <c r="C1240" t="n">
        <v>0</v>
      </c>
      <c r="D1240" t="n">
        <v>135</v>
      </c>
      <c r="E1240" t="s">
        <v>1250</v>
      </c>
      <c r="F1240">
        <f>HYPERLINK("http://pbs.twimg.com/media/Da_3dQxV4AE5DJm.jpg", "http://pbs.twimg.com/media/Da_3dQxV4AE5DJm.jpg")</f>
        <v/>
      </c>
      <c r="G1240" t="s"/>
      <c r="H1240" t="s"/>
      <c r="I1240" t="s"/>
      <c r="J1240" t="n">
        <v>0</v>
      </c>
      <c r="K1240" t="n">
        <v>0</v>
      </c>
      <c r="L1240" t="n">
        <v>1</v>
      </c>
      <c r="M1240" t="n">
        <v>0</v>
      </c>
    </row>
    <row r="1241" spans="1:13">
      <c r="A1241" s="1">
        <f>HYPERLINK("http://www.twitter.com/NathanBLawrence/status/987225329730076674", "987225329730076674")</f>
        <v/>
      </c>
      <c r="B1241" s="2" t="n">
        <v>43210.29438657407</v>
      </c>
      <c r="C1241" t="n">
        <v>0</v>
      </c>
      <c r="D1241" t="n">
        <v>5</v>
      </c>
      <c r="E1241" t="s">
        <v>1251</v>
      </c>
      <c r="F1241">
        <f>HYPERLINK("http://pbs.twimg.com/media/DbNTeFwU8AAJOFV.jpg", "http://pbs.twimg.com/media/DbNTeFwU8AAJOFV.jpg")</f>
        <v/>
      </c>
      <c r="G1241" t="s"/>
      <c r="H1241" t="s"/>
      <c r="I1241" t="s"/>
      <c r="J1241" t="n">
        <v>0</v>
      </c>
      <c r="K1241" t="n">
        <v>0</v>
      </c>
      <c r="L1241" t="n">
        <v>1</v>
      </c>
      <c r="M1241" t="n">
        <v>0</v>
      </c>
    </row>
    <row r="1242" spans="1:13">
      <c r="A1242" s="1">
        <f>HYPERLINK("http://www.twitter.com/NathanBLawrence/status/987225260851322880", "987225260851322880")</f>
        <v/>
      </c>
      <c r="B1242" s="2" t="n">
        <v>43210.29418981481</v>
      </c>
      <c r="C1242" t="n">
        <v>13</v>
      </c>
      <c r="D1242" t="n">
        <v>3</v>
      </c>
      <c r="E1242" t="s">
        <v>1252</v>
      </c>
      <c r="F1242" t="s"/>
      <c r="G1242" t="s"/>
      <c r="H1242" t="s"/>
      <c r="I1242" t="s"/>
      <c r="J1242" t="n">
        <v>0.8478</v>
      </c>
      <c r="K1242" t="n">
        <v>0</v>
      </c>
      <c r="L1242" t="n">
        <v>0.461</v>
      </c>
      <c r="M1242" t="n">
        <v>0.539</v>
      </c>
    </row>
    <row r="1243" spans="1:13">
      <c r="A1243" s="1">
        <f>HYPERLINK("http://www.twitter.com/NathanBLawrence/status/987224831413252096", "987224831413252096")</f>
        <v/>
      </c>
      <c r="B1243" s="2" t="n">
        <v>43210.29300925926</v>
      </c>
      <c r="C1243" t="n">
        <v>0</v>
      </c>
      <c r="D1243" t="n">
        <v>291</v>
      </c>
      <c r="E1243" t="s">
        <v>1253</v>
      </c>
      <c r="F1243">
        <f>HYPERLINK("http://pbs.twimg.com/media/DbKe2baVwAAp0rY.jpg", "http://pbs.twimg.com/media/DbKe2baVwAAp0rY.jpg")</f>
        <v/>
      </c>
      <c r="G1243" t="s"/>
      <c r="H1243" t="s"/>
      <c r="I1243" t="s"/>
      <c r="J1243" t="n">
        <v>0.5461</v>
      </c>
      <c r="K1243" t="n">
        <v>0</v>
      </c>
      <c r="L1243" t="n">
        <v>0.85</v>
      </c>
      <c r="M1243" t="n">
        <v>0.15</v>
      </c>
    </row>
    <row r="1244" spans="1:13">
      <c r="A1244" s="1">
        <f>HYPERLINK("http://www.twitter.com/NathanBLawrence/status/987224459344953344", "987224459344953344")</f>
        <v/>
      </c>
      <c r="B1244" s="2" t="n">
        <v>43210.29197916666</v>
      </c>
      <c r="C1244" t="n">
        <v>0</v>
      </c>
      <c r="D1244" t="n">
        <v>1778</v>
      </c>
      <c r="E1244" t="s">
        <v>1254</v>
      </c>
      <c r="F1244">
        <f>HYPERLINK("http://pbs.twimg.com/media/DbKcQg9XkAIsyTU.jpg", "http://pbs.twimg.com/media/DbKcQg9XkAIsyTU.jpg")</f>
        <v/>
      </c>
      <c r="G1244" t="s"/>
      <c r="H1244" t="s"/>
      <c r="I1244" t="s"/>
      <c r="J1244" t="n">
        <v>0.7906</v>
      </c>
      <c r="K1244" t="n">
        <v>0.089</v>
      </c>
      <c r="L1244" t="n">
        <v>0.582</v>
      </c>
      <c r="M1244" t="n">
        <v>0.329</v>
      </c>
    </row>
    <row r="1245" spans="1:13">
      <c r="A1245" s="1">
        <f>HYPERLINK("http://www.twitter.com/NathanBLawrence/status/987224223822135297", "987224223822135297")</f>
        <v/>
      </c>
      <c r="B1245" s="2" t="n">
        <v>43210.29133101852</v>
      </c>
      <c r="C1245" t="n">
        <v>1</v>
      </c>
      <c r="D1245" t="n">
        <v>0</v>
      </c>
      <c r="E1245" t="s">
        <v>1255</v>
      </c>
      <c r="F1245" t="s"/>
      <c r="G1245" t="s"/>
      <c r="H1245" t="s"/>
      <c r="I1245" t="s"/>
      <c r="J1245" t="n">
        <v>0</v>
      </c>
      <c r="K1245" t="n">
        <v>0</v>
      </c>
      <c r="L1245" t="n">
        <v>1</v>
      </c>
      <c r="M1245" t="n">
        <v>0</v>
      </c>
    </row>
    <row r="1246" spans="1:13">
      <c r="A1246" s="1">
        <f>HYPERLINK("http://www.twitter.com/NathanBLawrence/status/987223994897059840", "987223994897059840")</f>
        <v/>
      </c>
      <c r="B1246" s="2" t="n">
        <v>43210.29069444445</v>
      </c>
      <c r="C1246" t="n">
        <v>0</v>
      </c>
      <c r="D1246" t="n">
        <v>194</v>
      </c>
      <c r="E1246" t="s">
        <v>1256</v>
      </c>
      <c r="F1246">
        <f>HYPERLINK("http://pbs.twimg.com/media/DbL7KICVQAE7q9c.jpg", "http://pbs.twimg.com/media/DbL7KICVQAE7q9c.jpg")</f>
        <v/>
      </c>
      <c r="G1246" t="s"/>
      <c r="H1246" t="s"/>
      <c r="I1246" t="s"/>
      <c r="J1246" t="n">
        <v>0</v>
      </c>
      <c r="K1246" t="n">
        <v>0</v>
      </c>
      <c r="L1246" t="n">
        <v>1</v>
      </c>
      <c r="M1246" t="n">
        <v>0</v>
      </c>
    </row>
    <row r="1247" spans="1:13">
      <c r="A1247" s="1">
        <f>HYPERLINK("http://www.twitter.com/NathanBLawrence/status/987223793553715200", "987223793553715200")</f>
        <v/>
      </c>
      <c r="B1247" s="2" t="n">
        <v>43210.29013888889</v>
      </c>
      <c r="C1247" t="n">
        <v>2</v>
      </c>
      <c r="D1247" t="n">
        <v>0</v>
      </c>
      <c r="E1247" t="s">
        <v>1257</v>
      </c>
      <c r="F1247" t="s"/>
      <c r="G1247" t="s"/>
      <c r="H1247" t="s"/>
      <c r="I1247" t="s"/>
      <c r="J1247" t="n">
        <v>-0.8979</v>
      </c>
      <c r="K1247" t="n">
        <v>0.52</v>
      </c>
      <c r="L1247" t="n">
        <v>0.48</v>
      </c>
      <c r="M1247" t="n">
        <v>0</v>
      </c>
    </row>
    <row r="1248" spans="1:13">
      <c r="A1248" s="1">
        <f>HYPERLINK("http://www.twitter.com/NathanBLawrence/status/987223572987887616", "987223572987887616")</f>
        <v/>
      </c>
      <c r="B1248" s="2" t="n">
        <v>43210.28953703704</v>
      </c>
      <c r="C1248" t="n">
        <v>4</v>
      </c>
      <c r="D1248" t="n">
        <v>2</v>
      </c>
      <c r="E1248" t="s">
        <v>1258</v>
      </c>
      <c r="F1248" t="s"/>
      <c r="G1248" t="s"/>
      <c r="H1248" t="s"/>
      <c r="I1248" t="s"/>
      <c r="J1248" t="n">
        <v>-0.4767</v>
      </c>
      <c r="K1248" t="n">
        <v>0.193</v>
      </c>
      <c r="L1248" t="n">
        <v>0.8070000000000001</v>
      </c>
      <c r="M1248" t="n">
        <v>0</v>
      </c>
    </row>
    <row r="1249" spans="1:13">
      <c r="A1249" s="1">
        <f>HYPERLINK("http://www.twitter.com/NathanBLawrence/status/987223308276875264", "987223308276875264")</f>
        <v/>
      </c>
      <c r="B1249" s="2" t="n">
        <v>43210.28880787037</v>
      </c>
      <c r="C1249" t="n">
        <v>3</v>
      </c>
      <c r="D1249" t="n">
        <v>1</v>
      </c>
      <c r="E1249" t="s">
        <v>1259</v>
      </c>
      <c r="F1249" t="s"/>
      <c r="G1249" t="s"/>
      <c r="H1249" t="s"/>
      <c r="I1249" t="s"/>
      <c r="J1249" t="n">
        <v>-0.6369</v>
      </c>
      <c r="K1249" t="n">
        <v>0.375</v>
      </c>
      <c r="L1249" t="n">
        <v>0.625</v>
      </c>
      <c r="M1249" t="n">
        <v>0</v>
      </c>
    </row>
    <row r="1250" spans="1:13">
      <c r="A1250" s="1">
        <f>HYPERLINK("http://www.twitter.com/NathanBLawrence/status/987220392346636289", "987220392346636289")</f>
        <v/>
      </c>
      <c r="B1250" s="2" t="n">
        <v>43210.28075231481</v>
      </c>
      <c r="C1250" t="n">
        <v>3</v>
      </c>
      <c r="D1250" t="n">
        <v>1</v>
      </c>
      <c r="E1250" t="s">
        <v>1260</v>
      </c>
      <c r="F1250" t="s"/>
      <c r="G1250" t="s"/>
      <c r="H1250" t="s"/>
      <c r="I1250" t="s"/>
      <c r="J1250" t="n">
        <v>0</v>
      </c>
      <c r="K1250" t="n">
        <v>0</v>
      </c>
      <c r="L1250" t="n">
        <v>1</v>
      </c>
      <c r="M1250" t="n">
        <v>0</v>
      </c>
    </row>
    <row r="1251" spans="1:13">
      <c r="A1251" s="1">
        <f>HYPERLINK("http://www.twitter.com/NathanBLawrence/status/987220156983193600", "987220156983193600")</f>
        <v/>
      </c>
      <c r="B1251" s="2" t="n">
        <v>43210.28010416667</v>
      </c>
      <c r="C1251" t="n">
        <v>0</v>
      </c>
      <c r="D1251" t="n">
        <v>0</v>
      </c>
      <c r="E1251" t="s">
        <v>1261</v>
      </c>
      <c r="F1251" t="s"/>
      <c r="G1251" t="s"/>
      <c r="H1251" t="s"/>
      <c r="I1251" t="s"/>
      <c r="J1251" t="n">
        <v>0</v>
      </c>
      <c r="K1251" t="n">
        <v>0</v>
      </c>
      <c r="L1251" t="n">
        <v>1</v>
      </c>
      <c r="M1251" t="n">
        <v>0</v>
      </c>
    </row>
    <row r="1252" spans="1:13">
      <c r="A1252" s="1">
        <f>HYPERLINK("http://www.twitter.com/NathanBLawrence/status/987219273784307712", "987219273784307712")</f>
        <v/>
      </c>
      <c r="B1252" s="2" t="n">
        <v>43210.27767361111</v>
      </c>
      <c r="C1252" t="n">
        <v>0</v>
      </c>
      <c r="D1252" t="n">
        <v>7397</v>
      </c>
      <c r="E1252" t="s">
        <v>1262</v>
      </c>
      <c r="F1252">
        <f>HYPERLINK("http://pbs.twimg.com/media/DbMcAH-UMAEiyi3.jpg", "http://pbs.twimg.com/media/DbMcAH-UMAEiyi3.jpg")</f>
        <v/>
      </c>
      <c r="G1252" t="s"/>
      <c r="H1252" t="s"/>
      <c r="I1252" t="s"/>
      <c r="J1252" t="n">
        <v>-0.128</v>
      </c>
      <c r="K1252" t="n">
        <v>0.158</v>
      </c>
      <c r="L1252" t="n">
        <v>0.667</v>
      </c>
      <c r="M1252" t="n">
        <v>0.175</v>
      </c>
    </row>
    <row r="1253" spans="1:13">
      <c r="A1253" s="1">
        <f>HYPERLINK("http://www.twitter.com/NathanBLawrence/status/987219106213474304", "987219106213474304")</f>
        <v/>
      </c>
      <c r="B1253" s="2" t="n">
        <v>43210.27721064815</v>
      </c>
      <c r="C1253" t="n">
        <v>0</v>
      </c>
      <c r="D1253" t="n">
        <v>89</v>
      </c>
      <c r="E1253" t="s">
        <v>1263</v>
      </c>
      <c r="F1253">
        <f>HYPERLINK("http://pbs.twimg.com/media/DbNBIfXVMAAUF1g.jpg", "http://pbs.twimg.com/media/DbNBIfXVMAAUF1g.jpg")</f>
        <v/>
      </c>
      <c r="G1253" t="s"/>
      <c r="H1253" t="s"/>
      <c r="I1253" t="s"/>
      <c r="J1253" t="n">
        <v>0.6892</v>
      </c>
      <c r="K1253" t="n">
        <v>0</v>
      </c>
      <c r="L1253" t="n">
        <v>0.795</v>
      </c>
      <c r="M1253" t="n">
        <v>0.205</v>
      </c>
    </row>
    <row r="1254" spans="1:13">
      <c r="A1254" s="1">
        <f>HYPERLINK("http://www.twitter.com/NathanBLawrence/status/987218467236409344", "987218467236409344")</f>
        <v/>
      </c>
      <c r="B1254" s="2" t="n">
        <v>43210.27543981482</v>
      </c>
      <c r="C1254" t="n">
        <v>0</v>
      </c>
      <c r="D1254" t="n">
        <v>152</v>
      </c>
      <c r="E1254" t="s">
        <v>1264</v>
      </c>
      <c r="F1254">
        <f>HYPERLINK("http://pbs.twimg.com/media/DbKd2KQUMAAHOjU.jpg", "http://pbs.twimg.com/media/DbKd2KQUMAAHOjU.jpg")</f>
        <v/>
      </c>
      <c r="G1254" t="s"/>
      <c r="H1254" t="s"/>
      <c r="I1254" t="s"/>
      <c r="J1254" t="n">
        <v>0.4215</v>
      </c>
      <c r="K1254" t="n">
        <v>0</v>
      </c>
      <c r="L1254" t="n">
        <v>0.847</v>
      </c>
      <c r="M1254" t="n">
        <v>0.153</v>
      </c>
    </row>
    <row r="1255" spans="1:13">
      <c r="A1255" s="1">
        <f>HYPERLINK("http://www.twitter.com/NathanBLawrence/status/987218221286678528", "987218221286678528")</f>
        <v/>
      </c>
      <c r="B1255" s="2" t="n">
        <v>43210.27476851852</v>
      </c>
      <c r="C1255" t="n">
        <v>5</v>
      </c>
      <c r="D1255" t="n">
        <v>2</v>
      </c>
      <c r="E1255" t="s">
        <v>1265</v>
      </c>
      <c r="F1255" t="s"/>
      <c r="G1255" t="s"/>
      <c r="H1255" t="s"/>
      <c r="I1255" t="s"/>
      <c r="J1255" t="n">
        <v>0</v>
      </c>
      <c r="K1255" t="n">
        <v>0</v>
      </c>
      <c r="L1255" t="n">
        <v>1</v>
      </c>
      <c r="M1255" t="n">
        <v>0</v>
      </c>
    </row>
    <row r="1256" spans="1:13">
      <c r="A1256" s="1">
        <f>HYPERLINK("http://www.twitter.com/NathanBLawrence/status/987217782612754432", "987217782612754432")</f>
        <v/>
      </c>
      <c r="B1256" s="2" t="n">
        <v>43210.27355324074</v>
      </c>
      <c r="C1256" t="n">
        <v>0</v>
      </c>
      <c r="D1256" t="n">
        <v>285</v>
      </c>
      <c r="E1256" t="s">
        <v>1266</v>
      </c>
      <c r="F1256">
        <f>HYPERLINK("http://pbs.twimg.com/media/DbMmsTsU8AEWiHL.jpg", "http://pbs.twimg.com/media/DbMmsTsU8AEWiHL.jpg")</f>
        <v/>
      </c>
      <c r="G1256" t="s"/>
      <c r="H1256" t="s"/>
      <c r="I1256" t="s"/>
      <c r="J1256" t="n">
        <v>0.4939</v>
      </c>
      <c r="K1256" t="n">
        <v>0</v>
      </c>
      <c r="L1256" t="n">
        <v>0.738</v>
      </c>
      <c r="M1256" t="n">
        <v>0.262</v>
      </c>
    </row>
    <row r="1257" spans="1:13">
      <c r="A1257" s="1">
        <f>HYPERLINK("http://www.twitter.com/NathanBLawrence/status/987217684596011008", "987217684596011008")</f>
        <v/>
      </c>
      <c r="B1257" s="2" t="n">
        <v>43210.27328703704</v>
      </c>
      <c r="C1257" t="n">
        <v>0</v>
      </c>
      <c r="D1257" t="n">
        <v>171</v>
      </c>
      <c r="E1257" t="s">
        <v>1267</v>
      </c>
      <c r="F1257">
        <f>HYPERLINK("http://pbs.twimg.com/media/DbMeFMEUwAAV4ak.jpg", "http://pbs.twimg.com/media/DbMeFMEUwAAV4ak.jpg")</f>
        <v/>
      </c>
      <c r="G1257" t="s"/>
      <c r="H1257" t="s"/>
      <c r="I1257" t="s"/>
      <c r="J1257" t="n">
        <v>0</v>
      </c>
      <c r="K1257" t="n">
        <v>0</v>
      </c>
      <c r="L1257" t="n">
        <v>1</v>
      </c>
      <c r="M1257" t="n">
        <v>0</v>
      </c>
    </row>
    <row r="1258" spans="1:13">
      <c r="A1258" s="1">
        <f>HYPERLINK("http://www.twitter.com/NathanBLawrence/status/987217633794666496", "987217633794666496")</f>
        <v/>
      </c>
      <c r="B1258" s="2" t="n">
        <v>43210.27314814815</v>
      </c>
      <c r="C1258" t="n">
        <v>0</v>
      </c>
      <c r="D1258" t="n">
        <v>42</v>
      </c>
      <c r="E1258" t="s">
        <v>1268</v>
      </c>
      <c r="F1258" t="s"/>
      <c r="G1258" t="s"/>
      <c r="H1258" t="s"/>
      <c r="I1258" t="s"/>
      <c r="J1258" t="n">
        <v>-0.765</v>
      </c>
      <c r="K1258" t="n">
        <v>0.28</v>
      </c>
      <c r="L1258" t="n">
        <v>0.72</v>
      </c>
      <c r="M1258" t="n">
        <v>0</v>
      </c>
    </row>
    <row r="1259" spans="1:13">
      <c r="A1259" s="1">
        <f>HYPERLINK("http://www.twitter.com/NathanBLawrence/status/987198650303459328", "987198650303459328")</f>
        <v/>
      </c>
      <c r="B1259" s="2" t="n">
        <v>43210.22076388889</v>
      </c>
      <c r="C1259" t="n">
        <v>0</v>
      </c>
      <c r="D1259" t="n">
        <v>308</v>
      </c>
      <c r="E1259" t="s">
        <v>1269</v>
      </c>
      <c r="F1259">
        <f>HYPERLINK("https://video.twimg.com/amplify_video/987087020219564034/vid/1280x720/-zsyJ7dCLf8pJXwL.mp4?tag=6", "https://video.twimg.com/amplify_video/987087020219564034/vid/1280x720/-zsyJ7dCLf8pJXwL.mp4?tag=6")</f>
        <v/>
      </c>
      <c r="G1259" t="s"/>
      <c r="H1259" t="s"/>
      <c r="I1259" t="s"/>
      <c r="J1259" t="n">
        <v>-0.5994</v>
      </c>
      <c r="K1259" t="n">
        <v>0.157</v>
      </c>
      <c r="L1259" t="n">
        <v>0.843</v>
      </c>
      <c r="M1259" t="n">
        <v>0</v>
      </c>
    </row>
    <row r="1260" spans="1:13">
      <c r="A1260" s="1">
        <f>HYPERLINK("http://www.twitter.com/NathanBLawrence/status/987198625443753984", "987198625443753984")</f>
        <v/>
      </c>
      <c r="B1260" s="2" t="n">
        <v>43210.22069444445</v>
      </c>
      <c r="C1260" t="n">
        <v>0</v>
      </c>
      <c r="D1260" t="n">
        <v>619</v>
      </c>
      <c r="E1260" t="s">
        <v>1270</v>
      </c>
      <c r="F1260" t="s"/>
      <c r="G1260" t="s"/>
      <c r="H1260" t="s"/>
      <c r="I1260" t="s"/>
      <c r="J1260" t="n">
        <v>-0.7531</v>
      </c>
      <c r="K1260" t="n">
        <v>0.263</v>
      </c>
      <c r="L1260" t="n">
        <v>0.737</v>
      </c>
      <c r="M1260" t="n">
        <v>0</v>
      </c>
    </row>
    <row r="1261" spans="1:13">
      <c r="A1261" s="1">
        <f>HYPERLINK("http://www.twitter.com/NathanBLawrence/status/987186234282987520", "987186234282987520")</f>
        <v/>
      </c>
      <c r="B1261" s="2" t="n">
        <v>43210.18649305555</v>
      </c>
      <c r="C1261" t="n">
        <v>0</v>
      </c>
      <c r="D1261" t="n">
        <v>54</v>
      </c>
      <c r="E1261" t="s">
        <v>1271</v>
      </c>
      <c r="F1261" t="s"/>
      <c r="G1261" t="s"/>
      <c r="H1261" t="s"/>
      <c r="I1261" t="s"/>
      <c r="J1261" t="n">
        <v>0.9268</v>
      </c>
      <c r="K1261" t="n">
        <v>0</v>
      </c>
      <c r="L1261" t="n">
        <v>0.575</v>
      </c>
      <c r="M1261" t="n">
        <v>0.425</v>
      </c>
    </row>
    <row r="1262" spans="1:13">
      <c r="A1262" s="1">
        <f>HYPERLINK("http://www.twitter.com/NathanBLawrence/status/987186175277334528", "987186175277334528")</f>
        <v/>
      </c>
      <c r="B1262" s="2" t="n">
        <v>43210.18633101852</v>
      </c>
      <c r="C1262" t="n">
        <v>0</v>
      </c>
      <c r="D1262" t="n">
        <v>24</v>
      </c>
      <c r="E1262" t="s">
        <v>1272</v>
      </c>
      <c r="F1262">
        <f>HYPERLINK("http://pbs.twimg.com/media/DbMtmqoU0AAHk3w.jpg", "http://pbs.twimg.com/media/DbMtmqoU0AAHk3w.jpg")</f>
        <v/>
      </c>
      <c r="G1262" t="s"/>
      <c r="H1262" t="s"/>
      <c r="I1262" t="s"/>
      <c r="J1262" t="n">
        <v>0</v>
      </c>
      <c r="K1262" t="n">
        <v>0</v>
      </c>
      <c r="L1262" t="n">
        <v>1</v>
      </c>
      <c r="M1262" t="n">
        <v>0</v>
      </c>
    </row>
    <row r="1263" spans="1:13">
      <c r="A1263" s="1">
        <f>HYPERLINK("http://www.twitter.com/NathanBLawrence/status/987185832552361984", "987185832552361984")</f>
        <v/>
      </c>
      <c r="B1263" s="2" t="n">
        <v>43210.18539351852</v>
      </c>
      <c r="C1263" t="n">
        <v>0</v>
      </c>
      <c r="D1263" t="n">
        <v>1662</v>
      </c>
      <c r="E1263" t="s">
        <v>1273</v>
      </c>
      <c r="F1263">
        <f>HYPERLINK("http://pbs.twimg.com/media/DbMYcViU8AA7-V0.jpg", "http://pbs.twimg.com/media/DbMYcViU8AA7-V0.jpg")</f>
        <v/>
      </c>
      <c r="G1263" t="s"/>
      <c r="H1263" t="s"/>
      <c r="I1263" t="s"/>
      <c r="J1263" t="n">
        <v>0</v>
      </c>
      <c r="K1263" t="n">
        <v>0</v>
      </c>
      <c r="L1263" t="n">
        <v>1</v>
      </c>
      <c r="M1263" t="n">
        <v>0</v>
      </c>
    </row>
    <row r="1264" spans="1:13">
      <c r="A1264" s="1">
        <f>HYPERLINK("http://www.twitter.com/NathanBLawrence/status/987185641325658112", "987185641325658112")</f>
        <v/>
      </c>
      <c r="B1264" s="2" t="n">
        <v>43210.18486111111</v>
      </c>
      <c r="C1264" t="n">
        <v>0</v>
      </c>
      <c r="D1264" t="n">
        <v>951</v>
      </c>
      <c r="E1264" t="s">
        <v>1274</v>
      </c>
      <c r="F1264">
        <f>HYPERLINK("http://pbs.twimg.com/media/DbMeMvcVMAEQoMS.jpg", "http://pbs.twimg.com/media/DbMeMvcVMAEQoMS.jpg")</f>
        <v/>
      </c>
      <c r="G1264" t="s"/>
      <c r="H1264" t="s"/>
      <c r="I1264" t="s"/>
      <c r="J1264" t="n">
        <v>0.8038</v>
      </c>
      <c r="K1264" t="n">
        <v>0</v>
      </c>
      <c r="L1264" t="n">
        <v>0.753</v>
      </c>
      <c r="M1264" t="n">
        <v>0.247</v>
      </c>
    </row>
    <row r="1265" spans="1:13">
      <c r="A1265" s="1">
        <f>HYPERLINK("http://www.twitter.com/NathanBLawrence/status/987185080933138432", "987185080933138432")</f>
        <v/>
      </c>
      <c r="B1265" s="2" t="n">
        <v>43210.18331018519</v>
      </c>
      <c r="C1265" t="n">
        <v>0</v>
      </c>
      <c r="D1265" t="n">
        <v>118</v>
      </c>
      <c r="E1265" t="s">
        <v>1275</v>
      </c>
      <c r="F1265">
        <f>HYPERLINK("https://video.twimg.com/ext_tw_video/986939485991485441/pu/vid/480x360/4EjgYKX_APGAhq3R.mp4?tag=3", "https://video.twimg.com/ext_tw_video/986939485991485441/pu/vid/480x360/4EjgYKX_APGAhq3R.mp4?tag=3")</f>
        <v/>
      </c>
      <c r="G1265" t="s"/>
      <c r="H1265" t="s"/>
      <c r="I1265" t="s"/>
      <c r="J1265" t="n">
        <v>0</v>
      </c>
      <c r="K1265" t="n">
        <v>0</v>
      </c>
      <c r="L1265" t="n">
        <v>1</v>
      </c>
      <c r="M1265" t="n">
        <v>0</v>
      </c>
    </row>
    <row r="1266" spans="1:13">
      <c r="A1266" s="1">
        <f>HYPERLINK("http://www.twitter.com/NathanBLawrence/status/987181359109029888", "987181359109029888")</f>
        <v/>
      </c>
      <c r="B1266" s="2" t="n">
        <v>43210.17304398148</v>
      </c>
      <c r="C1266" t="n">
        <v>0</v>
      </c>
      <c r="D1266" t="n">
        <v>1080</v>
      </c>
      <c r="E1266" t="s">
        <v>1276</v>
      </c>
      <c r="F1266">
        <f>HYPERLINK("http://pbs.twimg.com/media/DbL8gINW4AIC2yh.jpg", "http://pbs.twimg.com/media/DbL8gINW4AIC2yh.jpg")</f>
        <v/>
      </c>
      <c r="G1266" t="s"/>
      <c r="H1266" t="s"/>
      <c r="I1266" t="s"/>
      <c r="J1266" t="n">
        <v>0</v>
      </c>
      <c r="K1266" t="n">
        <v>0</v>
      </c>
      <c r="L1266" t="n">
        <v>1</v>
      </c>
      <c r="M1266" t="n">
        <v>0</v>
      </c>
    </row>
    <row r="1267" spans="1:13">
      <c r="A1267" s="1">
        <f>HYPERLINK("http://www.twitter.com/NathanBLawrence/status/987180942136496128", "987180942136496128")</f>
        <v/>
      </c>
      <c r="B1267" s="2" t="n">
        <v>43210.17189814815</v>
      </c>
      <c r="C1267" t="n">
        <v>0</v>
      </c>
      <c r="D1267" t="n">
        <v>226</v>
      </c>
      <c r="E1267" t="s">
        <v>1277</v>
      </c>
      <c r="F1267">
        <f>HYPERLINK("http://pbs.twimg.com/media/DbLpNLXVwAIAJ5e.jpg", "http://pbs.twimg.com/media/DbLpNLXVwAIAJ5e.jpg")</f>
        <v/>
      </c>
      <c r="G1267" t="s"/>
      <c r="H1267" t="s"/>
      <c r="I1267" t="s"/>
      <c r="J1267" t="n">
        <v>0</v>
      </c>
      <c r="K1267" t="n">
        <v>0</v>
      </c>
      <c r="L1267" t="n">
        <v>1</v>
      </c>
      <c r="M1267" t="n">
        <v>0</v>
      </c>
    </row>
    <row r="1268" spans="1:13">
      <c r="A1268" s="1">
        <f>HYPERLINK("http://www.twitter.com/NathanBLawrence/status/987180366963224576", "987180366963224576")</f>
        <v/>
      </c>
      <c r="B1268" s="2" t="n">
        <v>43210.1703125</v>
      </c>
      <c r="C1268" t="n">
        <v>0</v>
      </c>
      <c r="D1268" t="n">
        <v>1572</v>
      </c>
      <c r="E1268" t="s">
        <v>1278</v>
      </c>
      <c r="F1268">
        <f>HYPERLINK("http://pbs.twimg.com/media/DbMWCTEX4AEhV8r.jpg", "http://pbs.twimg.com/media/DbMWCTEX4AEhV8r.jpg")</f>
        <v/>
      </c>
      <c r="G1268" t="s"/>
      <c r="H1268" t="s"/>
      <c r="I1268" t="s"/>
      <c r="J1268" t="n">
        <v>-0.4199</v>
      </c>
      <c r="K1268" t="n">
        <v>0.117</v>
      </c>
      <c r="L1268" t="n">
        <v>0.883</v>
      </c>
      <c r="M1268" t="n">
        <v>0</v>
      </c>
    </row>
    <row r="1269" spans="1:13">
      <c r="A1269" s="1">
        <f>HYPERLINK("http://www.twitter.com/NathanBLawrence/status/987179804729294848", "987179804729294848")</f>
        <v/>
      </c>
      <c r="B1269" s="2" t="n">
        <v>43210.16876157407</v>
      </c>
      <c r="C1269" t="n">
        <v>0</v>
      </c>
      <c r="D1269" t="n">
        <v>364</v>
      </c>
      <c r="E1269" t="s">
        <v>1279</v>
      </c>
      <c r="F1269">
        <f>HYPERLINK("http://pbs.twimg.com/media/DbMniF6VQAADUuG.jpg", "http://pbs.twimg.com/media/DbMniF6VQAADUuG.jpg")</f>
        <v/>
      </c>
      <c r="G1269" t="s"/>
      <c r="H1269" t="s"/>
      <c r="I1269" t="s"/>
      <c r="J1269" t="n">
        <v>0</v>
      </c>
      <c r="K1269" t="n">
        <v>0</v>
      </c>
      <c r="L1269" t="n">
        <v>1</v>
      </c>
      <c r="M1269" t="n">
        <v>0</v>
      </c>
    </row>
    <row r="1270" spans="1:13">
      <c r="A1270" s="1">
        <f>HYPERLINK("http://www.twitter.com/NathanBLawrence/status/987178265512062977", "987178265512062977")</f>
        <v/>
      </c>
      <c r="B1270" s="2" t="n">
        <v>43210.16451388889</v>
      </c>
      <c r="C1270" t="n">
        <v>0</v>
      </c>
      <c r="D1270" t="n">
        <v>573</v>
      </c>
      <c r="E1270" t="s">
        <v>1280</v>
      </c>
      <c r="F1270">
        <f>HYPERLINK("http://pbs.twimg.com/media/DbLm_MLUwAAbYj7.jpg", "http://pbs.twimg.com/media/DbLm_MLUwAAbYj7.jpg")</f>
        <v/>
      </c>
      <c r="G1270" t="s"/>
      <c r="H1270" t="s"/>
      <c r="I1270" t="s"/>
      <c r="J1270" t="n">
        <v>-0.4019</v>
      </c>
      <c r="K1270" t="n">
        <v>0.124</v>
      </c>
      <c r="L1270" t="n">
        <v>0.876</v>
      </c>
      <c r="M1270" t="n">
        <v>0</v>
      </c>
    </row>
    <row r="1271" spans="1:13">
      <c r="A1271" s="1">
        <f>HYPERLINK("http://www.twitter.com/NathanBLawrence/status/987178127938875392", "987178127938875392")</f>
        <v/>
      </c>
      <c r="B1271" s="2" t="n">
        <v>43210.16413194445</v>
      </c>
      <c r="C1271" t="n">
        <v>0</v>
      </c>
      <c r="D1271" t="n">
        <v>237</v>
      </c>
      <c r="E1271" t="s">
        <v>1281</v>
      </c>
      <c r="F1271" t="s"/>
      <c r="G1271" t="s"/>
      <c r="H1271" t="s"/>
      <c r="I1271" t="s"/>
      <c r="J1271" t="n">
        <v>0</v>
      </c>
      <c r="K1271" t="n">
        <v>0</v>
      </c>
      <c r="L1271" t="n">
        <v>1</v>
      </c>
      <c r="M1271" t="n">
        <v>0</v>
      </c>
    </row>
    <row r="1272" spans="1:13">
      <c r="A1272" s="1">
        <f>HYPERLINK("http://www.twitter.com/NathanBLawrence/status/987177814544678917", "987177814544678917")</f>
        <v/>
      </c>
      <c r="B1272" s="2" t="n">
        <v>43210.16326388889</v>
      </c>
      <c r="C1272" t="n">
        <v>0</v>
      </c>
      <c r="D1272" t="n">
        <v>3</v>
      </c>
      <c r="E1272" t="s">
        <v>1282</v>
      </c>
      <c r="F1272">
        <f>HYPERLINK("http://pbs.twimg.com/media/DbMgY8yV4AA-N09.jpg", "http://pbs.twimg.com/media/DbMgY8yV4AA-N09.jpg")</f>
        <v/>
      </c>
      <c r="G1272" t="s"/>
      <c r="H1272" t="s"/>
      <c r="I1272" t="s"/>
      <c r="J1272" t="n">
        <v>0.5849</v>
      </c>
      <c r="K1272" t="n">
        <v>0</v>
      </c>
      <c r="L1272" t="n">
        <v>0.8139999999999999</v>
      </c>
      <c r="M1272" t="n">
        <v>0.186</v>
      </c>
    </row>
    <row r="1273" spans="1:13">
      <c r="A1273" s="1">
        <f>HYPERLINK("http://www.twitter.com/NathanBLawrence/status/987177780470153216", "987177780470153216")</f>
        <v/>
      </c>
      <c r="B1273" s="2" t="n">
        <v>43210.1631712963</v>
      </c>
      <c r="C1273" t="n">
        <v>0</v>
      </c>
      <c r="D1273" t="n">
        <v>137</v>
      </c>
      <c r="E1273" t="s">
        <v>1283</v>
      </c>
      <c r="F1273">
        <f>HYPERLINK("http://pbs.twimg.com/media/DbL_DiqXcAEZv8u.jpg", "http://pbs.twimg.com/media/DbL_DiqXcAEZv8u.jpg")</f>
        <v/>
      </c>
      <c r="G1273" t="s"/>
      <c r="H1273" t="s"/>
      <c r="I1273" t="s"/>
      <c r="J1273" t="n">
        <v>-0.6597</v>
      </c>
      <c r="K1273" t="n">
        <v>0.286</v>
      </c>
      <c r="L1273" t="n">
        <v>0.714</v>
      </c>
      <c r="M1273" t="n">
        <v>0</v>
      </c>
    </row>
    <row r="1274" spans="1:13">
      <c r="A1274" s="1">
        <f>HYPERLINK("http://www.twitter.com/NathanBLawrence/status/987177569681207296", "987177569681207296")</f>
        <v/>
      </c>
      <c r="B1274" s="2" t="n">
        <v>43210.16259259259</v>
      </c>
      <c r="C1274" t="n">
        <v>0</v>
      </c>
      <c r="D1274" t="n">
        <v>25</v>
      </c>
      <c r="E1274" t="s">
        <v>1284</v>
      </c>
      <c r="F1274" t="s"/>
      <c r="G1274" t="s"/>
      <c r="H1274" t="s"/>
      <c r="I1274" t="s"/>
      <c r="J1274" t="n">
        <v>0</v>
      </c>
      <c r="K1274" t="n">
        <v>0</v>
      </c>
      <c r="L1274" t="n">
        <v>1</v>
      </c>
      <c r="M1274" t="n">
        <v>0</v>
      </c>
    </row>
    <row r="1275" spans="1:13">
      <c r="A1275" s="1">
        <f>HYPERLINK("http://www.twitter.com/NathanBLawrence/status/987177161453813760", "987177161453813760")</f>
        <v/>
      </c>
      <c r="B1275" s="2" t="n">
        <v>43210.16145833334</v>
      </c>
      <c r="C1275" t="n">
        <v>0</v>
      </c>
      <c r="D1275" t="n">
        <v>57</v>
      </c>
      <c r="E1275" t="s">
        <v>1285</v>
      </c>
      <c r="F1275">
        <f>HYPERLINK("http://pbs.twimg.com/media/DbMdLmQXUAA83wA.jpg", "http://pbs.twimg.com/media/DbMdLmQXUAA83wA.jpg")</f>
        <v/>
      </c>
      <c r="G1275" t="s"/>
      <c r="H1275" t="s"/>
      <c r="I1275" t="s"/>
      <c r="J1275" t="n">
        <v>0.3826</v>
      </c>
      <c r="K1275" t="n">
        <v>0.07099999999999999</v>
      </c>
      <c r="L1275" t="n">
        <v>0.763</v>
      </c>
      <c r="M1275" t="n">
        <v>0.166</v>
      </c>
    </row>
    <row r="1276" spans="1:13">
      <c r="A1276" s="1">
        <f>HYPERLINK("http://www.twitter.com/NathanBLawrence/status/987176979488108544", "987176979488108544")</f>
        <v/>
      </c>
      <c r="B1276" s="2" t="n">
        <v>43210.16096064815</v>
      </c>
      <c r="C1276" t="n">
        <v>0</v>
      </c>
      <c r="D1276" t="n">
        <v>141</v>
      </c>
      <c r="E1276" t="s">
        <v>1286</v>
      </c>
      <c r="F1276">
        <f>HYPERLINK("http://pbs.twimg.com/media/DbMhrdcU8AA5fVD.jpg", "http://pbs.twimg.com/media/DbMhrdcU8AA5fVD.jpg")</f>
        <v/>
      </c>
      <c r="G1276" t="s"/>
      <c r="H1276" t="s"/>
      <c r="I1276" t="s"/>
      <c r="J1276" t="n">
        <v>0.6476</v>
      </c>
      <c r="K1276" t="n">
        <v>0</v>
      </c>
      <c r="L1276" t="n">
        <v>0.654</v>
      </c>
      <c r="M1276" t="n">
        <v>0.346</v>
      </c>
    </row>
    <row r="1277" spans="1:13">
      <c r="A1277" s="1">
        <f>HYPERLINK("http://www.twitter.com/NathanBLawrence/status/987154313012101121", "987154313012101121")</f>
        <v/>
      </c>
      <c r="B1277" s="2" t="n">
        <v>43210.09841435185</v>
      </c>
      <c r="C1277" t="n">
        <v>3</v>
      </c>
      <c r="D1277" t="n">
        <v>1</v>
      </c>
      <c r="E1277" t="s">
        <v>1287</v>
      </c>
      <c r="F1277" t="s"/>
      <c r="G1277" t="s"/>
      <c r="H1277" t="s"/>
      <c r="I1277" t="s"/>
      <c r="J1277" t="n">
        <v>0.2023</v>
      </c>
      <c r="K1277" t="n">
        <v>0.111</v>
      </c>
      <c r="L1277" t="n">
        <v>0.714</v>
      </c>
      <c r="M1277" t="n">
        <v>0.175</v>
      </c>
    </row>
    <row r="1278" spans="1:13">
      <c r="A1278" s="1">
        <f>HYPERLINK("http://www.twitter.com/NathanBLawrence/status/987154085152309248", "987154085152309248")</f>
        <v/>
      </c>
      <c r="B1278" s="2" t="n">
        <v>43210.09777777778</v>
      </c>
      <c r="C1278" t="n">
        <v>8</v>
      </c>
      <c r="D1278" t="n">
        <v>2</v>
      </c>
      <c r="E1278" t="s">
        <v>1288</v>
      </c>
      <c r="F1278" t="s"/>
      <c r="G1278" t="s"/>
      <c r="H1278" t="s"/>
      <c r="I1278" t="s"/>
      <c r="J1278" t="n">
        <v>0.5266999999999999</v>
      </c>
      <c r="K1278" t="n">
        <v>0</v>
      </c>
      <c r="L1278" t="n">
        <v>0.747</v>
      </c>
      <c r="M1278" t="n">
        <v>0.253</v>
      </c>
    </row>
    <row r="1279" spans="1:13">
      <c r="A1279" s="1">
        <f>HYPERLINK("http://www.twitter.com/NathanBLawrence/status/987153948678090752", "987153948678090752")</f>
        <v/>
      </c>
      <c r="B1279" s="2" t="n">
        <v>43210.0974074074</v>
      </c>
      <c r="C1279" t="n">
        <v>1</v>
      </c>
      <c r="D1279" t="n">
        <v>0</v>
      </c>
      <c r="E1279" t="s">
        <v>1289</v>
      </c>
      <c r="F1279" t="s"/>
      <c r="G1279" t="s"/>
      <c r="H1279" t="s"/>
      <c r="I1279" t="s"/>
      <c r="J1279" t="n">
        <v>0</v>
      </c>
      <c r="K1279" t="n">
        <v>0</v>
      </c>
      <c r="L1279" t="n">
        <v>1</v>
      </c>
      <c r="M1279" t="n">
        <v>0</v>
      </c>
    </row>
    <row r="1280" spans="1:13">
      <c r="A1280" s="1">
        <f>HYPERLINK("http://www.twitter.com/NathanBLawrence/status/987153052548317184", "987153052548317184")</f>
        <v/>
      </c>
      <c r="B1280" s="2" t="n">
        <v>43210.09493055556</v>
      </c>
      <c r="C1280" t="n">
        <v>5</v>
      </c>
      <c r="D1280" t="n">
        <v>2</v>
      </c>
      <c r="E1280" t="s">
        <v>1290</v>
      </c>
      <c r="F1280" t="s"/>
      <c r="G1280" t="s"/>
      <c r="H1280" t="s"/>
      <c r="I1280" t="s"/>
      <c r="J1280" t="n">
        <v>-0.5994</v>
      </c>
      <c r="K1280" t="n">
        <v>0.206</v>
      </c>
      <c r="L1280" t="n">
        <v>0.794</v>
      </c>
      <c r="M1280" t="n">
        <v>0</v>
      </c>
    </row>
    <row r="1281" spans="1:13">
      <c r="A1281" s="1">
        <f>HYPERLINK("http://www.twitter.com/NathanBLawrence/status/987152331706744832", "987152331706744832")</f>
        <v/>
      </c>
      <c r="B1281" s="2" t="n">
        <v>43210.09293981481</v>
      </c>
      <c r="C1281" t="n">
        <v>0</v>
      </c>
      <c r="D1281" t="n">
        <v>418</v>
      </c>
      <c r="E1281" t="s">
        <v>1291</v>
      </c>
      <c r="F1281">
        <f>HYPERLINK("http://pbs.twimg.com/media/DbMOtLaVAAAp7SO.jpg", "http://pbs.twimg.com/media/DbMOtLaVAAAp7SO.jpg")</f>
        <v/>
      </c>
      <c r="G1281" t="s"/>
      <c r="H1281" t="s"/>
      <c r="I1281" t="s"/>
      <c r="J1281" t="n">
        <v>0.296</v>
      </c>
      <c r="K1281" t="n">
        <v>0</v>
      </c>
      <c r="L1281" t="n">
        <v>0.905</v>
      </c>
      <c r="M1281" t="n">
        <v>0.095</v>
      </c>
    </row>
    <row r="1282" spans="1:13">
      <c r="A1282" s="1">
        <f>HYPERLINK("http://www.twitter.com/NathanBLawrence/status/987152141792903168", "987152141792903168")</f>
        <v/>
      </c>
      <c r="B1282" s="2" t="n">
        <v>43210.09241898148</v>
      </c>
      <c r="C1282" t="n">
        <v>0</v>
      </c>
      <c r="D1282" t="n">
        <v>723</v>
      </c>
      <c r="E1282" t="s">
        <v>1292</v>
      </c>
      <c r="F1282">
        <f>HYPERLINK("http://pbs.twimg.com/media/DbKhgAHWkAEy8-i.jpg", "http://pbs.twimg.com/media/DbKhgAHWkAEy8-i.jpg")</f>
        <v/>
      </c>
      <c r="G1282" t="s"/>
      <c r="H1282" t="s"/>
      <c r="I1282" t="s"/>
      <c r="J1282" t="n">
        <v>0</v>
      </c>
      <c r="K1282" t="n">
        <v>0</v>
      </c>
      <c r="L1282" t="n">
        <v>1</v>
      </c>
      <c r="M1282" t="n">
        <v>0</v>
      </c>
    </row>
    <row r="1283" spans="1:13">
      <c r="A1283" s="1">
        <f>HYPERLINK("http://www.twitter.com/NathanBLawrence/status/987151578502127616", "987151578502127616")</f>
        <v/>
      </c>
      <c r="B1283" s="2" t="n">
        <v>43210.09086805556</v>
      </c>
      <c r="C1283" t="n">
        <v>0</v>
      </c>
      <c r="D1283" t="n">
        <v>34</v>
      </c>
      <c r="E1283" t="s">
        <v>1293</v>
      </c>
      <c r="F1283">
        <f>HYPERLINK("http://pbs.twimg.com/media/Da3_pQeVQAEkpEL.jpg", "http://pbs.twimg.com/media/Da3_pQeVQAEkpEL.jpg")</f>
        <v/>
      </c>
      <c r="G1283" t="s"/>
      <c r="H1283" t="s"/>
      <c r="I1283" t="s"/>
      <c r="J1283" t="n">
        <v>0</v>
      </c>
      <c r="K1283" t="n">
        <v>0</v>
      </c>
      <c r="L1283" t="n">
        <v>1</v>
      </c>
      <c r="M1283" t="n">
        <v>0</v>
      </c>
    </row>
    <row r="1284" spans="1:13">
      <c r="A1284" s="1">
        <f>HYPERLINK("http://www.twitter.com/NathanBLawrence/status/987151064406278144", "987151064406278144")</f>
        <v/>
      </c>
      <c r="B1284" s="2" t="n">
        <v>43210.08944444444</v>
      </c>
      <c r="C1284" t="n">
        <v>0</v>
      </c>
      <c r="D1284" t="n">
        <v>23</v>
      </c>
      <c r="E1284" t="s">
        <v>1294</v>
      </c>
      <c r="F1284" t="s"/>
      <c r="G1284" t="s"/>
      <c r="H1284" t="s"/>
      <c r="I1284" t="s"/>
      <c r="J1284" t="n">
        <v>0.34</v>
      </c>
      <c r="K1284" t="n">
        <v>0</v>
      </c>
      <c r="L1284" t="n">
        <v>0.844</v>
      </c>
      <c r="M1284" t="n">
        <v>0.156</v>
      </c>
    </row>
    <row r="1285" spans="1:13">
      <c r="A1285" s="1">
        <f>HYPERLINK("http://www.twitter.com/NathanBLawrence/status/987148038106890240", "987148038106890240")</f>
        <v/>
      </c>
      <c r="B1285" s="2" t="n">
        <v>43210.08109953703</v>
      </c>
      <c r="C1285" t="n">
        <v>0</v>
      </c>
      <c r="D1285" t="n">
        <v>12</v>
      </c>
      <c r="E1285" t="s">
        <v>1295</v>
      </c>
      <c r="F1285" t="s"/>
      <c r="G1285" t="s"/>
      <c r="H1285" t="s"/>
      <c r="I1285" t="s"/>
      <c r="J1285" t="n">
        <v>-0.296</v>
      </c>
      <c r="K1285" t="n">
        <v>0.128</v>
      </c>
      <c r="L1285" t="n">
        <v>0.872</v>
      </c>
      <c r="M1285" t="n">
        <v>0</v>
      </c>
    </row>
    <row r="1286" spans="1:13">
      <c r="A1286" s="1">
        <f>HYPERLINK("http://www.twitter.com/NathanBLawrence/status/987147624548524032", "987147624548524032")</f>
        <v/>
      </c>
      <c r="B1286" s="2" t="n">
        <v>43210.0799537037</v>
      </c>
      <c r="C1286" t="n">
        <v>0</v>
      </c>
      <c r="D1286" t="n">
        <v>36</v>
      </c>
      <c r="E1286" t="s">
        <v>1296</v>
      </c>
      <c r="F1286">
        <f>HYPERLINK("http://pbs.twimg.com/media/DbMIFyjU0AAS8dg.jpg", "http://pbs.twimg.com/media/DbMIFyjU0AAS8dg.jpg")</f>
        <v/>
      </c>
      <c r="G1286" t="s"/>
      <c r="H1286" t="s"/>
      <c r="I1286" t="s"/>
      <c r="J1286" t="n">
        <v>-0.1027</v>
      </c>
      <c r="K1286" t="n">
        <v>0.053</v>
      </c>
      <c r="L1286" t="n">
        <v>0.947</v>
      </c>
      <c r="M1286" t="n">
        <v>0</v>
      </c>
    </row>
    <row r="1287" spans="1:13">
      <c r="A1287" s="1">
        <f>HYPERLINK("http://www.twitter.com/NathanBLawrence/status/987147464623796224", "987147464623796224")</f>
        <v/>
      </c>
      <c r="B1287" s="2" t="n">
        <v>43210.07951388889</v>
      </c>
      <c r="C1287" t="n">
        <v>0</v>
      </c>
      <c r="D1287" t="n">
        <v>492</v>
      </c>
      <c r="E1287" t="s">
        <v>1297</v>
      </c>
      <c r="F1287">
        <f>HYPERLINK("http://pbs.twimg.com/media/DbLtbWbVMAAXura.jpg", "http://pbs.twimg.com/media/DbLtbWbVMAAXura.jpg")</f>
        <v/>
      </c>
      <c r="G1287" t="s"/>
      <c r="H1287" t="s"/>
      <c r="I1287" t="s"/>
      <c r="J1287" t="n">
        <v>0.7003</v>
      </c>
      <c r="K1287" t="n">
        <v>0</v>
      </c>
      <c r="L1287" t="n">
        <v>0.799</v>
      </c>
      <c r="M1287" t="n">
        <v>0.201</v>
      </c>
    </row>
    <row r="1288" spans="1:13">
      <c r="A1288" s="1">
        <f>HYPERLINK("http://www.twitter.com/NathanBLawrence/status/987147391001214976", "987147391001214976")</f>
        <v/>
      </c>
      <c r="B1288" s="2" t="n">
        <v>43210.07930555556</v>
      </c>
      <c r="C1288" t="n">
        <v>0</v>
      </c>
      <c r="D1288" t="n">
        <v>439</v>
      </c>
      <c r="E1288" t="s">
        <v>1298</v>
      </c>
      <c r="F1288">
        <f>HYPERLINK("http://pbs.twimg.com/media/DbKSB_6UMAEsL9b.jpg", "http://pbs.twimg.com/media/DbKSB_6UMAEsL9b.jpg")</f>
        <v/>
      </c>
      <c r="G1288" t="s"/>
      <c r="H1288" t="s"/>
      <c r="I1288" t="s"/>
      <c r="J1288" t="n">
        <v>0</v>
      </c>
      <c r="K1288" t="n">
        <v>0</v>
      </c>
      <c r="L1288" t="n">
        <v>1</v>
      </c>
      <c r="M1288" t="n">
        <v>0</v>
      </c>
    </row>
    <row r="1289" spans="1:13">
      <c r="A1289" s="1">
        <f>HYPERLINK("http://www.twitter.com/NathanBLawrence/status/987147161631473664", "987147161631473664")</f>
        <v/>
      </c>
      <c r="B1289" s="2" t="n">
        <v>43210.07868055555</v>
      </c>
      <c r="C1289" t="n">
        <v>13</v>
      </c>
      <c r="D1289" t="n">
        <v>3</v>
      </c>
      <c r="E1289" t="s">
        <v>1299</v>
      </c>
      <c r="F1289" t="s"/>
      <c r="G1289" t="s"/>
      <c r="H1289" t="s"/>
      <c r="I1289" t="s"/>
      <c r="J1289" t="n">
        <v>-0.5562</v>
      </c>
      <c r="K1289" t="n">
        <v>0.418</v>
      </c>
      <c r="L1289" t="n">
        <v>0.582</v>
      </c>
      <c r="M1289" t="n">
        <v>0</v>
      </c>
    </row>
    <row r="1290" spans="1:13">
      <c r="A1290" s="1">
        <f>HYPERLINK("http://www.twitter.com/NathanBLawrence/status/987146903325306880", "987146903325306880")</f>
        <v/>
      </c>
      <c r="B1290" s="2" t="n">
        <v>43210.07796296296</v>
      </c>
      <c r="C1290" t="n">
        <v>0</v>
      </c>
      <c r="D1290" t="n">
        <v>182</v>
      </c>
      <c r="E1290" t="s">
        <v>1300</v>
      </c>
      <c r="F1290">
        <f>HYPERLINK("http://pbs.twimg.com/media/DbMJo3TXcAAFNSm.jpg", "http://pbs.twimg.com/media/DbMJo3TXcAAFNSm.jpg")</f>
        <v/>
      </c>
      <c r="G1290" t="s"/>
      <c r="H1290" t="s"/>
      <c r="I1290" t="s"/>
      <c r="J1290" t="n">
        <v>0</v>
      </c>
      <c r="K1290" t="n">
        <v>0</v>
      </c>
      <c r="L1290" t="n">
        <v>1</v>
      </c>
      <c r="M1290" t="n">
        <v>0</v>
      </c>
    </row>
    <row r="1291" spans="1:13">
      <c r="A1291" s="1">
        <f>HYPERLINK("http://www.twitter.com/NathanBLawrence/status/987146808521474048", "987146808521474048")</f>
        <v/>
      </c>
      <c r="B1291" s="2" t="n">
        <v>43210.07770833333</v>
      </c>
      <c r="C1291" t="n">
        <v>0</v>
      </c>
      <c r="D1291" t="n">
        <v>206</v>
      </c>
      <c r="E1291" t="s">
        <v>1301</v>
      </c>
      <c r="F1291">
        <f>HYPERLINK("http://pbs.twimg.com/media/DbKXknzU8AAcUfV.jpg", "http://pbs.twimg.com/media/DbKXknzU8AAcUfV.jpg")</f>
        <v/>
      </c>
      <c r="G1291" t="s"/>
      <c r="H1291" t="s"/>
      <c r="I1291" t="s"/>
      <c r="J1291" t="n">
        <v>-0.5994</v>
      </c>
      <c r="K1291" t="n">
        <v>0.218</v>
      </c>
      <c r="L1291" t="n">
        <v>0.782</v>
      </c>
      <c r="M1291" t="n">
        <v>0</v>
      </c>
    </row>
    <row r="1292" spans="1:13">
      <c r="A1292" s="1">
        <f>HYPERLINK("http://www.twitter.com/NathanBLawrence/status/987143464721596416", "987143464721596416")</f>
        <v/>
      </c>
      <c r="B1292" s="2" t="n">
        <v>43210.06847222222</v>
      </c>
      <c r="C1292" t="n">
        <v>0</v>
      </c>
      <c r="D1292" t="n">
        <v>14343</v>
      </c>
      <c r="E1292" t="s">
        <v>1302</v>
      </c>
      <c r="F1292" t="s"/>
      <c r="G1292" t="s"/>
      <c r="H1292" t="s"/>
      <c r="I1292" t="s"/>
      <c r="J1292" t="n">
        <v>0.4767</v>
      </c>
      <c r="K1292" t="n">
        <v>0</v>
      </c>
      <c r="L1292" t="n">
        <v>0.86</v>
      </c>
      <c r="M1292" t="n">
        <v>0.14</v>
      </c>
    </row>
    <row r="1293" spans="1:13">
      <c r="A1293" s="1">
        <f>HYPERLINK("http://www.twitter.com/NathanBLawrence/status/987143442336747520", "987143442336747520")</f>
        <v/>
      </c>
      <c r="B1293" s="2" t="n">
        <v>43210.06841435185</v>
      </c>
      <c r="C1293" t="n">
        <v>0</v>
      </c>
      <c r="D1293" t="n">
        <v>449</v>
      </c>
      <c r="E1293" t="s">
        <v>1303</v>
      </c>
      <c r="F1293">
        <f>HYPERLINK("https://video.twimg.com/amplify_video/987113358460628992/vid/1280x720/LNxk4GzBInGrpuQ4.mp4?tag=2", "https://video.twimg.com/amplify_video/987113358460628992/vid/1280x720/LNxk4GzBInGrpuQ4.mp4?tag=2")</f>
        <v/>
      </c>
      <c r="G1293" t="s"/>
      <c r="H1293" t="s"/>
      <c r="I1293" t="s"/>
      <c r="J1293" t="n">
        <v>-0.5256</v>
      </c>
      <c r="K1293" t="n">
        <v>0.267</v>
      </c>
      <c r="L1293" t="n">
        <v>0.573</v>
      </c>
      <c r="M1293" t="n">
        <v>0.159</v>
      </c>
    </row>
    <row r="1294" spans="1:13">
      <c r="A1294" s="1">
        <f>HYPERLINK("http://www.twitter.com/NathanBLawrence/status/987089324092014592", "987089324092014592")</f>
        <v/>
      </c>
      <c r="B1294" s="2" t="n">
        <v>43209.91907407407</v>
      </c>
      <c r="C1294" t="n">
        <v>0</v>
      </c>
      <c r="D1294" t="n">
        <v>266</v>
      </c>
      <c r="E1294" t="s">
        <v>1304</v>
      </c>
      <c r="F1294" t="s"/>
      <c r="G1294" t="s"/>
      <c r="H1294" t="s"/>
      <c r="I1294" t="s"/>
      <c r="J1294" t="n">
        <v>0.2695</v>
      </c>
      <c r="K1294" t="n">
        <v>0</v>
      </c>
      <c r="L1294" t="n">
        <v>0.852</v>
      </c>
      <c r="M1294" t="n">
        <v>0.148</v>
      </c>
    </row>
    <row r="1295" spans="1:13">
      <c r="A1295" s="1">
        <f>HYPERLINK("http://www.twitter.com/NathanBLawrence/status/987087572236058624", "987087572236058624")</f>
        <v/>
      </c>
      <c r="B1295" s="2" t="n">
        <v>43209.91424768518</v>
      </c>
      <c r="C1295" t="n">
        <v>0</v>
      </c>
      <c r="D1295" t="n">
        <v>2481</v>
      </c>
      <c r="E1295" t="s">
        <v>1305</v>
      </c>
      <c r="F1295" t="s"/>
      <c r="G1295" t="s"/>
      <c r="H1295" t="s"/>
      <c r="I1295" t="s"/>
      <c r="J1295" t="n">
        <v>0.4404</v>
      </c>
      <c r="K1295" t="n">
        <v>0.115</v>
      </c>
      <c r="L1295" t="n">
        <v>0.645</v>
      </c>
      <c r="M1295" t="n">
        <v>0.24</v>
      </c>
    </row>
    <row r="1296" spans="1:13">
      <c r="A1296" s="1">
        <f>HYPERLINK("http://www.twitter.com/NathanBLawrence/status/987087322591064064", "987087322591064064")</f>
        <v/>
      </c>
      <c r="B1296" s="2" t="n">
        <v>43209.91355324074</v>
      </c>
      <c r="C1296" t="n">
        <v>0</v>
      </c>
      <c r="D1296" t="n">
        <v>26437</v>
      </c>
      <c r="E1296" t="s">
        <v>1306</v>
      </c>
      <c r="F1296" t="s"/>
      <c r="G1296" t="s"/>
      <c r="H1296" t="s"/>
      <c r="I1296" t="s"/>
      <c r="J1296" t="n">
        <v>0.4404</v>
      </c>
      <c r="K1296" t="n">
        <v>0</v>
      </c>
      <c r="L1296" t="n">
        <v>0.879</v>
      </c>
      <c r="M1296" t="n">
        <v>0.121</v>
      </c>
    </row>
    <row r="1297" spans="1:13">
      <c r="A1297" s="1">
        <f>HYPERLINK("http://www.twitter.com/NathanBLawrence/status/987086979056758784", "987086979056758784")</f>
        <v/>
      </c>
      <c r="B1297" s="2" t="n">
        <v>43209.91260416667</v>
      </c>
      <c r="C1297" t="n">
        <v>0</v>
      </c>
      <c r="D1297" t="n">
        <v>333</v>
      </c>
      <c r="E1297" t="s">
        <v>1307</v>
      </c>
      <c r="F1297">
        <f>HYPERLINK("http://pbs.twimg.com/media/DbK-wEgUQAA20Ag.jpg", "http://pbs.twimg.com/media/DbK-wEgUQAA20Ag.jpg")</f>
        <v/>
      </c>
      <c r="G1297" t="s"/>
      <c r="H1297" t="s"/>
      <c r="I1297" t="s"/>
      <c r="J1297" t="n">
        <v>-0.4588</v>
      </c>
      <c r="K1297" t="n">
        <v>0.115</v>
      </c>
      <c r="L1297" t="n">
        <v>0.885</v>
      </c>
      <c r="M1297" t="n">
        <v>0</v>
      </c>
    </row>
    <row r="1298" spans="1:13">
      <c r="A1298" s="1">
        <f>HYPERLINK("http://www.twitter.com/NathanBLawrence/status/987086759577047040", "987086759577047040")</f>
        <v/>
      </c>
      <c r="B1298" s="2" t="n">
        <v>43209.91200231481</v>
      </c>
      <c r="C1298" t="n">
        <v>0</v>
      </c>
      <c r="D1298" t="n">
        <v>375</v>
      </c>
      <c r="E1298" t="s">
        <v>1308</v>
      </c>
      <c r="F1298" t="s"/>
      <c r="G1298" t="s"/>
      <c r="H1298" t="s"/>
      <c r="I1298" t="s"/>
      <c r="J1298" t="n">
        <v>-0.4767</v>
      </c>
      <c r="K1298" t="n">
        <v>0.164</v>
      </c>
      <c r="L1298" t="n">
        <v>0.773</v>
      </c>
      <c r="M1298" t="n">
        <v>0.063</v>
      </c>
    </row>
    <row r="1299" spans="1:13">
      <c r="A1299" s="1">
        <f>HYPERLINK("http://www.twitter.com/NathanBLawrence/status/987086382723051520", "987086382723051520")</f>
        <v/>
      </c>
      <c r="B1299" s="2" t="n">
        <v>43209.91096064815</v>
      </c>
      <c r="C1299" t="n">
        <v>0</v>
      </c>
      <c r="D1299" t="n">
        <v>2598</v>
      </c>
      <c r="E1299" t="s">
        <v>1309</v>
      </c>
      <c r="F1299" t="s"/>
      <c r="G1299" t="s"/>
      <c r="H1299" t="s"/>
      <c r="I1299" t="s"/>
      <c r="J1299" t="n">
        <v>0.1511</v>
      </c>
      <c r="K1299" t="n">
        <v>0.102</v>
      </c>
      <c r="L1299" t="n">
        <v>0.773</v>
      </c>
      <c r="M1299" t="n">
        <v>0.126</v>
      </c>
    </row>
    <row r="1300" spans="1:13">
      <c r="A1300" s="1">
        <f>HYPERLINK("http://www.twitter.com/NathanBLawrence/status/987086276204544000", "987086276204544000")</f>
        <v/>
      </c>
      <c r="B1300" s="2" t="n">
        <v>43209.9106712963</v>
      </c>
      <c r="C1300" t="n">
        <v>0</v>
      </c>
      <c r="D1300" t="n">
        <v>289</v>
      </c>
      <c r="E1300" t="s">
        <v>1310</v>
      </c>
      <c r="F1300" t="s"/>
      <c r="G1300" t="s"/>
      <c r="H1300" t="s"/>
      <c r="I1300" t="s"/>
      <c r="J1300" t="n">
        <v>0.7088</v>
      </c>
      <c r="K1300" t="n">
        <v>0</v>
      </c>
      <c r="L1300" t="n">
        <v>0.753</v>
      </c>
      <c r="M1300" t="n">
        <v>0.247</v>
      </c>
    </row>
    <row r="1301" spans="1:13">
      <c r="A1301" s="1">
        <f>HYPERLINK("http://www.twitter.com/NathanBLawrence/status/987086225533104128", "987086225533104128")</f>
        <v/>
      </c>
      <c r="B1301" s="2" t="n">
        <v>43209.91052083333</v>
      </c>
      <c r="C1301" t="n">
        <v>0</v>
      </c>
      <c r="D1301" t="n">
        <v>241</v>
      </c>
      <c r="E1301" t="s">
        <v>1311</v>
      </c>
      <c r="F1301" t="s"/>
      <c r="G1301" t="s"/>
      <c r="H1301" t="s"/>
      <c r="I1301" t="s"/>
      <c r="J1301" t="n">
        <v>-0.7131</v>
      </c>
      <c r="K1301" t="n">
        <v>0.255</v>
      </c>
      <c r="L1301" t="n">
        <v>0.661</v>
      </c>
      <c r="M1301" t="n">
        <v>0.083</v>
      </c>
    </row>
    <row r="1302" spans="1:13">
      <c r="A1302" s="1">
        <f>HYPERLINK("http://www.twitter.com/NathanBLawrence/status/987086041315033090", "987086041315033090")</f>
        <v/>
      </c>
      <c r="B1302" s="2" t="n">
        <v>43209.91002314815</v>
      </c>
      <c r="C1302" t="n">
        <v>0</v>
      </c>
      <c r="D1302" t="n">
        <v>5679</v>
      </c>
      <c r="E1302" t="s">
        <v>1312</v>
      </c>
      <c r="F1302" t="s"/>
      <c r="G1302" t="s"/>
      <c r="H1302" t="s"/>
      <c r="I1302" t="s"/>
      <c r="J1302" t="n">
        <v>0.128</v>
      </c>
      <c r="K1302" t="n">
        <v>0.19</v>
      </c>
      <c r="L1302" t="n">
        <v>0.588</v>
      </c>
      <c r="M1302" t="n">
        <v>0.222</v>
      </c>
    </row>
    <row r="1303" spans="1:13">
      <c r="A1303" s="1">
        <f>HYPERLINK("http://www.twitter.com/NathanBLawrence/status/987086016145121280", "987086016145121280")</f>
        <v/>
      </c>
      <c r="B1303" s="2" t="n">
        <v>43209.9099537037</v>
      </c>
      <c r="C1303" t="n">
        <v>0</v>
      </c>
      <c r="D1303" t="n">
        <v>60</v>
      </c>
      <c r="E1303" t="s">
        <v>1313</v>
      </c>
      <c r="F1303" t="s"/>
      <c r="G1303" t="s"/>
      <c r="H1303" t="s"/>
      <c r="I1303" t="s"/>
      <c r="J1303" t="n">
        <v>-0.7783</v>
      </c>
      <c r="K1303" t="n">
        <v>0.245</v>
      </c>
      <c r="L1303" t="n">
        <v>0.755</v>
      </c>
      <c r="M1303" t="n">
        <v>0</v>
      </c>
    </row>
    <row r="1304" spans="1:13">
      <c r="A1304" s="1">
        <f>HYPERLINK("http://www.twitter.com/NathanBLawrence/status/987085943864623105", "987085943864623105")</f>
        <v/>
      </c>
      <c r="B1304" s="2" t="n">
        <v>43209.90974537037</v>
      </c>
      <c r="C1304" t="n">
        <v>0</v>
      </c>
      <c r="D1304" t="n">
        <v>1570</v>
      </c>
      <c r="E1304" t="s">
        <v>1314</v>
      </c>
      <c r="F1304" t="s"/>
      <c r="G1304" t="s"/>
      <c r="H1304" t="s"/>
      <c r="I1304" t="s"/>
      <c r="J1304" t="n">
        <v>-0.4588</v>
      </c>
      <c r="K1304" t="n">
        <v>0.13</v>
      </c>
      <c r="L1304" t="n">
        <v>0.87</v>
      </c>
      <c r="M1304" t="n">
        <v>0</v>
      </c>
    </row>
    <row r="1305" spans="1:13">
      <c r="A1305" s="1">
        <f>HYPERLINK("http://www.twitter.com/NathanBLawrence/status/987085578763038725", "987085578763038725")</f>
        <v/>
      </c>
      <c r="B1305" s="2" t="n">
        <v>43209.90873842593</v>
      </c>
      <c r="C1305" t="n">
        <v>0</v>
      </c>
      <c r="D1305" t="n">
        <v>121</v>
      </c>
      <c r="E1305" t="s">
        <v>1315</v>
      </c>
      <c r="F1305">
        <f>HYPERLINK("http://pbs.twimg.com/media/DbKxFCqVQAEMCHb.jpg", "http://pbs.twimg.com/media/DbKxFCqVQAEMCHb.jpg")</f>
        <v/>
      </c>
      <c r="G1305" t="s"/>
      <c r="H1305" t="s"/>
      <c r="I1305" t="s"/>
      <c r="J1305" t="n">
        <v>0.3544</v>
      </c>
      <c r="K1305" t="n">
        <v>0</v>
      </c>
      <c r="L1305" t="n">
        <v>0.91</v>
      </c>
      <c r="M1305" t="n">
        <v>0.09</v>
      </c>
    </row>
    <row r="1306" spans="1:13">
      <c r="A1306" s="1">
        <f>HYPERLINK("http://www.twitter.com/NathanBLawrence/status/987028813266673665", "987028813266673665")</f>
        <v/>
      </c>
      <c r="B1306" s="2" t="n">
        <v>43209.75209490741</v>
      </c>
      <c r="C1306" t="n">
        <v>0</v>
      </c>
      <c r="D1306" t="n">
        <v>116</v>
      </c>
      <c r="E1306" t="s">
        <v>1316</v>
      </c>
      <c r="F1306" t="s"/>
      <c r="G1306" t="s"/>
      <c r="H1306" t="s"/>
      <c r="I1306" t="s"/>
      <c r="J1306" t="n">
        <v>0</v>
      </c>
      <c r="K1306" t="n">
        <v>0</v>
      </c>
      <c r="L1306" t="n">
        <v>1</v>
      </c>
      <c r="M1306" t="n">
        <v>0</v>
      </c>
    </row>
    <row r="1307" spans="1:13">
      <c r="A1307" s="1">
        <f>HYPERLINK("http://www.twitter.com/NathanBLawrence/status/987028536148967424", "987028536148967424")</f>
        <v/>
      </c>
      <c r="B1307" s="2" t="n">
        <v>43209.75133101852</v>
      </c>
      <c r="C1307" t="n">
        <v>0</v>
      </c>
      <c r="D1307" t="n">
        <v>158</v>
      </c>
      <c r="E1307" t="s">
        <v>1317</v>
      </c>
      <c r="F1307" t="s"/>
      <c r="G1307" t="s"/>
      <c r="H1307" t="s"/>
      <c r="I1307" t="s"/>
      <c r="J1307" t="n">
        <v>-0.5719</v>
      </c>
      <c r="K1307" t="n">
        <v>0.163</v>
      </c>
      <c r="L1307" t="n">
        <v>0.837</v>
      </c>
      <c r="M1307" t="n">
        <v>0</v>
      </c>
    </row>
    <row r="1308" spans="1:13">
      <c r="A1308" s="1">
        <f>HYPERLINK("http://www.twitter.com/NathanBLawrence/status/987028400761028608", "987028400761028608")</f>
        <v/>
      </c>
      <c r="B1308" s="2" t="n">
        <v>43209.75096064815</v>
      </c>
      <c r="C1308" t="n">
        <v>0</v>
      </c>
      <c r="D1308" t="n">
        <v>125</v>
      </c>
      <c r="E1308" t="s">
        <v>1318</v>
      </c>
      <c r="F1308">
        <f>HYPERLINK("https://video.twimg.com/ext_tw_video/986940289062326274/pu/vid/480x360/Ha89TYla0DbAuFnu.mp4?tag=3", "https://video.twimg.com/ext_tw_video/986940289062326274/pu/vid/480x360/Ha89TYla0DbAuFnu.mp4?tag=3")</f>
        <v/>
      </c>
      <c r="G1308" t="s"/>
      <c r="H1308" t="s"/>
      <c r="I1308" t="s"/>
      <c r="J1308" t="n">
        <v>0</v>
      </c>
      <c r="K1308" t="n">
        <v>0</v>
      </c>
      <c r="L1308" t="n">
        <v>1</v>
      </c>
      <c r="M1308" t="n">
        <v>0</v>
      </c>
    </row>
    <row r="1309" spans="1:13">
      <c r="A1309" s="1">
        <f>HYPERLINK("http://www.twitter.com/NathanBLawrence/status/987028023642808320", "987028023642808320")</f>
        <v/>
      </c>
      <c r="B1309" s="2" t="n">
        <v>43209.74991898148</v>
      </c>
      <c r="C1309" t="n">
        <v>0</v>
      </c>
      <c r="D1309" t="n">
        <v>381</v>
      </c>
      <c r="E1309" t="s">
        <v>1319</v>
      </c>
      <c r="F1309">
        <f>HYPERLINK("http://pbs.twimg.com/media/DbJ8L0tXUAYHWnB.jpg", "http://pbs.twimg.com/media/DbJ8L0tXUAYHWnB.jpg")</f>
        <v/>
      </c>
      <c r="G1309" t="s"/>
      <c r="H1309" t="s"/>
      <c r="I1309" t="s"/>
      <c r="J1309" t="n">
        <v>-0.6597</v>
      </c>
      <c r="K1309" t="n">
        <v>0.283</v>
      </c>
      <c r="L1309" t="n">
        <v>0.605</v>
      </c>
      <c r="M1309" t="n">
        <v>0.111</v>
      </c>
    </row>
    <row r="1310" spans="1:13">
      <c r="A1310" s="1">
        <f>HYPERLINK("http://www.twitter.com/NathanBLawrence/status/987027941673525248", "987027941673525248")</f>
        <v/>
      </c>
      <c r="B1310" s="2" t="n">
        <v>43209.74969907408</v>
      </c>
      <c r="C1310" t="n">
        <v>0</v>
      </c>
      <c r="D1310" t="n">
        <v>7395</v>
      </c>
      <c r="E1310" t="s">
        <v>1320</v>
      </c>
      <c r="F1310" t="s"/>
      <c r="G1310" t="s"/>
      <c r="H1310" t="s"/>
      <c r="I1310" t="s"/>
      <c r="J1310" t="n">
        <v>0</v>
      </c>
      <c r="K1310" t="n">
        <v>0</v>
      </c>
      <c r="L1310" t="n">
        <v>1</v>
      </c>
      <c r="M1310" t="n">
        <v>0</v>
      </c>
    </row>
    <row r="1311" spans="1:13">
      <c r="A1311" s="1">
        <f>HYPERLINK("http://www.twitter.com/NathanBLawrence/status/987027835666685952", "987027835666685952")</f>
        <v/>
      </c>
      <c r="B1311" s="2" t="n">
        <v>43209.74939814815</v>
      </c>
      <c r="C1311" t="n">
        <v>0</v>
      </c>
      <c r="D1311" t="n">
        <v>544</v>
      </c>
      <c r="E1311" t="s">
        <v>1321</v>
      </c>
      <c r="F1311" t="s"/>
      <c r="G1311" t="s"/>
      <c r="H1311" t="s"/>
      <c r="I1311" t="s"/>
      <c r="J1311" t="n">
        <v>-0.2342</v>
      </c>
      <c r="K1311" t="n">
        <v>0.08799999999999999</v>
      </c>
      <c r="L1311" t="n">
        <v>0.912</v>
      </c>
      <c r="M1311" t="n">
        <v>0</v>
      </c>
    </row>
    <row r="1312" spans="1:13">
      <c r="A1312" s="1">
        <f>HYPERLINK("http://www.twitter.com/NathanBLawrence/status/986989389740847105", "986989389740847105")</f>
        <v/>
      </c>
      <c r="B1312" s="2" t="n">
        <v>43209.64331018519</v>
      </c>
      <c r="C1312" t="n">
        <v>0</v>
      </c>
      <c r="D1312" t="n">
        <v>670</v>
      </c>
      <c r="E1312" t="s">
        <v>1322</v>
      </c>
      <c r="F1312">
        <f>HYPERLINK("http://pbs.twimg.com/media/DbIzhAeV4AEXgEN.jpg", "http://pbs.twimg.com/media/DbIzhAeV4AEXgEN.jpg")</f>
        <v/>
      </c>
      <c r="G1312" t="s"/>
      <c r="H1312" t="s"/>
      <c r="I1312" t="s"/>
      <c r="J1312" t="n">
        <v>0.6124000000000001</v>
      </c>
      <c r="K1312" t="n">
        <v>0</v>
      </c>
      <c r="L1312" t="n">
        <v>0.792</v>
      </c>
      <c r="M1312" t="n">
        <v>0.208</v>
      </c>
    </row>
    <row r="1313" spans="1:13">
      <c r="A1313" s="1">
        <f>HYPERLINK("http://www.twitter.com/NathanBLawrence/status/986988867948462081", "986988867948462081")</f>
        <v/>
      </c>
      <c r="B1313" s="2" t="n">
        <v>43209.641875</v>
      </c>
      <c r="C1313" t="n">
        <v>0</v>
      </c>
      <c r="D1313" t="n">
        <v>201</v>
      </c>
      <c r="E1313" t="s">
        <v>1323</v>
      </c>
      <c r="F1313">
        <f>HYPERLINK("http://pbs.twimg.com/media/DbJxbGUUwAArmeK.jpg", "http://pbs.twimg.com/media/DbJxbGUUwAArmeK.jpg")</f>
        <v/>
      </c>
      <c r="G1313" t="s"/>
      <c r="H1313" t="s"/>
      <c r="I1313" t="s"/>
      <c r="J1313" t="n">
        <v>0.7964</v>
      </c>
      <c r="K1313" t="n">
        <v>0.092</v>
      </c>
      <c r="L1313" t="n">
        <v>0.576</v>
      </c>
      <c r="M1313" t="n">
        <v>0.332</v>
      </c>
    </row>
    <row r="1314" spans="1:13">
      <c r="A1314" s="1">
        <f>HYPERLINK("http://www.twitter.com/NathanBLawrence/status/986988689438883840", "986988689438883840")</f>
        <v/>
      </c>
      <c r="B1314" s="2" t="n">
        <v>43209.64137731482</v>
      </c>
      <c r="C1314" t="n">
        <v>0</v>
      </c>
      <c r="D1314" t="n">
        <v>16</v>
      </c>
      <c r="E1314" t="s">
        <v>1324</v>
      </c>
      <c r="F1314" t="s"/>
      <c r="G1314" t="s"/>
      <c r="H1314" t="s"/>
      <c r="I1314" t="s"/>
      <c r="J1314" t="n">
        <v>-0.3412</v>
      </c>
      <c r="K1314" t="n">
        <v>0.124</v>
      </c>
      <c r="L1314" t="n">
        <v>0.876</v>
      </c>
      <c r="M1314" t="n">
        <v>0</v>
      </c>
    </row>
    <row r="1315" spans="1:13">
      <c r="A1315" s="1">
        <f>HYPERLINK("http://www.twitter.com/NathanBLawrence/status/986988476028432387", "986988476028432387")</f>
        <v/>
      </c>
      <c r="B1315" s="2" t="n">
        <v>43209.64078703704</v>
      </c>
      <c r="C1315" t="n">
        <v>0</v>
      </c>
      <c r="D1315" t="n">
        <v>1071</v>
      </c>
      <c r="E1315" t="s">
        <v>1325</v>
      </c>
      <c r="F1315">
        <f>HYPERLINK("http://pbs.twimg.com/media/DbJjCewVMAAxz1S.jpg", "http://pbs.twimg.com/media/DbJjCewVMAAxz1S.jpg")</f>
        <v/>
      </c>
      <c r="G1315" t="s"/>
      <c r="H1315" t="s"/>
      <c r="I1315" t="s"/>
      <c r="J1315" t="n">
        <v>0.4588</v>
      </c>
      <c r="K1315" t="n">
        <v>0.063</v>
      </c>
      <c r="L1315" t="n">
        <v>0.794</v>
      </c>
      <c r="M1315" t="n">
        <v>0.143</v>
      </c>
    </row>
    <row r="1316" spans="1:13">
      <c r="A1316" s="1">
        <f>HYPERLINK("http://www.twitter.com/NathanBLawrence/status/986988238689599488", "986988238689599488")</f>
        <v/>
      </c>
      <c r="B1316" s="2" t="n">
        <v>43209.64013888889</v>
      </c>
      <c r="C1316" t="n">
        <v>0</v>
      </c>
      <c r="D1316" t="n">
        <v>1576</v>
      </c>
      <c r="E1316" t="s">
        <v>1326</v>
      </c>
      <c r="F1316" t="s"/>
      <c r="G1316" t="s"/>
      <c r="H1316" t="s"/>
      <c r="I1316" t="s"/>
      <c r="J1316" t="n">
        <v>0</v>
      </c>
      <c r="K1316" t="n">
        <v>0</v>
      </c>
      <c r="L1316" t="n">
        <v>1</v>
      </c>
      <c r="M1316" t="n">
        <v>0</v>
      </c>
    </row>
    <row r="1317" spans="1:13">
      <c r="A1317" s="1">
        <f>HYPERLINK("http://www.twitter.com/NathanBLawrence/status/986956061801308162", "986956061801308162")</f>
        <v/>
      </c>
      <c r="B1317" s="2" t="n">
        <v>43209.55134259259</v>
      </c>
      <c r="C1317" t="n">
        <v>0</v>
      </c>
      <c r="D1317" t="n">
        <v>44</v>
      </c>
      <c r="E1317" t="s">
        <v>1327</v>
      </c>
      <c r="F1317">
        <f>HYPERLINK("http://pbs.twimg.com/media/DbJQZBiVMAAcRTc.jpg", "http://pbs.twimg.com/media/DbJQZBiVMAAcRTc.jpg")</f>
        <v/>
      </c>
      <c r="G1317" t="s"/>
      <c r="H1317" t="s"/>
      <c r="I1317" t="s"/>
      <c r="J1317" t="n">
        <v>0.8949</v>
      </c>
      <c r="K1317" t="n">
        <v>0.121</v>
      </c>
      <c r="L1317" t="n">
        <v>0.47</v>
      </c>
      <c r="M1317" t="n">
        <v>0.408</v>
      </c>
    </row>
    <row r="1318" spans="1:13">
      <c r="A1318" s="1">
        <f>HYPERLINK("http://www.twitter.com/NathanBLawrence/status/986955986135953408", "986955986135953408")</f>
        <v/>
      </c>
      <c r="B1318" s="2" t="n">
        <v>43209.55113425926</v>
      </c>
      <c r="C1318" t="n">
        <v>0</v>
      </c>
      <c r="D1318" t="n">
        <v>895</v>
      </c>
      <c r="E1318" t="s">
        <v>1328</v>
      </c>
      <c r="F1318">
        <f>HYPERLINK("http://pbs.twimg.com/media/DbHcrY8XcAEKLzu.jpg", "http://pbs.twimg.com/media/DbHcrY8XcAEKLzu.jpg")</f>
        <v/>
      </c>
      <c r="G1318">
        <f>HYPERLINK("http://pbs.twimg.com/media/DbHcrY8XUAUKYTO.jpg", "http://pbs.twimg.com/media/DbHcrY8XUAUKYTO.jpg")</f>
        <v/>
      </c>
      <c r="H1318" t="s"/>
      <c r="I1318" t="s"/>
      <c r="J1318" t="n">
        <v>0</v>
      </c>
      <c r="K1318" t="n">
        <v>0</v>
      </c>
      <c r="L1318" t="n">
        <v>1</v>
      </c>
      <c r="M1318" t="n">
        <v>0</v>
      </c>
    </row>
    <row r="1319" spans="1:13">
      <c r="A1319" s="1">
        <f>HYPERLINK("http://www.twitter.com/NathanBLawrence/status/986955895824265216", "986955895824265216")</f>
        <v/>
      </c>
      <c r="B1319" s="2" t="n">
        <v>43209.55087962963</v>
      </c>
      <c r="C1319" t="n">
        <v>0</v>
      </c>
      <c r="D1319" t="n">
        <v>42</v>
      </c>
      <c r="E1319" t="s">
        <v>1329</v>
      </c>
      <c r="F1319">
        <f>HYPERLINK("http://pbs.twimg.com/media/DbJP1UaX4AAg1CA.jpg", "http://pbs.twimg.com/media/DbJP1UaX4AAg1CA.jpg")</f>
        <v/>
      </c>
      <c r="G1319" t="s"/>
      <c r="H1319" t="s"/>
      <c r="I1319" t="s"/>
      <c r="J1319" t="n">
        <v>0</v>
      </c>
      <c r="K1319" t="n">
        <v>0</v>
      </c>
      <c r="L1319" t="n">
        <v>1</v>
      </c>
      <c r="M1319" t="n">
        <v>0</v>
      </c>
    </row>
    <row r="1320" spans="1:13">
      <c r="A1320" s="1">
        <f>HYPERLINK("http://www.twitter.com/NathanBLawrence/status/986955402712530944", "986955402712530944")</f>
        <v/>
      </c>
      <c r="B1320" s="2" t="n">
        <v>43209.54952546296</v>
      </c>
      <c r="C1320" t="n">
        <v>0</v>
      </c>
      <c r="D1320" t="n">
        <v>3687</v>
      </c>
      <c r="E1320" t="s">
        <v>1330</v>
      </c>
      <c r="F1320">
        <f>HYPERLINK("https://video.twimg.com/ext_tw_video/965616319218544640/pu/vid/1280x720/FdjXPeGJPdolNIum.mp4", "https://video.twimg.com/ext_tw_video/965616319218544640/pu/vid/1280x720/FdjXPeGJPdolNIum.mp4")</f>
        <v/>
      </c>
      <c r="G1320" t="s"/>
      <c r="H1320" t="s"/>
      <c r="I1320" t="s"/>
      <c r="J1320" t="n">
        <v>-0.5766</v>
      </c>
      <c r="K1320" t="n">
        <v>0.13</v>
      </c>
      <c r="L1320" t="n">
        <v>0.87</v>
      </c>
      <c r="M1320" t="n">
        <v>0</v>
      </c>
    </row>
    <row r="1321" spans="1:13">
      <c r="A1321" s="1">
        <f>HYPERLINK("http://www.twitter.com/NathanBLawrence/status/986938691909107714", "986938691909107714")</f>
        <v/>
      </c>
      <c r="B1321" s="2" t="n">
        <v>43209.50341435185</v>
      </c>
      <c r="C1321" t="n">
        <v>0</v>
      </c>
      <c r="D1321" t="n">
        <v>11954</v>
      </c>
      <c r="E1321" t="s">
        <v>1331</v>
      </c>
      <c r="F1321" t="s"/>
      <c r="G1321" t="s"/>
      <c r="H1321" t="s"/>
      <c r="I1321" t="s"/>
      <c r="J1321" t="n">
        <v>0</v>
      </c>
      <c r="K1321" t="n">
        <v>0</v>
      </c>
      <c r="L1321" t="n">
        <v>1</v>
      </c>
      <c r="M1321" t="n">
        <v>0</v>
      </c>
    </row>
    <row r="1322" spans="1:13">
      <c r="A1322" s="1">
        <f>HYPERLINK("http://www.twitter.com/NathanBLawrence/status/986938327965167616", "986938327965167616")</f>
        <v/>
      </c>
      <c r="B1322" s="2" t="n">
        <v>43209.50240740741</v>
      </c>
      <c r="C1322" t="n">
        <v>0</v>
      </c>
      <c r="D1322" t="n">
        <v>8798</v>
      </c>
      <c r="E1322" t="s">
        <v>1332</v>
      </c>
      <c r="F1322">
        <f>HYPERLINK("https://video.twimg.com/ext_tw_video/792096036491632641/pu/vid/1280x720/bJAl9Y7d2nyaIJIm.mp4", "https://video.twimg.com/ext_tw_video/792096036491632641/pu/vid/1280x720/bJAl9Y7d2nyaIJIm.mp4")</f>
        <v/>
      </c>
      <c r="G1322" t="s"/>
      <c r="H1322" t="s"/>
      <c r="I1322" t="s"/>
      <c r="J1322" t="n">
        <v>0.6249</v>
      </c>
      <c r="K1322" t="n">
        <v>0</v>
      </c>
      <c r="L1322" t="n">
        <v>0.728</v>
      </c>
      <c r="M1322" t="n">
        <v>0.272</v>
      </c>
    </row>
    <row r="1323" spans="1:13">
      <c r="A1323" s="1">
        <f>HYPERLINK("http://www.twitter.com/NathanBLawrence/status/986937966877540352", "986937966877540352")</f>
        <v/>
      </c>
      <c r="B1323" s="2" t="n">
        <v>43209.50141203704</v>
      </c>
      <c r="C1323" t="n">
        <v>0</v>
      </c>
      <c r="D1323" t="n">
        <v>6163</v>
      </c>
      <c r="E1323" t="s">
        <v>1333</v>
      </c>
      <c r="F1323" t="s"/>
      <c r="G1323" t="s"/>
      <c r="H1323" t="s"/>
      <c r="I1323" t="s"/>
      <c r="J1323" t="n">
        <v>-0.6808</v>
      </c>
      <c r="K1323" t="n">
        <v>0.31</v>
      </c>
      <c r="L1323" t="n">
        <v>0.584</v>
      </c>
      <c r="M1323" t="n">
        <v>0.106</v>
      </c>
    </row>
    <row r="1324" spans="1:13">
      <c r="A1324" s="1">
        <f>HYPERLINK("http://www.twitter.com/NathanBLawrence/status/986937642695589888", "986937642695589888")</f>
        <v/>
      </c>
      <c r="B1324" s="2" t="n">
        <v>43209.50052083333</v>
      </c>
      <c r="C1324" t="n">
        <v>0</v>
      </c>
      <c r="D1324" t="n">
        <v>193</v>
      </c>
      <c r="E1324" t="s">
        <v>1334</v>
      </c>
      <c r="F1324">
        <f>HYPERLINK("http://pbs.twimg.com/media/DbILH1wUwAAl2lT.jpg", "http://pbs.twimg.com/media/DbILH1wUwAAl2lT.jpg")</f>
        <v/>
      </c>
      <c r="G1324" t="s"/>
      <c r="H1324" t="s"/>
      <c r="I1324" t="s"/>
      <c r="J1324" t="n">
        <v>0.6249</v>
      </c>
      <c r="K1324" t="n">
        <v>0</v>
      </c>
      <c r="L1324" t="n">
        <v>0.837</v>
      </c>
      <c r="M1324" t="n">
        <v>0.163</v>
      </c>
    </row>
    <row r="1325" spans="1:13">
      <c r="A1325" s="1">
        <f>HYPERLINK("http://www.twitter.com/NathanBLawrence/status/986937485178490881", "986937485178490881")</f>
        <v/>
      </c>
      <c r="B1325" s="2" t="n">
        <v>43209.50008101852</v>
      </c>
      <c r="C1325" t="n">
        <v>0</v>
      </c>
      <c r="D1325" t="n">
        <v>91</v>
      </c>
      <c r="E1325" t="s">
        <v>1335</v>
      </c>
      <c r="F1325" t="s"/>
      <c r="G1325" t="s"/>
      <c r="H1325" t="s"/>
      <c r="I1325" t="s"/>
      <c r="J1325" t="n">
        <v>0</v>
      </c>
      <c r="K1325" t="n">
        <v>0</v>
      </c>
      <c r="L1325" t="n">
        <v>1</v>
      </c>
      <c r="M1325" t="n">
        <v>0</v>
      </c>
    </row>
    <row r="1326" spans="1:13">
      <c r="A1326" s="1">
        <f>HYPERLINK("http://www.twitter.com/NathanBLawrence/status/986936358366208002", "986936358366208002")</f>
        <v/>
      </c>
      <c r="B1326" s="2" t="n">
        <v>43209.49696759259</v>
      </c>
      <c r="C1326" t="n">
        <v>0</v>
      </c>
      <c r="D1326" t="n">
        <v>1475</v>
      </c>
      <c r="E1326" t="s">
        <v>1336</v>
      </c>
      <c r="F1326" t="s"/>
      <c r="G1326" t="s"/>
      <c r="H1326" t="s"/>
      <c r="I1326" t="s"/>
      <c r="J1326" t="n">
        <v>0.6369</v>
      </c>
      <c r="K1326" t="n">
        <v>0</v>
      </c>
      <c r="L1326" t="n">
        <v>0.84</v>
      </c>
      <c r="M1326" t="n">
        <v>0.16</v>
      </c>
    </row>
    <row r="1327" spans="1:13">
      <c r="A1327" s="1">
        <f>HYPERLINK("http://www.twitter.com/NathanBLawrence/status/986936244947927040", "986936244947927040")</f>
        <v/>
      </c>
      <c r="B1327" s="2" t="n">
        <v>43209.49665509259</v>
      </c>
      <c r="C1327" t="n">
        <v>0</v>
      </c>
      <c r="D1327" t="n">
        <v>135</v>
      </c>
      <c r="E1327" t="s">
        <v>1337</v>
      </c>
      <c r="F1327" t="s"/>
      <c r="G1327" t="s"/>
      <c r="H1327" t="s"/>
      <c r="I1327" t="s"/>
      <c r="J1327" t="n">
        <v>0</v>
      </c>
      <c r="K1327" t="n">
        <v>0</v>
      </c>
      <c r="L1327" t="n">
        <v>1</v>
      </c>
      <c r="M1327" t="n">
        <v>0</v>
      </c>
    </row>
    <row r="1328" spans="1:13">
      <c r="A1328" s="1">
        <f>HYPERLINK("http://www.twitter.com/NathanBLawrence/status/986935796316827649", "986935796316827649")</f>
        <v/>
      </c>
      <c r="B1328" s="2" t="n">
        <v>43209.49541666666</v>
      </c>
      <c r="C1328" t="n">
        <v>0</v>
      </c>
      <c r="D1328" t="n">
        <v>2800</v>
      </c>
      <c r="E1328" t="s">
        <v>1338</v>
      </c>
      <c r="F1328">
        <f>HYPERLINK("http://pbs.twimg.com/media/DbHi29rVMAAkDvB.jpg", "http://pbs.twimg.com/media/DbHi29rVMAAkDvB.jpg")</f>
        <v/>
      </c>
      <c r="G1328" t="s"/>
      <c r="H1328" t="s"/>
      <c r="I1328" t="s"/>
      <c r="J1328" t="n">
        <v>-0.8401999999999999</v>
      </c>
      <c r="K1328" t="n">
        <v>0.296</v>
      </c>
      <c r="L1328" t="n">
        <v>0.704</v>
      </c>
      <c r="M1328" t="n">
        <v>0</v>
      </c>
    </row>
    <row r="1329" spans="1:13">
      <c r="A1329" s="1">
        <f>HYPERLINK("http://www.twitter.com/NathanBLawrence/status/986935691664809984", "986935691664809984")</f>
        <v/>
      </c>
      <c r="B1329" s="2" t="n">
        <v>43209.49512731482</v>
      </c>
      <c r="C1329" t="n">
        <v>0</v>
      </c>
      <c r="D1329" t="n">
        <v>905</v>
      </c>
      <c r="E1329" t="s">
        <v>1339</v>
      </c>
      <c r="F1329">
        <f>HYPERLINK("https://video.twimg.com/amplify_video/986739086693191680/vid/1280x720/wRw0xf3Zi6BzEXfy.mp4?tag=6", "https://video.twimg.com/amplify_video/986739086693191680/vid/1280x720/wRw0xf3Zi6BzEXfy.mp4?tag=6")</f>
        <v/>
      </c>
      <c r="G1329" t="s"/>
      <c r="H1329" t="s"/>
      <c r="I1329" t="s"/>
      <c r="J1329" t="n">
        <v>-0.2732</v>
      </c>
      <c r="K1329" t="n">
        <v>0.08699999999999999</v>
      </c>
      <c r="L1329" t="n">
        <v>0.913</v>
      </c>
      <c r="M1329" t="n">
        <v>0</v>
      </c>
    </row>
    <row r="1330" spans="1:13">
      <c r="A1330" s="1">
        <f>HYPERLINK("http://www.twitter.com/NathanBLawrence/status/986935569891581952", "986935569891581952")</f>
        <v/>
      </c>
      <c r="B1330" s="2" t="n">
        <v>43209.49479166666</v>
      </c>
      <c r="C1330" t="n">
        <v>0</v>
      </c>
      <c r="D1330" t="n">
        <v>351</v>
      </c>
      <c r="E1330" t="s">
        <v>1340</v>
      </c>
      <c r="F1330">
        <f>HYPERLINK("https://video.twimg.com/amplify_video/986538366664695808/vid/1280x720/mGvhVgS-7Jc288fz.mp4?tag=6", "https://video.twimg.com/amplify_video/986538366664695808/vid/1280x720/mGvhVgS-7Jc288fz.mp4?tag=6")</f>
        <v/>
      </c>
      <c r="G1330" t="s"/>
      <c r="H1330" t="s"/>
      <c r="I1330" t="s"/>
      <c r="J1330" t="n">
        <v>0.3818</v>
      </c>
      <c r="K1330" t="n">
        <v>0</v>
      </c>
      <c r="L1330" t="n">
        <v>0.89</v>
      </c>
      <c r="M1330" t="n">
        <v>0.11</v>
      </c>
    </row>
    <row r="1331" spans="1:13">
      <c r="A1331" s="1">
        <f>HYPERLINK("http://www.twitter.com/NathanBLawrence/status/986857841012031488", "986857841012031488")</f>
        <v/>
      </c>
      <c r="B1331" s="2" t="n">
        <v>43209.28030092592</v>
      </c>
      <c r="C1331" t="n">
        <v>0</v>
      </c>
      <c r="D1331" t="n">
        <v>62</v>
      </c>
      <c r="E1331" t="s">
        <v>1341</v>
      </c>
      <c r="F1331" t="s"/>
      <c r="G1331" t="s"/>
      <c r="H1331" t="s"/>
      <c r="I1331" t="s"/>
      <c r="J1331" t="n">
        <v>0</v>
      </c>
      <c r="K1331" t="n">
        <v>0</v>
      </c>
      <c r="L1331" t="n">
        <v>1</v>
      </c>
      <c r="M1331" t="n">
        <v>0</v>
      </c>
    </row>
    <row r="1332" spans="1:13">
      <c r="A1332" s="1">
        <f>HYPERLINK("http://www.twitter.com/NathanBLawrence/status/986857768886779904", "986857768886779904")</f>
        <v/>
      </c>
      <c r="B1332" s="2" t="n">
        <v>43209.28010416667</v>
      </c>
      <c r="C1332" t="n">
        <v>0</v>
      </c>
      <c r="D1332" t="n">
        <v>205</v>
      </c>
      <c r="E1332" t="s">
        <v>1342</v>
      </c>
      <c r="F1332">
        <f>HYPERLINK("http://pbs.twimg.com/media/DTYnuZXVoAAbgtG.jpg", "http://pbs.twimg.com/media/DTYnuZXVoAAbgtG.jpg")</f>
        <v/>
      </c>
      <c r="G1332" t="s"/>
      <c r="H1332" t="s"/>
      <c r="I1332" t="s"/>
      <c r="J1332" t="n">
        <v>-0.3182</v>
      </c>
      <c r="K1332" t="n">
        <v>0.091</v>
      </c>
      <c r="L1332" t="n">
        <v>0.909</v>
      </c>
      <c r="M1332" t="n">
        <v>0</v>
      </c>
    </row>
    <row r="1333" spans="1:13">
      <c r="A1333" s="1">
        <f>HYPERLINK("http://www.twitter.com/NathanBLawrence/status/986857506113638400", "986857506113638400")</f>
        <v/>
      </c>
      <c r="B1333" s="2" t="n">
        <v>43209.27938657408</v>
      </c>
      <c r="C1333" t="n">
        <v>0</v>
      </c>
      <c r="D1333" t="n">
        <v>1392</v>
      </c>
      <c r="E1333" t="s">
        <v>1343</v>
      </c>
      <c r="F1333">
        <f>HYPERLINK("http://pbs.twimg.com/media/DbHde-fVwAE0854.jpg", "http://pbs.twimg.com/media/DbHde-fVwAE0854.jpg")</f>
        <v/>
      </c>
      <c r="G1333" t="s"/>
      <c r="H1333" t="s"/>
      <c r="I1333" t="s"/>
      <c r="J1333" t="n">
        <v>-0.3637</v>
      </c>
      <c r="K1333" t="n">
        <v>0.112</v>
      </c>
      <c r="L1333" t="n">
        <v>0.825</v>
      </c>
      <c r="M1333" t="n">
        <v>0.062</v>
      </c>
    </row>
    <row r="1334" spans="1:13">
      <c r="A1334" s="1">
        <f>HYPERLINK("http://www.twitter.com/NathanBLawrence/status/986856691244326913", "986856691244326913")</f>
        <v/>
      </c>
      <c r="B1334" s="2" t="n">
        <v>43209.27712962963</v>
      </c>
      <c r="C1334" t="n">
        <v>0</v>
      </c>
      <c r="D1334" t="n">
        <v>275</v>
      </c>
      <c r="E1334" t="s">
        <v>1344</v>
      </c>
      <c r="F1334" t="s"/>
      <c r="G1334" t="s"/>
      <c r="H1334" t="s"/>
      <c r="I1334" t="s"/>
      <c r="J1334" t="n">
        <v>0</v>
      </c>
      <c r="K1334" t="n">
        <v>0</v>
      </c>
      <c r="L1334" t="n">
        <v>1</v>
      </c>
      <c r="M1334" t="n">
        <v>0</v>
      </c>
    </row>
    <row r="1335" spans="1:13">
      <c r="A1335" s="1">
        <f>HYPERLINK("http://www.twitter.com/NathanBLawrence/status/986856221763190784", "986856221763190784")</f>
        <v/>
      </c>
      <c r="B1335" s="2" t="n">
        <v>43209.27583333333</v>
      </c>
      <c r="C1335" t="n">
        <v>0</v>
      </c>
      <c r="D1335" t="n">
        <v>676</v>
      </c>
      <c r="E1335" t="s">
        <v>1345</v>
      </c>
      <c r="F1335">
        <f>HYPERLINK("http://pbs.twimg.com/media/DbGv8oLW4AEOeG8.jpg", "http://pbs.twimg.com/media/DbGv8oLW4AEOeG8.jpg")</f>
        <v/>
      </c>
      <c r="G1335" t="s"/>
      <c r="H1335" t="s"/>
      <c r="I1335" t="s"/>
      <c r="J1335" t="n">
        <v>0.5994</v>
      </c>
      <c r="K1335" t="n">
        <v>0</v>
      </c>
      <c r="L1335" t="n">
        <v>0.505</v>
      </c>
      <c r="M1335" t="n">
        <v>0.495</v>
      </c>
    </row>
    <row r="1336" spans="1:13">
      <c r="A1336" s="1">
        <f>HYPERLINK("http://www.twitter.com/NathanBLawrence/status/986847269696745473", "986847269696745473")</f>
        <v/>
      </c>
      <c r="B1336" s="2" t="n">
        <v>43209.25113425926</v>
      </c>
      <c r="C1336" t="n">
        <v>0</v>
      </c>
      <c r="D1336" t="n">
        <v>0</v>
      </c>
      <c r="E1336" t="s">
        <v>1346</v>
      </c>
      <c r="F1336" t="s"/>
      <c r="G1336" t="s"/>
      <c r="H1336" t="s"/>
      <c r="I1336" t="s"/>
      <c r="J1336" t="n">
        <v>0</v>
      </c>
      <c r="K1336" t="n">
        <v>0</v>
      </c>
      <c r="L1336" t="n">
        <v>1</v>
      </c>
      <c r="M1336" t="n">
        <v>0</v>
      </c>
    </row>
    <row r="1337" spans="1:13">
      <c r="A1337" s="1">
        <f>HYPERLINK("http://www.twitter.com/NathanBLawrence/status/986844504878497792", "986844504878497792")</f>
        <v/>
      </c>
      <c r="B1337" s="2" t="n">
        <v>43209.24350694445</v>
      </c>
      <c r="C1337" t="n">
        <v>1</v>
      </c>
      <c r="D1337" t="n">
        <v>0</v>
      </c>
      <c r="E1337" t="s">
        <v>1347</v>
      </c>
      <c r="F1337" t="s"/>
      <c r="G1337" t="s"/>
      <c r="H1337" t="s"/>
      <c r="I1337" t="s"/>
      <c r="J1337" t="n">
        <v>-0.8807</v>
      </c>
      <c r="K1337" t="n">
        <v>0.338</v>
      </c>
      <c r="L1337" t="n">
        <v>0.662</v>
      </c>
      <c r="M1337" t="n">
        <v>0</v>
      </c>
    </row>
    <row r="1338" spans="1:13">
      <c r="A1338" s="1">
        <f>HYPERLINK("http://www.twitter.com/NathanBLawrence/status/986842939392339968", "986842939392339968")</f>
        <v/>
      </c>
      <c r="B1338" s="2" t="n">
        <v>43209.23918981481</v>
      </c>
      <c r="C1338" t="n">
        <v>0</v>
      </c>
      <c r="D1338" t="n">
        <v>1</v>
      </c>
      <c r="E1338" t="s">
        <v>1348</v>
      </c>
      <c r="F1338" t="s"/>
      <c r="G1338" t="s"/>
      <c r="H1338" t="s"/>
      <c r="I1338" t="s"/>
      <c r="J1338" t="n">
        <v>0</v>
      </c>
      <c r="K1338" t="n">
        <v>0</v>
      </c>
      <c r="L1338" t="n">
        <v>1</v>
      </c>
      <c r="M1338" t="n">
        <v>0</v>
      </c>
    </row>
    <row r="1339" spans="1:13">
      <c r="A1339" s="1">
        <f>HYPERLINK("http://www.twitter.com/NathanBLawrence/status/986842720642592768", "986842720642592768")</f>
        <v/>
      </c>
      <c r="B1339" s="2" t="n">
        <v>43209.23857638889</v>
      </c>
      <c r="C1339" t="n">
        <v>1</v>
      </c>
      <c r="D1339" t="n">
        <v>1</v>
      </c>
      <c r="E1339" t="s">
        <v>1349</v>
      </c>
      <c r="F1339" t="s"/>
      <c r="G1339" t="s"/>
      <c r="H1339" t="s"/>
      <c r="I1339" t="s"/>
      <c r="J1339" t="n">
        <v>0.5106000000000001</v>
      </c>
      <c r="K1339" t="n">
        <v>0</v>
      </c>
      <c r="L1339" t="n">
        <v>0.798</v>
      </c>
      <c r="M1339" t="n">
        <v>0.202</v>
      </c>
    </row>
    <row r="1340" spans="1:13">
      <c r="A1340" s="1">
        <f>HYPERLINK("http://www.twitter.com/NathanBLawrence/status/986842406304694272", "986842406304694272")</f>
        <v/>
      </c>
      <c r="B1340" s="2" t="n">
        <v>43209.23770833333</v>
      </c>
      <c r="C1340" t="n">
        <v>2</v>
      </c>
      <c r="D1340" t="n">
        <v>0</v>
      </c>
      <c r="E1340" t="s">
        <v>1350</v>
      </c>
      <c r="F1340" t="s"/>
      <c r="G1340" t="s"/>
      <c r="H1340" t="s"/>
      <c r="I1340" t="s"/>
      <c r="J1340" t="n">
        <v>-0.128</v>
      </c>
      <c r="K1340" t="n">
        <v>0.155</v>
      </c>
      <c r="L1340" t="n">
        <v>0.718</v>
      </c>
      <c r="M1340" t="n">
        <v>0.127</v>
      </c>
    </row>
    <row r="1341" spans="1:13">
      <c r="A1341" s="1">
        <f>HYPERLINK("http://www.twitter.com/NathanBLawrence/status/986842080621154305", "986842080621154305")</f>
        <v/>
      </c>
      <c r="B1341" s="2" t="n">
        <v>43209.23681712963</v>
      </c>
      <c r="C1341" t="n">
        <v>0</v>
      </c>
      <c r="D1341" t="n">
        <v>1</v>
      </c>
      <c r="E1341" t="s">
        <v>1351</v>
      </c>
      <c r="F1341" t="s"/>
      <c r="G1341" t="s"/>
      <c r="H1341" t="s"/>
      <c r="I1341" t="s"/>
      <c r="J1341" t="n">
        <v>0.4215</v>
      </c>
      <c r="K1341" t="n">
        <v>0</v>
      </c>
      <c r="L1341" t="n">
        <v>0.781</v>
      </c>
      <c r="M1341" t="n">
        <v>0.219</v>
      </c>
    </row>
    <row r="1342" spans="1:13">
      <c r="A1342" s="1">
        <f>HYPERLINK("http://www.twitter.com/NathanBLawrence/status/986841614348836864", "986841614348836864")</f>
        <v/>
      </c>
      <c r="B1342" s="2" t="n">
        <v>43209.23553240741</v>
      </c>
      <c r="C1342" t="n">
        <v>2</v>
      </c>
      <c r="D1342" t="n">
        <v>1</v>
      </c>
      <c r="E1342" t="s">
        <v>1352</v>
      </c>
      <c r="F1342" t="s"/>
      <c r="G1342" t="s"/>
      <c r="H1342" t="s"/>
      <c r="I1342" t="s"/>
      <c r="J1342" t="n">
        <v>0</v>
      </c>
      <c r="K1342" t="n">
        <v>0</v>
      </c>
      <c r="L1342" t="n">
        <v>1</v>
      </c>
      <c r="M1342" t="n">
        <v>0</v>
      </c>
    </row>
    <row r="1343" spans="1:13">
      <c r="A1343" s="1">
        <f>HYPERLINK("http://www.twitter.com/NathanBLawrence/status/986841175846830085", "986841175846830085")</f>
        <v/>
      </c>
      <c r="B1343" s="2" t="n">
        <v>43209.23431712963</v>
      </c>
      <c r="C1343" t="n">
        <v>0</v>
      </c>
      <c r="D1343" t="n">
        <v>2</v>
      </c>
      <c r="E1343" t="s">
        <v>1353</v>
      </c>
      <c r="F1343" t="s"/>
      <c r="G1343" t="s"/>
      <c r="H1343" t="s"/>
      <c r="I1343" t="s"/>
      <c r="J1343" t="n">
        <v>0</v>
      </c>
      <c r="K1343" t="n">
        <v>0</v>
      </c>
      <c r="L1343" t="n">
        <v>1</v>
      </c>
      <c r="M1343" t="n">
        <v>0</v>
      </c>
    </row>
    <row r="1344" spans="1:13">
      <c r="A1344" s="1">
        <f>HYPERLINK("http://www.twitter.com/NathanBLawrence/status/986840984456589312", "986840984456589312")</f>
        <v/>
      </c>
      <c r="B1344" s="2" t="n">
        <v>43209.23378472222</v>
      </c>
      <c r="C1344" t="n">
        <v>5</v>
      </c>
      <c r="D1344" t="n">
        <v>3</v>
      </c>
      <c r="E1344" t="s">
        <v>1354</v>
      </c>
      <c r="F1344" t="s"/>
      <c r="G1344" t="s"/>
      <c r="H1344" t="s"/>
      <c r="I1344" t="s"/>
      <c r="J1344" t="n">
        <v>-0.7003</v>
      </c>
      <c r="K1344" t="n">
        <v>0.309</v>
      </c>
      <c r="L1344" t="n">
        <v>0.6909999999999999</v>
      </c>
      <c r="M1344" t="n">
        <v>0</v>
      </c>
    </row>
    <row r="1345" spans="1:13">
      <c r="A1345" s="1">
        <f>HYPERLINK("http://www.twitter.com/NathanBLawrence/status/986840363636633600", "986840363636633600")</f>
        <v/>
      </c>
      <c r="B1345" s="2" t="n">
        <v>43209.23207175926</v>
      </c>
      <c r="C1345" t="n">
        <v>2</v>
      </c>
      <c r="D1345" t="n">
        <v>1</v>
      </c>
      <c r="E1345" t="s">
        <v>1355</v>
      </c>
      <c r="F1345" t="s"/>
      <c r="G1345" t="s"/>
      <c r="H1345" t="s"/>
      <c r="I1345" t="s"/>
      <c r="J1345" t="n">
        <v>0</v>
      </c>
      <c r="K1345" t="n">
        <v>0</v>
      </c>
      <c r="L1345" t="n">
        <v>1</v>
      </c>
      <c r="M1345" t="n">
        <v>0</v>
      </c>
    </row>
    <row r="1346" spans="1:13">
      <c r="A1346" s="1">
        <f>HYPERLINK("http://www.twitter.com/NathanBLawrence/status/986840209563111424", "986840209563111424")</f>
        <v/>
      </c>
      <c r="B1346" s="2" t="n">
        <v>43209.23165509259</v>
      </c>
      <c r="C1346" t="n">
        <v>5</v>
      </c>
      <c r="D1346" t="n">
        <v>3</v>
      </c>
      <c r="E1346" t="s">
        <v>1356</v>
      </c>
      <c r="F1346" t="s"/>
      <c r="G1346" t="s"/>
      <c r="H1346" t="s"/>
      <c r="I1346" t="s"/>
      <c r="J1346" t="n">
        <v>0</v>
      </c>
      <c r="K1346" t="n">
        <v>0</v>
      </c>
      <c r="L1346" t="n">
        <v>1</v>
      </c>
      <c r="M1346" t="n">
        <v>0</v>
      </c>
    </row>
    <row r="1347" spans="1:13">
      <c r="A1347" s="1">
        <f>HYPERLINK("http://www.twitter.com/NathanBLawrence/status/986838913405804545", "986838913405804545")</f>
        <v/>
      </c>
      <c r="B1347" s="2" t="n">
        <v>43209.2280787037</v>
      </c>
      <c r="C1347" t="n">
        <v>0</v>
      </c>
      <c r="D1347" t="n">
        <v>125</v>
      </c>
      <c r="E1347" t="s">
        <v>1357</v>
      </c>
      <c r="F1347">
        <f>HYPERLINK("http://pbs.twimg.com/media/DbHEzyhUQAI4K8h.jpg", "http://pbs.twimg.com/media/DbHEzyhUQAI4K8h.jpg")</f>
        <v/>
      </c>
      <c r="G1347" t="s"/>
      <c r="H1347" t="s"/>
      <c r="I1347" t="s"/>
      <c r="J1347" t="n">
        <v>0.4767</v>
      </c>
      <c r="K1347" t="n">
        <v>0</v>
      </c>
      <c r="L1347" t="n">
        <v>0.795</v>
      </c>
      <c r="M1347" t="n">
        <v>0.205</v>
      </c>
    </row>
    <row r="1348" spans="1:13">
      <c r="A1348" s="1">
        <f>HYPERLINK("http://www.twitter.com/NathanBLawrence/status/986838863065776133", "986838863065776133")</f>
        <v/>
      </c>
      <c r="B1348" s="2" t="n">
        <v>43209.22793981482</v>
      </c>
      <c r="C1348" t="n">
        <v>0</v>
      </c>
      <c r="D1348" t="n">
        <v>12</v>
      </c>
      <c r="E1348" t="s">
        <v>1358</v>
      </c>
      <c r="F1348">
        <f>HYPERLINK("http://pbs.twimg.com/media/DbHh3NbUQAEfjCX.jpg", "http://pbs.twimg.com/media/DbHh3NbUQAEfjCX.jpg")</f>
        <v/>
      </c>
      <c r="G1348" t="s"/>
      <c r="H1348" t="s"/>
      <c r="I1348" t="s"/>
      <c r="J1348" t="n">
        <v>0</v>
      </c>
      <c r="K1348" t="n">
        <v>0</v>
      </c>
      <c r="L1348" t="n">
        <v>1</v>
      </c>
      <c r="M1348" t="n">
        <v>0</v>
      </c>
    </row>
    <row r="1349" spans="1:13">
      <c r="A1349" s="1">
        <f>HYPERLINK("http://www.twitter.com/NathanBLawrence/status/986838757255999488", "986838757255999488")</f>
        <v/>
      </c>
      <c r="B1349" s="2" t="n">
        <v>43209.22763888889</v>
      </c>
      <c r="C1349" t="n">
        <v>0</v>
      </c>
      <c r="D1349" t="n">
        <v>2505</v>
      </c>
      <c r="E1349" t="s">
        <v>1359</v>
      </c>
      <c r="F1349">
        <f>HYPERLINK("https://video.twimg.com/ext_tw_video/986792066783965185/pu/vid/1280x720/xomm1B4a7CUmRGaO.mp4?tag=3", "https://video.twimg.com/ext_tw_video/986792066783965185/pu/vid/1280x720/xomm1B4a7CUmRGaO.mp4?tag=3")</f>
        <v/>
      </c>
      <c r="G1349" t="s"/>
      <c r="H1349" t="s"/>
      <c r="I1349" t="s"/>
      <c r="J1349" t="n">
        <v>0.7067</v>
      </c>
      <c r="K1349" t="n">
        <v>0</v>
      </c>
      <c r="L1349" t="n">
        <v>0.743</v>
      </c>
      <c r="M1349" t="n">
        <v>0.257</v>
      </c>
    </row>
    <row r="1350" spans="1:13">
      <c r="A1350" s="1">
        <f>HYPERLINK("http://www.twitter.com/NathanBLawrence/status/986838403600674816", "986838403600674816")</f>
        <v/>
      </c>
      <c r="B1350" s="2" t="n">
        <v>43209.22666666667</v>
      </c>
      <c r="C1350" t="n">
        <v>0</v>
      </c>
      <c r="D1350" t="n">
        <v>94</v>
      </c>
      <c r="E1350" t="s">
        <v>1360</v>
      </c>
      <c r="F1350" t="s"/>
      <c r="G1350" t="s"/>
      <c r="H1350" t="s"/>
      <c r="I1350" t="s"/>
      <c r="J1350" t="n">
        <v>-0.6808</v>
      </c>
      <c r="K1350" t="n">
        <v>0.365</v>
      </c>
      <c r="L1350" t="n">
        <v>0.635</v>
      </c>
      <c r="M1350" t="n">
        <v>0</v>
      </c>
    </row>
    <row r="1351" spans="1:13">
      <c r="A1351" s="1">
        <f>HYPERLINK("http://www.twitter.com/NathanBLawrence/status/986838237430743040", "986838237430743040")</f>
        <v/>
      </c>
      <c r="B1351" s="2" t="n">
        <v>43209.22621527778</v>
      </c>
      <c r="C1351" t="n">
        <v>0</v>
      </c>
      <c r="D1351" t="n">
        <v>7</v>
      </c>
      <c r="E1351" t="s">
        <v>1361</v>
      </c>
      <c r="F1351" t="s"/>
      <c r="G1351" t="s"/>
      <c r="H1351" t="s"/>
      <c r="I1351" t="s"/>
      <c r="J1351" t="n">
        <v>-0.8225</v>
      </c>
      <c r="K1351" t="n">
        <v>0.352</v>
      </c>
      <c r="L1351" t="n">
        <v>0.648</v>
      </c>
      <c r="M1351" t="n">
        <v>0</v>
      </c>
    </row>
    <row r="1352" spans="1:13">
      <c r="A1352" s="1">
        <f>HYPERLINK("http://www.twitter.com/NathanBLawrence/status/986837612903071744", "986837612903071744")</f>
        <v/>
      </c>
      <c r="B1352" s="2" t="n">
        <v>43209.22449074074</v>
      </c>
      <c r="C1352" t="n">
        <v>0</v>
      </c>
      <c r="D1352" t="n">
        <v>1225</v>
      </c>
      <c r="E1352" t="s">
        <v>1362</v>
      </c>
      <c r="F1352">
        <f>HYPERLINK("http://pbs.twimg.com/media/DbG6TRBX4AAv86Q.jpg", "http://pbs.twimg.com/media/DbG6TRBX4AAv86Q.jpg")</f>
        <v/>
      </c>
      <c r="G1352" t="s"/>
      <c r="H1352" t="s"/>
      <c r="I1352" t="s"/>
      <c r="J1352" t="n">
        <v>0.6597</v>
      </c>
      <c r="K1352" t="n">
        <v>0.079</v>
      </c>
      <c r="L1352" t="n">
        <v>0.6830000000000001</v>
      </c>
      <c r="M1352" t="n">
        <v>0.237</v>
      </c>
    </row>
    <row r="1353" spans="1:13">
      <c r="A1353" s="1">
        <f>HYPERLINK("http://www.twitter.com/NathanBLawrence/status/986837552329052160", "986837552329052160")</f>
        <v/>
      </c>
      <c r="B1353" s="2" t="n">
        <v>43209.22431712963</v>
      </c>
      <c r="C1353" t="n">
        <v>0</v>
      </c>
      <c r="D1353" t="n">
        <v>952</v>
      </c>
      <c r="E1353" t="s">
        <v>1363</v>
      </c>
      <c r="F1353" t="s"/>
      <c r="G1353" t="s"/>
      <c r="H1353" t="s"/>
      <c r="I1353" t="s"/>
      <c r="J1353" t="n">
        <v>0.4767</v>
      </c>
      <c r="K1353" t="n">
        <v>0</v>
      </c>
      <c r="L1353" t="n">
        <v>0.78</v>
      </c>
      <c r="M1353" t="n">
        <v>0.22</v>
      </c>
    </row>
    <row r="1354" spans="1:13">
      <c r="A1354" s="1">
        <f>HYPERLINK("http://www.twitter.com/NathanBLawrence/status/986837369893502976", "986837369893502976")</f>
        <v/>
      </c>
      <c r="B1354" s="2" t="n">
        <v>43209.22381944444</v>
      </c>
      <c r="C1354" t="n">
        <v>16</v>
      </c>
      <c r="D1354" t="n">
        <v>7</v>
      </c>
      <c r="E1354" t="s">
        <v>1364</v>
      </c>
      <c r="F1354">
        <f>HYPERLINK("http://pbs.twimg.com/media/DbHzQ0UVAAAFFYA.jpg", "http://pbs.twimg.com/media/DbHzQ0UVAAAFFYA.jpg")</f>
        <v/>
      </c>
      <c r="G1354" t="s"/>
      <c r="H1354" t="s"/>
      <c r="I1354" t="s"/>
      <c r="J1354" t="n">
        <v>0</v>
      </c>
      <c r="K1354" t="n">
        <v>0</v>
      </c>
      <c r="L1354" t="n">
        <v>1</v>
      </c>
      <c r="M1354" t="n">
        <v>0</v>
      </c>
    </row>
    <row r="1355" spans="1:13">
      <c r="A1355" s="1">
        <f>HYPERLINK("http://www.twitter.com/NathanBLawrence/status/986837143992418305", "986837143992418305")</f>
        <v/>
      </c>
      <c r="B1355" s="2" t="n">
        <v>43209.22319444444</v>
      </c>
      <c r="C1355" t="n">
        <v>0</v>
      </c>
      <c r="D1355" t="n">
        <v>4114</v>
      </c>
      <c r="E1355" t="s">
        <v>1365</v>
      </c>
      <c r="F1355">
        <f>HYPERLINK("https://video.twimg.com/amplify_video/968525013157638145/vid/1280x720/gECQWQFP4x9ewxGv.mp4", "https://video.twimg.com/amplify_video/968525013157638145/vid/1280x720/gECQWQFP4x9ewxGv.mp4")</f>
        <v/>
      </c>
      <c r="G1355" t="s"/>
      <c r="H1355" t="s"/>
      <c r="I1355" t="s"/>
      <c r="J1355" t="n">
        <v>-0.2023</v>
      </c>
      <c r="K1355" t="n">
        <v>0.114</v>
      </c>
      <c r="L1355" t="n">
        <v>0.762</v>
      </c>
      <c r="M1355" t="n">
        <v>0.124</v>
      </c>
    </row>
    <row r="1356" spans="1:13">
      <c r="A1356" s="1">
        <f>HYPERLINK("http://www.twitter.com/NathanBLawrence/status/986836936462512129", "986836936462512129")</f>
        <v/>
      </c>
      <c r="B1356" s="2" t="n">
        <v>43209.22261574074</v>
      </c>
      <c r="C1356" t="n">
        <v>6</v>
      </c>
      <c r="D1356" t="n">
        <v>1</v>
      </c>
      <c r="E1356" t="s">
        <v>1366</v>
      </c>
      <c r="F1356" t="s"/>
      <c r="G1356" t="s"/>
      <c r="H1356" t="s"/>
      <c r="I1356" t="s"/>
      <c r="J1356" t="n">
        <v>0.2244</v>
      </c>
      <c r="K1356" t="n">
        <v>0</v>
      </c>
      <c r="L1356" t="n">
        <v>0.826</v>
      </c>
      <c r="M1356" t="n">
        <v>0.174</v>
      </c>
    </row>
    <row r="1357" spans="1:13">
      <c r="A1357" s="1">
        <f>HYPERLINK("http://www.twitter.com/NathanBLawrence/status/986820314435735553", "986820314435735553")</f>
        <v/>
      </c>
      <c r="B1357" s="2" t="n">
        <v>43209.17674768518</v>
      </c>
      <c r="C1357" t="n">
        <v>0</v>
      </c>
      <c r="D1357" t="n">
        <v>40</v>
      </c>
      <c r="E1357" t="s">
        <v>1367</v>
      </c>
      <c r="F1357">
        <f>HYPERLINK("http://pbs.twimg.com/media/DbDuyypW4AEuuZ7.jpg", "http://pbs.twimg.com/media/DbDuyypW4AEuuZ7.jpg")</f>
        <v/>
      </c>
      <c r="G1357" t="s"/>
      <c r="H1357" t="s"/>
      <c r="I1357" t="s"/>
      <c r="J1357" t="n">
        <v>0</v>
      </c>
      <c r="K1357" t="n">
        <v>0</v>
      </c>
      <c r="L1357" t="n">
        <v>1</v>
      </c>
      <c r="M1357" t="n">
        <v>0</v>
      </c>
    </row>
    <row r="1358" spans="1:13">
      <c r="A1358" s="1">
        <f>HYPERLINK("http://www.twitter.com/NathanBLawrence/status/986820111964098560", "986820111964098560")</f>
        <v/>
      </c>
      <c r="B1358" s="2" t="n">
        <v>43209.17619212963</v>
      </c>
      <c r="C1358" t="n">
        <v>0</v>
      </c>
      <c r="D1358" t="n">
        <v>3</v>
      </c>
      <c r="E1358" t="s">
        <v>1368</v>
      </c>
      <c r="F1358" t="s"/>
      <c r="G1358" t="s"/>
      <c r="H1358" t="s"/>
      <c r="I1358" t="s"/>
      <c r="J1358" t="n">
        <v>0.3753</v>
      </c>
      <c r="K1358" t="n">
        <v>0.092</v>
      </c>
      <c r="L1358" t="n">
        <v>0.713</v>
      </c>
      <c r="M1358" t="n">
        <v>0.194</v>
      </c>
    </row>
    <row r="1359" spans="1:13">
      <c r="A1359" s="1">
        <f>HYPERLINK("http://www.twitter.com/NathanBLawrence/status/986819942187073536", "986819942187073536")</f>
        <v/>
      </c>
      <c r="B1359" s="2" t="n">
        <v>43209.17572916667</v>
      </c>
      <c r="C1359" t="n">
        <v>0</v>
      </c>
      <c r="D1359" t="n">
        <v>122</v>
      </c>
      <c r="E1359" t="s">
        <v>1369</v>
      </c>
      <c r="F1359">
        <f>HYPERLINK("https://video.twimg.com/ext_tw_video/986395828205031425/pu/vid/1280x720/J6bzj3HqxnAFm4XW.mp4?tag=2", "https://video.twimg.com/ext_tw_video/986395828205031425/pu/vid/1280x720/J6bzj3HqxnAFm4XW.mp4?tag=2")</f>
        <v/>
      </c>
      <c r="G1359" t="s"/>
      <c r="H1359" t="s"/>
      <c r="I1359" t="s"/>
      <c r="J1359" t="n">
        <v>-0.4939</v>
      </c>
      <c r="K1359" t="n">
        <v>0.132</v>
      </c>
      <c r="L1359" t="n">
        <v>0.868</v>
      </c>
      <c r="M1359" t="n">
        <v>0</v>
      </c>
    </row>
    <row r="1360" spans="1:13">
      <c r="A1360" s="1">
        <f>HYPERLINK("http://www.twitter.com/NathanBLawrence/status/986817775376084992", "986817775376084992")</f>
        <v/>
      </c>
      <c r="B1360" s="2" t="n">
        <v>43209.16974537037</v>
      </c>
      <c r="C1360" t="n">
        <v>0</v>
      </c>
      <c r="D1360" t="n">
        <v>38</v>
      </c>
      <c r="E1360" t="s">
        <v>1370</v>
      </c>
      <c r="F1360" t="s"/>
      <c r="G1360" t="s"/>
      <c r="H1360" t="s"/>
      <c r="I1360" t="s"/>
      <c r="J1360" t="n">
        <v>0.4215</v>
      </c>
      <c r="K1360" t="n">
        <v>0</v>
      </c>
      <c r="L1360" t="n">
        <v>0.887</v>
      </c>
      <c r="M1360" t="n">
        <v>0.113</v>
      </c>
    </row>
    <row r="1361" spans="1:13">
      <c r="A1361" s="1">
        <f>HYPERLINK("http://www.twitter.com/NathanBLawrence/status/986817663451082753", "986817663451082753")</f>
        <v/>
      </c>
      <c r="B1361" s="2" t="n">
        <v>43209.16943287037</v>
      </c>
      <c r="C1361" t="n">
        <v>0</v>
      </c>
      <c r="D1361" t="n">
        <v>1740</v>
      </c>
      <c r="E1361" t="s">
        <v>1371</v>
      </c>
      <c r="F1361">
        <f>HYPERLINK("https://video.twimg.com/amplify_video/986794349068513280/vid/1280x720/EDzMasCrqHauXECP.mp4?tag=6", "https://video.twimg.com/amplify_video/986794349068513280/vid/1280x720/EDzMasCrqHauXECP.mp4?tag=6")</f>
        <v/>
      </c>
      <c r="G1361" t="s"/>
      <c r="H1361" t="s"/>
      <c r="I1361" t="s"/>
      <c r="J1361" t="n">
        <v>-0.8270999999999999</v>
      </c>
      <c r="K1361" t="n">
        <v>0.314</v>
      </c>
      <c r="L1361" t="n">
        <v>0.6860000000000001</v>
      </c>
      <c r="M1361" t="n">
        <v>0</v>
      </c>
    </row>
    <row r="1362" spans="1:13">
      <c r="A1362" s="1">
        <f>HYPERLINK("http://www.twitter.com/NathanBLawrence/status/986815992331288577", "986815992331288577")</f>
        <v/>
      </c>
      <c r="B1362" s="2" t="n">
        <v>43209.16482638889</v>
      </c>
      <c r="C1362" t="n">
        <v>0</v>
      </c>
      <c r="D1362" t="n">
        <v>475</v>
      </c>
      <c r="E1362" t="s">
        <v>1372</v>
      </c>
      <c r="F1362" t="s"/>
      <c r="G1362" t="s"/>
      <c r="H1362" t="s"/>
      <c r="I1362" t="s"/>
      <c r="J1362" t="n">
        <v>0.8065</v>
      </c>
      <c r="K1362" t="n">
        <v>0</v>
      </c>
      <c r="L1362" t="n">
        <v>0.723</v>
      </c>
      <c r="M1362" t="n">
        <v>0.277</v>
      </c>
    </row>
    <row r="1363" spans="1:13">
      <c r="A1363" s="1">
        <f>HYPERLINK("http://www.twitter.com/NathanBLawrence/status/986794118746484736", "986794118746484736")</f>
        <v/>
      </c>
      <c r="B1363" s="2" t="n">
        <v>43209.1044675926</v>
      </c>
      <c r="C1363" t="n">
        <v>19</v>
      </c>
      <c r="D1363" t="n">
        <v>3</v>
      </c>
      <c r="E1363" t="s">
        <v>1373</v>
      </c>
      <c r="F1363">
        <f>HYPERLINK("http://pbs.twimg.com/media/DbHL9lIUQAAJ2Re.jpg", "http://pbs.twimg.com/media/DbHL9lIUQAAJ2Re.jpg")</f>
        <v/>
      </c>
      <c r="G1363" t="s"/>
      <c r="H1363" t="s"/>
      <c r="I1363" t="s"/>
      <c r="J1363" t="n">
        <v>0</v>
      </c>
      <c r="K1363" t="n">
        <v>0</v>
      </c>
      <c r="L1363" t="n">
        <v>1</v>
      </c>
      <c r="M1363" t="n">
        <v>0</v>
      </c>
    </row>
    <row r="1364" spans="1:13">
      <c r="A1364" s="1">
        <f>HYPERLINK("http://www.twitter.com/NathanBLawrence/status/986792676618989568", "986792676618989568")</f>
        <v/>
      </c>
      <c r="B1364" s="2" t="n">
        <v>43209.10048611111</v>
      </c>
      <c r="C1364" t="n">
        <v>0</v>
      </c>
      <c r="D1364" t="n">
        <v>4</v>
      </c>
      <c r="E1364" t="s">
        <v>1374</v>
      </c>
      <c r="F1364">
        <f>HYPERLINK("http://pbs.twimg.com/media/DbHKM-gUMAAQwl9.jpg", "http://pbs.twimg.com/media/DbHKM-gUMAAQwl9.jpg")</f>
        <v/>
      </c>
      <c r="G1364" t="s"/>
      <c r="H1364" t="s"/>
      <c r="I1364" t="s"/>
      <c r="J1364" t="n">
        <v>0</v>
      </c>
      <c r="K1364" t="n">
        <v>0</v>
      </c>
      <c r="L1364" t="n">
        <v>1</v>
      </c>
      <c r="M1364" t="n">
        <v>0</v>
      </c>
    </row>
    <row r="1365" spans="1:13">
      <c r="A1365" s="1">
        <f>HYPERLINK("http://www.twitter.com/NathanBLawrence/status/986792565067235328", "986792565067235328")</f>
        <v/>
      </c>
      <c r="B1365" s="2" t="n">
        <v>43209.10017361111</v>
      </c>
      <c r="C1365" t="n">
        <v>0</v>
      </c>
      <c r="D1365" t="n">
        <v>12</v>
      </c>
      <c r="E1365" t="s">
        <v>1375</v>
      </c>
      <c r="F1365">
        <f>HYPERLINK("http://pbs.twimg.com/media/DbHJk-KUQAAiP0R.jpg", "http://pbs.twimg.com/media/DbHJk-KUQAAiP0R.jpg")</f>
        <v/>
      </c>
      <c r="G1365" t="s"/>
      <c r="H1365" t="s"/>
      <c r="I1365" t="s"/>
      <c r="J1365" t="n">
        <v>0</v>
      </c>
      <c r="K1365" t="n">
        <v>0</v>
      </c>
      <c r="L1365" t="n">
        <v>1</v>
      </c>
      <c r="M1365" t="n">
        <v>0</v>
      </c>
    </row>
    <row r="1366" spans="1:13">
      <c r="A1366" s="1">
        <f>HYPERLINK("http://www.twitter.com/NathanBLawrence/status/986792465477713920", "986792465477713920")</f>
        <v/>
      </c>
      <c r="B1366" s="2" t="n">
        <v>43209.09990740741</v>
      </c>
      <c r="C1366" t="n">
        <v>0</v>
      </c>
      <c r="D1366" t="n">
        <v>97</v>
      </c>
      <c r="E1366" t="s">
        <v>1376</v>
      </c>
      <c r="F1366" t="s"/>
      <c r="G1366" t="s"/>
      <c r="H1366" t="s"/>
      <c r="I1366" t="s"/>
      <c r="J1366" t="n">
        <v>0</v>
      </c>
      <c r="K1366" t="n">
        <v>0</v>
      </c>
      <c r="L1366" t="n">
        <v>1</v>
      </c>
      <c r="M1366" t="n">
        <v>0</v>
      </c>
    </row>
    <row r="1367" spans="1:13">
      <c r="A1367" s="1">
        <f>HYPERLINK("http://www.twitter.com/NathanBLawrence/status/986792113546215424", "986792113546215424")</f>
        <v/>
      </c>
      <c r="B1367" s="2" t="n">
        <v>43209.09893518518</v>
      </c>
      <c r="C1367" t="n">
        <v>10</v>
      </c>
      <c r="D1367" t="n">
        <v>3</v>
      </c>
      <c r="E1367" t="s">
        <v>1377</v>
      </c>
      <c r="F1367">
        <f>HYPERLINK("http://pbs.twimg.com/media/DbHKJ2fWkAA84Ph.jpg", "http://pbs.twimg.com/media/DbHKJ2fWkAA84Ph.jpg")</f>
        <v/>
      </c>
      <c r="G1367" t="s"/>
      <c r="H1367" t="s"/>
      <c r="I1367" t="s"/>
      <c r="J1367" t="n">
        <v>0</v>
      </c>
      <c r="K1367" t="n">
        <v>0</v>
      </c>
      <c r="L1367" t="n">
        <v>1</v>
      </c>
      <c r="M1367" t="n">
        <v>0</v>
      </c>
    </row>
    <row r="1368" spans="1:13">
      <c r="A1368" s="1">
        <f>HYPERLINK("http://www.twitter.com/NathanBLawrence/status/986791926937432064", "986791926937432064")</f>
        <v/>
      </c>
      <c r="B1368" s="2" t="n">
        <v>43209.09841435185</v>
      </c>
      <c r="C1368" t="n">
        <v>0</v>
      </c>
      <c r="D1368" t="n">
        <v>498</v>
      </c>
      <c r="E1368" t="s">
        <v>1378</v>
      </c>
      <c r="F1368">
        <f>HYPERLINK("http://pbs.twimg.com/media/DbG6_hNWsAAbbJi.jpg", "http://pbs.twimg.com/media/DbG6_hNWsAAbbJi.jpg")</f>
        <v/>
      </c>
      <c r="G1368" t="s"/>
      <c r="H1368" t="s"/>
      <c r="I1368" t="s"/>
      <c r="J1368" t="n">
        <v>0.9231</v>
      </c>
      <c r="K1368" t="n">
        <v>0</v>
      </c>
      <c r="L1368" t="n">
        <v>0.429</v>
      </c>
      <c r="M1368" t="n">
        <v>0.571</v>
      </c>
    </row>
    <row r="1369" spans="1:13">
      <c r="A1369" s="1">
        <f>HYPERLINK("http://www.twitter.com/NathanBLawrence/status/986791885980094464", "986791885980094464")</f>
        <v/>
      </c>
      <c r="B1369" s="2" t="n">
        <v>43209.09829861111</v>
      </c>
      <c r="C1369" t="n">
        <v>0</v>
      </c>
      <c r="D1369" t="n">
        <v>1191</v>
      </c>
      <c r="E1369" t="s">
        <v>1379</v>
      </c>
      <c r="F1369">
        <f>HYPERLINK("http://pbs.twimg.com/media/DbGlkB8U8AAyVs6.jpg", "http://pbs.twimg.com/media/DbGlkB8U8AAyVs6.jpg")</f>
        <v/>
      </c>
      <c r="G1369" t="s"/>
      <c r="H1369" t="s"/>
      <c r="I1369" t="s"/>
      <c r="J1369" t="n">
        <v>0.5574</v>
      </c>
      <c r="K1369" t="n">
        <v>0</v>
      </c>
      <c r="L1369" t="n">
        <v>0.6899999999999999</v>
      </c>
      <c r="M1369" t="n">
        <v>0.31</v>
      </c>
    </row>
    <row r="1370" spans="1:13">
      <c r="A1370" s="1">
        <f>HYPERLINK("http://www.twitter.com/NathanBLawrence/status/986791644753051648", "986791644753051648")</f>
        <v/>
      </c>
      <c r="B1370" s="2" t="n">
        <v>43209.09763888889</v>
      </c>
      <c r="C1370" t="n">
        <v>0</v>
      </c>
      <c r="D1370" t="n">
        <v>18</v>
      </c>
      <c r="E1370" t="s">
        <v>1380</v>
      </c>
      <c r="F1370">
        <f>HYPERLINK("http://pbs.twimg.com/media/DbHIKP8VwAAGWsa.jpg", "http://pbs.twimg.com/media/DbHIKP8VwAAGWsa.jpg")</f>
        <v/>
      </c>
      <c r="G1370" t="s"/>
      <c r="H1370" t="s"/>
      <c r="I1370" t="s"/>
      <c r="J1370" t="n">
        <v>0</v>
      </c>
      <c r="K1370" t="n">
        <v>0</v>
      </c>
      <c r="L1370" t="n">
        <v>1</v>
      </c>
      <c r="M1370" t="n">
        <v>0</v>
      </c>
    </row>
    <row r="1371" spans="1:13">
      <c r="A1371" s="1">
        <f>HYPERLINK("http://www.twitter.com/NathanBLawrence/status/986791593310011392", "986791593310011392")</f>
        <v/>
      </c>
      <c r="B1371" s="2" t="n">
        <v>43209.0975</v>
      </c>
      <c r="C1371" t="n">
        <v>0</v>
      </c>
      <c r="D1371" t="n">
        <v>320</v>
      </c>
      <c r="E1371" t="s">
        <v>1381</v>
      </c>
      <c r="F1371">
        <f>HYPERLINK("http://pbs.twimg.com/media/DbHGT7_UQAAZSp2.jpg", "http://pbs.twimg.com/media/DbHGT7_UQAAZSp2.jpg")</f>
        <v/>
      </c>
      <c r="G1371" t="s"/>
      <c r="H1371" t="s"/>
      <c r="I1371" t="s"/>
      <c r="J1371" t="n">
        <v>-0.4434</v>
      </c>
      <c r="K1371" t="n">
        <v>0.117</v>
      </c>
      <c r="L1371" t="n">
        <v>0.883</v>
      </c>
      <c r="M1371" t="n">
        <v>0</v>
      </c>
    </row>
    <row r="1372" spans="1:13">
      <c r="A1372" s="1">
        <f>HYPERLINK("http://www.twitter.com/NathanBLawrence/status/986788320486174720", "986788320486174720")</f>
        <v/>
      </c>
      <c r="B1372" s="2" t="n">
        <v>43209.08846064815</v>
      </c>
      <c r="C1372" t="n">
        <v>2</v>
      </c>
      <c r="D1372" t="n">
        <v>0</v>
      </c>
      <c r="E1372" t="s">
        <v>1382</v>
      </c>
      <c r="F1372" t="s"/>
      <c r="G1372" t="s"/>
      <c r="H1372" t="s"/>
      <c r="I1372" t="s"/>
      <c r="J1372" t="n">
        <v>0</v>
      </c>
      <c r="K1372" t="n">
        <v>0</v>
      </c>
      <c r="L1372" t="n">
        <v>1</v>
      </c>
      <c r="M1372" t="n">
        <v>0</v>
      </c>
    </row>
    <row r="1373" spans="1:13">
      <c r="A1373" s="1">
        <f>HYPERLINK("http://www.twitter.com/NathanBLawrence/status/986787395038162945", "986787395038162945")</f>
        <v/>
      </c>
      <c r="B1373" s="2" t="n">
        <v>43209.08591435185</v>
      </c>
      <c r="C1373" t="n">
        <v>0</v>
      </c>
      <c r="D1373" t="n">
        <v>17</v>
      </c>
      <c r="E1373" t="s">
        <v>1383</v>
      </c>
      <c r="F1373">
        <f>HYPERLINK("http://pbs.twimg.com/media/DaYXs42VAAAuekS.jpg", "http://pbs.twimg.com/media/DaYXs42VAAAuekS.jpg")</f>
        <v/>
      </c>
      <c r="G1373" t="s"/>
      <c r="H1373" t="s"/>
      <c r="I1373" t="s"/>
      <c r="J1373" t="n">
        <v>0</v>
      </c>
      <c r="K1373" t="n">
        <v>0</v>
      </c>
      <c r="L1373" t="n">
        <v>1</v>
      </c>
      <c r="M1373" t="n">
        <v>0</v>
      </c>
    </row>
    <row r="1374" spans="1:13">
      <c r="A1374" s="1">
        <f>HYPERLINK("http://www.twitter.com/NathanBLawrence/status/986786849715703808", "986786849715703808")</f>
        <v/>
      </c>
      <c r="B1374" s="2" t="n">
        <v>43209.08440972222</v>
      </c>
      <c r="C1374" t="n">
        <v>2</v>
      </c>
      <c r="D1374" t="n">
        <v>0</v>
      </c>
      <c r="E1374" t="s">
        <v>1384</v>
      </c>
      <c r="F1374">
        <f>HYPERLINK("http://pbs.twimg.com/media/DbHFVxFX4AMWBJ6.jpg", "http://pbs.twimg.com/media/DbHFVxFX4AMWBJ6.jpg")</f>
        <v/>
      </c>
      <c r="G1374" t="s"/>
      <c r="H1374" t="s"/>
      <c r="I1374" t="s"/>
      <c r="J1374" t="n">
        <v>0</v>
      </c>
      <c r="K1374" t="n">
        <v>0</v>
      </c>
      <c r="L1374" t="n">
        <v>1</v>
      </c>
      <c r="M1374" t="n">
        <v>0</v>
      </c>
    </row>
    <row r="1375" spans="1:13">
      <c r="A1375" s="1">
        <f>HYPERLINK("http://www.twitter.com/NathanBLawrence/status/986786670644047872", "986786670644047872")</f>
        <v/>
      </c>
      <c r="B1375" s="2" t="n">
        <v>43209.08391203704</v>
      </c>
      <c r="C1375" t="n">
        <v>10</v>
      </c>
      <c r="D1375" t="n">
        <v>0</v>
      </c>
      <c r="E1375" t="s">
        <v>1385</v>
      </c>
      <c r="F1375">
        <f>HYPERLINK("http://pbs.twimg.com/media/DbHFL7_XkAIpD7n.jpg", "http://pbs.twimg.com/media/DbHFL7_XkAIpD7n.jpg")</f>
        <v/>
      </c>
      <c r="G1375" t="s"/>
      <c r="H1375" t="s"/>
      <c r="I1375" t="s"/>
      <c r="J1375" t="n">
        <v>0</v>
      </c>
      <c r="K1375" t="n">
        <v>0</v>
      </c>
      <c r="L1375" t="n">
        <v>1</v>
      </c>
      <c r="M1375" t="n">
        <v>0</v>
      </c>
    </row>
    <row r="1376" spans="1:13">
      <c r="A1376" s="1">
        <f>HYPERLINK("http://www.twitter.com/NathanBLawrence/status/986786176878051329", "986786176878051329")</f>
        <v/>
      </c>
      <c r="B1376" s="2" t="n">
        <v>43209.0825462963</v>
      </c>
      <c r="C1376" t="n">
        <v>18</v>
      </c>
      <c r="D1376" t="n">
        <v>12</v>
      </c>
      <c r="E1376" t="s">
        <v>1386</v>
      </c>
      <c r="F1376">
        <f>HYPERLINK("http://pbs.twimg.com/media/DbHEt9XV4AAlO1I.jpg", "http://pbs.twimg.com/media/DbHEt9XV4AAlO1I.jpg")</f>
        <v/>
      </c>
      <c r="G1376" t="s"/>
      <c r="H1376" t="s"/>
      <c r="I1376" t="s"/>
      <c r="J1376" t="n">
        <v>0</v>
      </c>
      <c r="K1376" t="n">
        <v>0</v>
      </c>
      <c r="L1376" t="n">
        <v>1</v>
      </c>
      <c r="M1376" t="n">
        <v>0</v>
      </c>
    </row>
    <row r="1377" spans="1:13">
      <c r="A1377" s="1">
        <f>HYPERLINK("http://www.twitter.com/NathanBLawrence/status/986785812804026368", "986785812804026368")</f>
        <v/>
      </c>
      <c r="B1377" s="2" t="n">
        <v>43209.08155092593</v>
      </c>
      <c r="C1377" t="n">
        <v>0</v>
      </c>
      <c r="D1377" t="n">
        <v>150</v>
      </c>
      <c r="E1377" t="s">
        <v>1387</v>
      </c>
      <c r="F1377">
        <f>HYPERLINK("http://pbs.twimg.com/media/DbHAuvbV4AAP3oH.jpg", "http://pbs.twimg.com/media/DbHAuvbV4AAP3oH.jpg")</f>
        <v/>
      </c>
      <c r="G1377" t="s"/>
      <c r="H1377" t="s"/>
      <c r="I1377" t="s"/>
      <c r="J1377" t="n">
        <v>-0.7184</v>
      </c>
      <c r="K1377" t="n">
        <v>0.375</v>
      </c>
      <c r="L1377" t="n">
        <v>0.625</v>
      </c>
      <c r="M1377" t="n">
        <v>0</v>
      </c>
    </row>
    <row r="1378" spans="1:13">
      <c r="A1378" s="1">
        <f>HYPERLINK("http://www.twitter.com/NathanBLawrence/status/986785702309326849", "986785702309326849")</f>
        <v/>
      </c>
      <c r="B1378" s="2" t="n">
        <v>43209.08123842593</v>
      </c>
      <c r="C1378" t="n">
        <v>0</v>
      </c>
      <c r="D1378" t="n">
        <v>56</v>
      </c>
      <c r="E1378" t="s">
        <v>1388</v>
      </c>
      <c r="F1378">
        <f>HYPERLINK("http://pbs.twimg.com/media/DbHDlNcU0AAd7DG.jpg", "http://pbs.twimg.com/media/DbHDlNcU0AAd7DG.jpg")</f>
        <v/>
      </c>
      <c r="G1378" t="s"/>
      <c r="H1378" t="s"/>
      <c r="I1378" t="s"/>
      <c r="J1378" t="n">
        <v>0.8188</v>
      </c>
      <c r="K1378" t="n">
        <v>0</v>
      </c>
      <c r="L1378" t="n">
        <v>0.727</v>
      </c>
      <c r="M1378" t="n">
        <v>0.273</v>
      </c>
    </row>
    <row r="1379" spans="1:13">
      <c r="A1379" s="1">
        <f>HYPERLINK("http://www.twitter.com/NathanBLawrence/status/986782948123820032", "986782948123820032")</f>
        <v/>
      </c>
      <c r="B1379" s="2" t="n">
        <v>43209.07364583333</v>
      </c>
      <c r="C1379" t="n">
        <v>0</v>
      </c>
      <c r="D1379" t="n">
        <v>899</v>
      </c>
      <c r="E1379" t="s">
        <v>1389</v>
      </c>
      <c r="F1379">
        <f>HYPERLINK("http://pbs.twimg.com/media/DbGcpnuWsAIcoIJ.jpg", "http://pbs.twimg.com/media/DbGcpnuWsAIcoIJ.jpg")</f>
        <v/>
      </c>
      <c r="G1379" t="s"/>
      <c r="H1379" t="s"/>
      <c r="I1379" t="s"/>
      <c r="J1379" t="n">
        <v>0.9186</v>
      </c>
      <c r="K1379" t="n">
        <v>0</v>
      </c>
      <c r="L1379" t="n">
        <v>0.606</v>
      </c>
      <c r="M1379" t="n">
        <v>0.394</v>
      </c>
    </row>
    <row r="1380" spans="1:13">
      <c r="A1380" s="1">
        <f>HYPERLINK("http://www.twitter.com/NathanBLawrence/status/986782573106876416", "986782573106876416")</f>
        <v/>
      </c>
      <c r="B1380" s="2" t="n">
        <v>43209.07260416666</v>
      </c>
      <c r="C1380" t="n">
        <v>0</v>
      </c>
      <c r="D1380" t="n">
        <v>176</v>
      </c>
      <c r="E1380" t="s">
        <v>1390</v>
      </c>
      <c r="F1380">
        <f>HYPERLINK("http://pbs.twimg.com/media/DbHAb66U8AA_ZNr.jpg", "http://pbs.twimg.com/media/DbHAb66U8AA_ZNr.jpg")</f>
        <v/>
      </c>
      <c r="G1380" t="s"/>
      <c r="H1380" t="s"/>
      <c r="I1380" t="s"/>
      <c r="J1380" t="n">
        <v>0.4926</v>
      </c>
      <c r="K1380" t="n">
        <v>0</v>
      </c>
      <c r="L1380" t="n">
        <v>0.61</v>
      </c>
      <c r="M1380" t="n">
        <v>0.39</v>
      </c>
    </row>
    <row r="1381" spans="1:13">
      <c r="A1381" s="1">
        <f>HYPERLINK("http://www.twitter.com/NathanBLawrence/status/986782499769495552", "986782499769495552")</f>
        <v/>
      </c>
      <c r="B1381" s="2" t="n">
        <v>43209.07240740741</v>
      </c>
      <c r="C1381" t="n">
        <v>0</v>
      </c>
      <c r="D1381" t="n">
        <v>533</v>
      </c>
      <c r="E1381" t="s">
        <v>1391</v>
      </c>
      <c r="F1381">
        <f>HYPERLINK("http://pbs.twimg.com/media/DbHAE0pX0AERwRc.jpg", "http://pbs.twimg.com/media/DbHAE0pX0AERwRc.jpg")</f>
        <v/>
      </c>
      <c r="G1381" t="s"/>
      <c r="H1381" t="s"/>
      <c r="I1381" t="s"/>
      <c r="J1381" t="n">
        <v>0.4404</v>
      </c>
      <c r="K1381" t="n">
        <v>0</v>
      </c>
      <c r="L1381" t="n">
        <v>0.884</v>
      </c>
      <c r="M1381" t="n">
        <v>0.116</v>
      </c>
    </row>
    <row r="1382" spans="1:13">
      <c r="A1382" s="1">
        <f>HYPERLINK("http://www.twitter.com/NathanBLawrence/status/986782418857111552", "986782418857111552")</f>
        <v/>
      </c>
      <c r="B1382" s="2" t="n">
        <v>43209.07217592592</v>
      </c>
      <c r="C1382" t="n">
        <v>0</v>
      </c>
      <c r="D1382" t="n">
        <v>91</v>
      </c>
      <c r="E1382" t="s">
        <v>1392</v>
      </c>
      <c r="F1382">
        <f>HYPERLINK("http://pbs.twimg.com/media/DbE2Vz3VQAAGOaz.jpg", "http://pbs.twimg.com/media/DbE2Vz3VQAAGOaz.jpg")</f>
        <v/>
      </c>
      <c r="G1382" t="s"/>
      <c r="H1382" t="s"/>
      <c r="I1382" t="s"/>
      <c r="J1382" t="n">
        <v>-0.1027</v>
      </c>
      <c r="K1382" t="n">
        <v>0.06900000000000001</v>
      </c>
      <c r="L1382" t="n">
        <v>0.931</v>
      </c>
      <c r="M1382" t="n">
        <v>0</v>
      </c>
    </row>
    <row r="1383" spans="1:13">
      <c r="A1383" s="1">
        <f>HYPERLINK("http://www.twitter.com/NathanBLawrence/status/986782295360065537", "986782295360065537")</f>
        <v/>
      </c>
      <c r="B1383" s="2" t="n">
        <v>43209.07184027778</v>
      </c>
      <c r="C1383" t="n">
        <v>0</v>
      </c>
      <c r="D1383" t="n">
        <v>1086</v>
      </c>
      <c r="E1383" t="s">
        <v>1393</v>
      </c>
      <c r="F1383">
        <f>HYPERLINK("http://pbs.twimg.com/media/DbGioQdVQAA_W9R.jpg", "http://pbs.twimg.com/media/DbGioQdVQAA_W9R.jpg")</f>
        <v/>
      </c>
      <c r="G1383" t="s"/>
      <c r="H1383" t="s"/>
      <c r="I1383" t="s"/>
      <c r="J1383" t="n">
        <v>-0.6705</v>
      </c>
      <c r="K1383" t="n">
        <v>0.224</v>
      </c>
      <c r="L1383" t="n">
        <v>0.776</v>
      </c>
      <c r="M1383" t="n">
        <v>0</v>
      </c>
    </row>
    <row r="1384" spans="1:13">
      <c r="A1384" s="1">
        <f>HYPERLINK("http://www.twitter.com/NathanBLawrence/status/986781484383006720", "986781484383006720")</f>
        <v/>
      </c>
      <c r="B1384" s="2" t="n">
        <v>43209.06960648148</v>
      </c>
      <c r="C1384" t="n">
        <v>0</v>
      </c>
      <c r="D1384" t="n">
        <v>19</v>
      </c>
      <c r="E1384" t="s">
        <v>1394</v>
      </c>
      <c r="F1384" t="s"/>
      <c r="G1384" t="s"/>
      <c r="H1384" t="s"/>
      <c r="I1384" t="s"/>
      <c r="J1384" t="n">
        <v>-0.4767</v>
      </c>
      <c r="K1384" t="n">
        <v>0.237</v>
      </c>
      <c r="L1384" t="n">
        <v>0.763</v>
      </c>
      <c r="M1384" t="n">
        <v>0</v>
      </c>
    </row>
    <row r="1385" spans="1:13">
      <c r="A1385" s="1">
        <f>HYPERLINK("http://www.twitter.com/NathanBLawrence/status/986781139061784577", "986781139061784577")</f>
        <v/>
      </c>
      <c r="B1385" s="2" t="n">
        <v>43209.06864583334</v>
      </c>
      <c r="C1385" t="n">
        <v>0</v>
      </c>
      <c r="D1385" t="n">
        <v>51</v>
      </c>
      <c r="E1385" t="s">
        <v>1395</v>
      </c>
      <c r="F1385">
        <f>HYPERLINK("http://pbs.twimg.com/media/DbGpEpfVwAE5pli.jpg", "http://pbs.twimg.com/media/DbGpEpfVwAE5pli.jpg")</f>
        <v/>
      </c>
      <c r="G1385" t="s"/>
      <c r="H1385" t="s"/>
      <c r="I1385" t="s"/>
      <c r="J1385" t="n">
        <v>-0.3612</v>
      </c>
      <c r="K1385" t="n">
        <v>0.161</v>
      </c>
      <c r="L1385" t="n">
        <v>0.839</v>
      </c>
      <c r="M1385" t="n">
        <v>0</v>
      </c>
    </row>
    <row r="1386" spans="1:13">
      <c r="A1386" s="1">
        <f>HYPERLINK("http://www.twitter.com/NathanBLawrence/status/986780846488080384", "986780846488080384")</f>
        <v/>
      </c>
      <c r="B1386" s="2" t="n">
        <v>43209.06783564815</v>
      </c>
      <c r="C1386" t="n">
        <v>0</v>
      </c>
      <c r="D1386" t="n">
        <v>1551</v>
      </c>
      <c r="E1386" t="s">
        <v>1396</v>
      </c>
      <c r="F1386">
        <f>HYPERLINK("http://pbs.twimg.com/media/DbGRG_TWsAIUlX_.jpg", "http://pbs.twimg.com/media/DbGRG_TWsAIUlX_.jpg")</f>
        <v/>
      </c>
      <c r="G1386" t="s"/>
      <c r="H1386" t="s"/>
      <c r="I1386" t="s"/>
      <c r="J1386" t="n">
        <v>0.5266999999999999</v>
      </c>
      <c r="K1386" t="n">
        <v>0</v>
      </c>
      <c r="L1386" t="n">
        <v>0.861</v>
      </c>
      <c r="M1386" t="n">
        <v>0.139</v>
      </c>
    </row>
    <row r="1387" spans="1:13">
      <c r="A1387" s="1">
        <f>HYPERLINK("http://www.twitter.com/NathanBLawrence/status/986780800602591233", "986780800602591233")</f>
        <v/>
      </c>
      <c r="B1387" s="2" t="n">
        <v>43209.06771990741</v>
      </c>
      <c r="C1387" t="n">
        <v>0</v>
      </c>
      <c r="D1387" t="n">
        <v>191</v>
      </c>
      <c r="E1387" t="s">
        <v>1397</v>
      </c>
      <c r="F1387" t="s"/>
      <c r="G1387" t="s"/>
      <c r="H1387" t="s"/>
      <c r="I1387" t="s"/>
      <c r="J1387" t="n">
        <v>-0.5266999999999999</v>
      </c>
      <c r="K1387" t="n">
        <v>0.159</v>
      </c>
      <c r="L1387" t="n">
        <v>0.841</v>
      </c>
      <c r="M1387" t="n">
        <v>0</v>
      </c>
    </row>
    <row r="1388" spans="1:13">
      <c r="A1388" s="1">
        <f>HYPERLINK("http://www.twitter.com/NathanBLawrence/status/986780753718493184", "986780753718493184")</f>
        <v/>
      </c>
      <c r="B1388" s="2" t="n">
        <v>43209.06758101852</v>
      </c>
      <c r="C1388" t="n">
        <v>0</v>
      </c>
      <c r="D1388" t="n">
        <v>78</v>
      </c>
      <c r="E1388" t="s">
        <v>1398</v>
      </c>
      <c r="F1388">
        <f>HYPERLINK("http://pbs.twimg.com/media/DbGiw0sUwAAxFbe.jpg", "http://pbs.twimg.com/media/DbGiw0sUwAAxFbe.jpg")</f>
        <v/>
      </c>
      <c r="G1388" t="s"/>
      <c r="H1388" t="s"/>
      <c r="I1388" t="s"/>
      <c r="J1388" t="n">
        <v>0</v>
      </c>
      <c r="K1388" t="n">
        <v>0</v>
      </c>
      <c r="L1388" t="n">
        <v>1</v>
      </c>
      <c r="M1388" t="n">
        <v>0</v>
      </c>
    </row>
    <row r="1389" spans="1:13">
      <c r="A1389" s="1">
        <f>HYPERLINK("http://www.twitter.com/NathanBLawrence/status/986780674647453696", "986780674647453696")</f>
        <v/>
      </c>
      <c r="B1389" s="2" t="n">
        <v>43209.06736111111</v>
      </c>
      <c r="C1389" t="n">
        <v>0</v>
      </c>
      <c r="D1389" t="n">
        <v>8</v>
      </c>
      <c r="E1389" t="s">
        <v>1399</v>
      </c>
      <c r="F1389">
        <f>HYPERLINK("http://pbs.twimg.com/media/DbDyyb7V4AAtl_V.jpg", "http://pbs.twimg.com/media/DbDyyb7V4AAtl_V.jpg")</f>
        <v/>
      </c>
      <c r="G1389" t="s"/>
      <c r="H1389" t="s"/>
      <c r="I1389" t="s"/>
      <c r="J1389" t="n">
        <v>0</v>
      </c>
      <c r="K1389" t="n">
        <v>0</v>
      </c>
      <c r="L1389" t="n">
        <v>1</v>
      </c>
      <c r="M1389" t="n">
        <v>0</v>
      </c>
    </row>
    <row r="1390" spans="1:13">
      <c r="A1390" s="1">
        <f>HYPERLINK("http://www.twitter.com/NathanBLawrence/status/986780337832247297", "986780337832247297")</f>
        <v/>
      </c>
      <c r="B1390" s="2" t="n">
        <v>43209.06643518519</v>
      </c>
      <c r="C1390" t="n">
        <v>0</v>
      </c>
      <c r="D1390" t="n">
        <v>387</v>
      </c>
      <c r="E1390" t="s">
        <v>1400</v>
      </c>
      <c r="F1390">
        <f>HYPERLINK("http://pbs.twimg.com/media/DbGwtmTVAAAqltl.jpg", "http://pbs.twimg.com/media/DbGwtmTVAAAqltl.jpg")</f>
        <v/>
      </c>
      <c r="G1390" t="s"/>
      <c r="H1390" t="s"/>
      <c r="I1390" t="s"/>
      <c r="J1390" t="n">
        <v>0</v>
      </c>
      <c r="K1390" t="n">
        <v>0</v>
      </c>
      <c r="L1390" t="n">
        <v>1</v>
      </c>
      <c r="M1390" t="n">
        <v>0</v>
      </c>
    </row>
    <row r="1391" spans="1:13">
      <c r="A1391" s="1">
        <f>HYPERLINK("http://www.twitter.com/NathanBLawrence/status/986780291673944064", "986780291673944064")</f>
        <v/>
      </c>
      <c r="B1391" s="2" t="n">
        <v>43209.06630787037</v>
      </c>
      <c r="C1391" t="n">
        <v>0</v>
      </c>
      <c r="D1391" t="n">
        <v>18</v>
      </c>
      <c r="E1391" t="s">
        <v>1401</v>
      </c>
      <c r="F1391">
        <f>HYPERLINK("http://pbs.twimg.com/media/DbCvVx7XcAAqVzN.jpg", "http://pbs.twimg.com/media/DbCvVx7XcAAqVzN.jpg")</f>
        <v/>
      </c>
      <c r="G1391">
        <f>HYPERLINK("http://pbs.twimg.com/media/DbCvVx-X0AEGPvE.jpg", "http://pbs.twimg.com/media/DbCvVx-X0AEGPvE.jpg")</f>
        <v/>
      </c>
      <c r="H1391" t="s"/>
      <c r="I1391" t="s"/>
      <c r="J1391" t="n">
        <v>0</v>
      </c>
      <c r="K1391" t="n">
        <v>0</v>
      </c>
      <c r="L1391" t="n">
        <v>1</v>
      </c>
      <c r="M1391" t="n">
        <v>0</v>
      </c>
    </row>
    <row r="1392" spans="1:13">
      <c r="A1392" s="1">
        <f>HYPERLINK("http://www.twitter.com/NathanBLawrence/status/986780188498214913", "986780188498214913")</f>
        <v/>
      </c>
      <c r="B1392" s="2" t="n">
        <v>43209.0660300926</v>
      </c>
      <c r="C1392" t="n">
        <v>0</v>
      </c>
      <c r="D1392" t="n">
        <v>362</v>
      </c>
      <c r="E1392" t="s">
        <v>1402</v>
      </c>
      <c r="F1392">
        <f>HYPERLINK("http://pbs.twimg.com/media/DbG2hGHVAAEHvV8.jpg", "http://pbs.twimg.com/media/DbG2hGHVAAEHvV8.jpg")</f>
        <v/>
      </c>
      <c r="G1392" t="s"/>
      <c r="H1392" t="s"/>
      <c r="I1392" t="s"/>
      <c r="J1392" t="n">
        <v>-0.128</v>
      </c>
      <c r="K1392" t="n">
        <v>0.204</v>
      </c>
      <c r="L1392" t="n">
        <v>0.606</v>
      </c>
      <c r="M1392" t="n">
        <v>0.19</v>
      </c>
    </row>
    <row r="1393" spans="1:13">
      <c r="A1393" s="1">
        <f>HYPERLINK("http://www.twitter.com/NathanBLawrence/status/986780060165140481", "986780060165140481")</f>
        <v/>
      </c>
      <c r="B1393" s="2" t="n">
        <v>43209.0656712963</v>
      </c>
      <c r="C1393" t="n">
        <v>0</v>
      </c>
      <c r="D1393" t="n">
        <v>11</v>
      </c>
      <c r="E1393" t="s">
        <v>1403</v>
      </c>
      <c r="F1393">
        <f>HYPERLINK("http://pbs.twimg.com/media/DbG-h6gUMAEgTPN.jpg", "http://pbs.twimg.com/media/DbG-h6gUMAEgTPN.jpg")</f>
        <v/>
      </c>
      <c r="G1393" t="s"/>
      <c r="H1393" t="s"/>
      <c r="I1393" t="s"/>
      <c r="J1393" t="n">
        <v>0</v>
      </c>
      <c r="K1393" t="n">
        <v>0</v>
      </c>
      <c r="L1393" t="n">
        <v>1</v>
      </c>
      <c r="M1393" t="n">
        <v>0</v>
      </c>
    </row>
    <row r="1394" spans="1:13">
      <c r="A1394" s="1">
        <f>HYPERLINK("http://www.twitter.com/NathanBLawrence/status/986779908801101827", "986779908801101827")</f>
        <v/>
      </c>
      <c r="B1394" s="2" t="n">
        <v>43209.06525462963</v>
      </c>
      <c r="C1394" t="n">
        <v>0</v>
      </c>
      <c r="D1394" t="n">
        <v>154</v>
      </c>
      <c r="E1394" t="s">
        <v>1404</v>
      </c>
      <c r="F1394">
        <f>HYPERLINK("http://pbs.twimg.com/media/DbG-egFWsAAyUS5.jpg", "http://pbs.twimg.com/media/DbG-egFWsAAyUS5.jpg")</f>
        <v/>
      </c>
      <c r="G1394" t="s"/>
      <c r="H1394" t="s"/>
      <c r="I1394" t="s"/>
      <c r="J1394" t="n">
        <v>0</v>
      </c>
      <c r="K1394" t="n">
        <v>0</v>
      </c>
      <c r="L1394" t="n">
        <v>1</v>
      </c>
      <c r="M1394" t="n">
        <v>0</v>
      </c>
    </row>
    <row r="1395" spans="1:13">
      <c r="A1395" s="1">
        <f>HYPERLINK("http://www.twitter.com/NathanBLawrence/status/986779688600141824", "986779688600141824")</f>
        <v/>
      </c>
      <c r="B1395" s="2" t="n">
        <v>43209.0646412037</v>
      </c>
      <c r="C1395" t="n">
        <v>0</v>
      </c>
      <c r="D1395" t="n">
        <v>154</v>
      </c>
      <c r="E1395" t="s">
        <v>1405</v>
      </c>
      <c r="F1395">
        <f>HYPERLINK("http://pbs.twimg.com/media/DbG8DEJXkAE-ZQs.jpg", "http://pbs.twimg.com/media/DbG8DEJXkAE-ZQs.jpg")</f>
        <v/>
      </c>
      <c r="G1395" t="s"/>
      <c r="H1395" t="s"/>
      <c r="I1395" t="s"/>
      <c r="J1395" t="n">
        <v>0</v>
      </c>
      <c r="K1395" t="n">
        <v>0</v>
      </c>
      <c r="L1395" t="n">
        <v>1</v>
      </c>
      <c r="M1395" t="n">
        <v>0</v>
      </c>
    </row>
    <row r="1396" spans="1:13">
      <c r="A1396" s="1">
        <f>HYPERLINK("http://www.twitter.com/NathanBLawrence/status/986779630072774656", "986779630072774656")</f>
        <v/>
      </c>
      <c r="B1396" s="2" t="n">
        <v>43209.06447916666</v>
      </c>
      <c r="C1396" t="n">
        <v>0</v>
      </c>
      <c r="D1396" t="n">
        <v>990</v>
      </c>
      <c r="E1396" t="s">
        <v>1406</v>
      </c>
      <c r="F1396">
        <f>HYPERLINK("http://pbs.twimg.com/media/Daq-RvxW4AAhX6Q.jpg", "http://pbs.twimg.com/media/Daq-RvxW4AAhX6Q.jpg")</f>
        <v/>
      </c>
      <c r="G1396" t="s"/>
      <c r="H1396" t="s"/>
      <c r="I1396" t="s"/>
      <c r="J1396" t="n">
        <v>0</v>
      </c>
      <c r="K1396" t="n">
        <v>0</v>
      </c>
      <c r="L1396" t="n">
        <v>1</v>
      </c>
      <c r="M1396" t="n">
        <v>0</v>
      </c>
    </row>
    <row r="1397" spans="1:13">
      <c r="A1397" s="1">
        <f>HYPERLINK("http://www.twitter.com/NathanBLawrence/status/986778764427145216", "986778764427145216")</f>
        <v/>
      </c>
      <c r="B1397" s="2" t="n">
        <v>43209.06209490741</v>
      </c>
      <c r="C1397" t="n">
        <v>1</v>
      </c>
      <c r="D1397" t="n">
        <v>0</v>
      </c>
      <c r="E1397" t="s">
        <v>1407</v>
      </c>
      <c r="F1397" t="s"/>
      <c r="G1397" t="s"/>
      <c r="H1397" t="s"/>
      <c r="I1397" t="s"/>
      <c r="J1397" t="n">
        <v>0</v>
      </c>
      <c r="K1397" t="n">
        <v>0</v>
      </c>
      <c r="L1397" t="n">
        <v>1</v>
      </c>
      <c r="M1397" t="n">
        <v>0</v>
      </c>
    </row>
    <row r="1398" spans="1:13">
      <c r="A1398" s="1">
        <f>HYPERLINK("http://www.twitter.com/NathanBLawrence/status/986750475067211776", "986750475067211776")</f>
        <v/>
      </c>
      <c r="B1398" s="2" t="n">
        <v>43208.98402777778</v>
      </c>
      <c r="C1398" t="n">
        <v>12</v>
      </c>
      <c r="D1398" t="n">
        <v>6</v>
      </c>
      <c r="E1398" t="s">
        <v>1408</v>
      </c>
      <c r="F1398" t="s"/>
      <c r="G1398" t="s"/>
      <c r="H1398" t="s"/>
      <c r="I1398" t="s"/>
      <c r="J1398" t="n">
        <v>0</v>
      </c>
      <c r="K1398" t="n">
        <v>0</v>
      </c>
      <c r="L1398" t="n">
        <v>1</v>
      </c>
      <c r="M1398" t="n">
        <v>0</v>
      </c>
    </row>
    <row r="1399" spans="1:13">
      <c r="A1399" s="1">
        <f>HYPERLINK("http://www.twitter.com/NathanBLawrence/status/986516495583723521", "986516495583723521")</f>
        <v/>
      </c>
      <c r="B1399" s="2" t="n">
        <v>43208.33836805556</v>
      </c>
      <c r="C1399" t="n">
        <v>5</v>
      </c>
      <c r="D1399" t="n">
        <v>3</v>
      </c>
      <c r="E1399" t="s">
        <v>1409</v>
      </c>
      <c r="F1399" t="s"/>
      <c r="G1399" t="s"/>
      <c r="H1399" t="s"/>
      <c r="I1399" t="s"/>
      <c r="J1399" t="n">
        <v>0</v>
      </c>
      <c r="K1399" t="n">
        <v>0</v>
      </c>
      <c r="L1399" t="n">
        <v>1</v>
      </c>
      <c r="M1399" t="n">
        <v>0</v>
      </c>
    </row>
    <row r="1400" spans="1:13">
      <c r="A1400" s="1">
        <f>HYPERLINK("http://www.twitter.com/NathanBLawrence/status/986516090090962944", "986516090090962944")</f>
        <v/>
      </c>
      <c r="B1400" s="2" t="n">
        <v>43208.33725694445</v>
      </c>
      <c r="C1400" t="n">
        <v>4</v>
      </c>
      <c r="D1400" t="n">
        <v>1</v>
      </c>
      <c r="E1400" t="s">
        <v>1410</v>
      </c>
      <c r="F1400" t="s"/>
      <c r="G1400" t="s"/>
      <c r="H1400" t="s"/>
      <c r="I1400" t="s"/>
      <c r="J1400" t="n">
        <v>0</v>
      </c>
      <c r="K1400" t="n">
        <v>0</v>
      </c>
      <c r="L1400" t="n">
        <v>1</v>
      </c>
      <c r="M1400" t="n">
        <v>0</v>
      </c>
    </row>
    <row r="1401" spans="1:13">
      <c r="A1401" s="1">
        <f>HYPERLINK("http://www.twitter.com/NathanBLawrence/status/986515862860398593", "986515862860398593")</f>
        <v/>
      </c>
      <c r="B1401" s="2" t="n">
        <v>43208.33662037037</v>
      </c>
      <c r="C1401" t="n">
        <v>4</v>
      </c>
      <c r="D1401" t="n">
        <v>3</v>
      </c>
      <c r="E1401" t="s">
        <v>1411</v>
      </c>
      <c r="F1401" t="s"/>
      <c r="G1401" t="s"/>
      <c r="H1401" t="s"/>
      <c r="I1401" t="s"/>
      <c r="J1401" t="n">
        <v>-0.5574</v>
      </c>
      <c r="K1401" t="n">
        <v>0.312</v>
      </c>
      <c r="L1401" t="n">
        <v>0.588</v>
      </c>
      <c r="M1401" t="n">
        <v>0.1</v>
      </c>
    </row>
    <row r="1402" spans="1:13">
      <c r="A1402" s="1">
        <f>HYPERLINK("http://www.twitter.com/NathanBLawrence/status/986515618219180032", "986515618219180032")</f>
        <v/>
      </c>
      <c r="B1402" s="2" t="n">
        <v>43208.33594907408</v>
      </c>
      <c r="C1402" t="n">
        <v>1</v>
      </c>
      <c r="D1402" t="n">
        <v>2</v>
      </c>
      <c r="E1402" t="s">
        <v>1412</v>
      </c>
      <c r="F1402" t="s"/>
      <c r="G1402" t="s"/>
      <c r="H1402" t="s"/>
      <c r="I1402" t="s"/>
      <c r="J1402" t="n">
        <v>0.4019</v>
      </c>
      <c r="K1402" t="n">
        <v>0</v>
      </c>
      <c r="L1402" t="n">
        <v>0.828</v>
      </c>
      <c r="M1402" t="n">
        <v>0.172</v>
      </c>
    </row>
    <row r="1403" spans="1:13">
      <c r="A1403" s="1">
        <f>HYPERLINK("http://www.twitter.com/NathanBLawrence/status/986515320750788608", "986515320750788608")</f>
        <v/>
      </c>
      <c r="B1403" s="2" t="n">
        <v>43208.33512731481</v>
      </c>
      <c r="C1403" t="n">
        <v>1</v>
      </c>
      <c r="D1403" t="n">
        <v>1</v>
      </c>
      <c r="E1403" t="s">
        <v>1413</v>
      </c>
      <c r="F1403" t="s"/>
      <c r="G1403" t="s"/>
      <c r="H1403" t="s"/>
      <c r="I1403" t="s"/>
      <c r="J1403" t="n">
        <v>0</v>
      </c>
      <c r="K1403" t="n">
        <v>0</v>
      </c>
      <c r="L1403" t="n">
        <v>1</v>
      </c>
      <c r="M1403" t="n">
        <v>0</v>
      </c>
    </row>
    <row r="1404" spans="1:13">
      <c r="A1404" s="1">
        <f>HYPERLINK("http://www.twitter.com/NathanBLawrence/status/986515160524181504", "986515160524181504")</f>
        <v/>
      </c>
      <c r="B1404" s="2" t="n">
        <v>43208.3346875</v>
      </c>
      <c r="C1404" t="n">
        <v>3</v>
      </c>
      <c r="D1404" t="n">
        <v>2</v>
      </c>
      <c r="E1404" t="s">
        <v>1414</v>
      </c>
      <c r="F1404" t="s"/>
      <c r="G1404" t="s"/>
      <c r="H1404" t="s"/>
      <c r="I1404" t="s"/>
      <c r="J1404" t="n">
        <v>-0.6808</v>
      </c>
      <c r="K1404" t="n">
        <v>0.29</v>
      </c>
      <c r="L1404" t="n">
        <v>0.625</v>
      </c>
      <c r="M1404" t="n">
        <v>0.08500000000000001</v>
      </c>
    </row>
    <row r="1405" spans="1:13">
      <c r="A1405" s="1">
        <f>HYPERLINK("http://www.twitter.com/NathanBLawrence/status/986514555953016833", "986514555953016833")</f>
        <v/>
      </c>
      <c r="B1405" s="2" t="n">
        <v>43208.33302083334</v>
      </c>
      <c r="C1405" t="n">
        <v>32</v>
      </c>
      <c r="D1405" t="n">
        <v>13</v>
      </c>
      <c r="E1405" t="s">
        <v>1415</v>
      </c>
      <c r="F1405" t="s"/>
      <c r="G1405" t="s"/>
      <c r="H1405" t="s"/>
      <c r="I1405" t="s"/>
      <c r="J1405" t="n">
        <v>0.3818</v>
      </c>
      <c r="K1405" t="n">
        <v>0</v>
      </c>
      <c r="L1405" t="n">
        <v>0.794</v>
      </c>
      <c r="M1405" t="n">
        <v>0.206</v>
      </c>
    </row>
    <row r="1406" spans="1:13">
      <c r="A1406" s="1">
        <f>HYPERLINK("http://www.twitter.com/NathanBLawrence/status/986513703217459200", "986513703217459200")</f>
        <v/>
      </c>
      <c r="B1406" s="2" t="n">
        <v>43208.33067129629</v>
      </c>
      <c r="C1406" t="n">
        <v>0</v>
      </c>
      <c r="D1406" t="n">
        <v>1</v>
      </c>
      <c r="E1406" t="s">
        <v>1416</v>
      </c>
      <c r="F1406" t="s"/>
      <c r="G1406" t="s"/>
      <c r="H1406" t="s"/>
      <c r="I1406" t="s"/>
      <c r="J1406" t="n">
        <v>-0.8074</v>
      </c>
      <c r="K1406" t="n">
        <v>0.399</v>
      </c>
      <c r="L1406" t="n">
        <v>0.601</v>
      </c>
      <c r="M1406" t="n">
        <v>0</v>
      </c>
    </row>
    <row r="1407" spans="1:13">
      <c r="A1407" s="1">
        <f>HYPERLINK("http://www.twitter.com/NathanBLawrence/status/986513037027827713", "986513037027827713")</f>
        <v/>
      </c>
      <c r="B1407" s="2" t="n">
        <v>43208.32883101852</v>
      </c>
      <c r="C1407" t="n">
        <v>0</v>
      </c>
      <c r="D1407" t="n">
        <v>11</v>
      </c>
      <c r="E1407" t="s">
        <v>1417</v>
      </c>
      <c r="F1407">
        <f>HYPERLINK("http://pbs.twimg.com/media/DaoqXU2U0AAza-z.jpg", "http://pbs.twimg.com/media/DaoqXU2U0AAza-z.jpg")</f>
        <v/>
      </c>
      <c r="G1407" t="s"/>
      <c r="H1407" t="s"/>
      <c r="I1407" t="s"/>
      <c r="J1407" t="n">
        <v>0</v>
      </c>
      <c r="K1407" t="n">
        <v>0</v>
      </c>
      <c r="L1407" t="n">
        <v>1</v>
      </c>
      <c r="M1407" t="n">
        <v>0</v>
      </c>
    </row>
    <row r="1408" spans="1:13">
      <c r="A1408" s="1">
        <f>HYPERLINK("http://www.twitter.com/NathanBLawrence/status/986512192970240000", "986512192970240000")</f>
        <v/>
      </c>
      <c r="B1408" s="2" t="n">
        <v>43208.32649305555</v>
      </c>
      <c r="C1408" t="n">
        <v>0</v>
      </c>
      <c r="D1408" t="n">
        <v>49</v>
      </c>
      <c r="E1408" t="s">
        <v>1418</v>
      </c>
      <c r="F1408">
        <f>HYPERLINK("http://pbs.twimg.com/media/DbAESiiUQAAv3jm.jpg", "http://pbs.twimg.com/media/DbAESiiUQAAv3jm.jpg")</f>
        <v/>
      </c>
      <c r="G1408" t="s"/>
      <c r="H1408" t="s"/>
      <c r="I1408" t="s"/>
      <c r="J1408" t="n">
        <v>-0.5461</v>
      </c>
      <c r="K1408" t="n">
        <v>0.358</v>
      </c>
      <c r="L1408" t="n">
        <v>0.509</v>
      </c>
      <c r="M1408" t="n">
        <v>0.134</v>
      </c>
    </row>
    <row r="1409" spans="1:13">
      <c r="A1409" s="1">
        <f>HYPERLINK("http://www.twitter.com/NathanBLawrence/status/986511587660906496", "986511587660906496")</f>
        <v/>
      </c>
      <c r="B1409" s="2" t="n">
        <v>43208.32482638889</v>
      </c>
      <c r="C1409" t="n">
        <v>0</v>
      </c>
      <c r="D1409" t="n">
        <v>62</v>
      </c>
      <c r="E1409" t="s">
        <v>1419</v>
      </c>
      <c r="F1409" t="s"/>
      <c r="G1409" t="s"/>
      <c r="H1409" t="s"/>
      <c r="I1409" t="s"/>
      <c r="J1409" t="n">
        <v>0</v>
      </c>
      <c r="K1409" t="n">
        <v>0</v>
      </c>
      <c r="L1409" t="n">
        <v>1</v>
      </c>
      <c r="M1409" t="n">
        <v>0</v>
      </c>
    </row>
    <row r="1410" spans="1:13">
      <c r="A1410" s="1">
        <f>HYPERLINK("http://www.twitter.com/NathanBLawrence/status/986511489719660544", "986511489719660544")</f>
        <v/>
      </c>
      <c r="B1410" s="2" t="n">
        <v>43208.32456018519</v>
      </c>
      <c r="C1410" t="n">
        <v>16</v>
      </c>
      <c r="D1410" t="n">
        <v>8</v>
      </c>
      <c r="E1410" t="s">
        <v>1420</v>
      </c>
      <c r="F1410" t="s"/>
      <c r="G1410" t="s"/>
      <c r="H1410" t="s"/>
      <c r="I1410" t="s"/>
      <c r="J1410" t="n">
        <v>0</v>
      </c>
      <c r="K1410" t="n">
        <v>0</v>
      </c>
      <c r="L1410" t="n">
        <v>1</v>
      </c>
      <c r="M1410" t="n">
        <v>0</v>
      </c>
    </row>
    <row r="1411" spans="1:13">
      <c r="A1411" s="1">
        <f>HYPERLINK("http://www.twitter.com/NathanBLawrence/status/986510727753023488", "986510727753023488")</f>
        <v/>
      </c>
      <c r="B1411" s="2" t="n">
        <v>43208.3224537037</v>
      </c>
      <c r="C1411" t="n">
        <v>0</v>
      </c>
      <c r="D1411" t="n">
        <v>2</v>
      </c>
      <c r="E1411" t="s">
        <v>1421</v>
      </c>
      <c r="F1411">
        <f>HYPERLINK("http://pbs.twimg.com/media/DbDKCtiV4AENL6-.jpg", "http://pbs.twimg.com/media/DbDKCtiV4AENL6-.jpg")</f>
        <v/>
      </c>
      <c r="G1411" t="s"/>
      <c r="H1411" t="s"/>
      <c r="I1411" t="s"/>
      <c r="J1411" t="n">
        <v>0</v>
      </c>
      <c r="K1411" t="n">
        <v>0</v>
      </c>
      <c r="L1411" t="n">
        <v>1</v>
      </c>
      <c r="M1411" t="n">
        <v>0</v>
      </c>
    </row>
    <row r="1412" spans="1:13">
      <c r="A1412" s="1">
        <f>HYPERLINK("http://www.twitter.com/NathanBLawrence/status/986510652628860929", "986510652628860929")</f>
        <v/>
      </c>
      <c r="B1412" s="2" t="n">
        <v>43208.32224537037</v>
      </c>
      <c r="C1412" t="n">
        <v>0</v>
      </c>
      <c r="D1412" t="n">
        <v>5</v>
      </c>
      <c r="E1412" t="s">
        <v>1422</v>
      </c>
      <c r="F1412">
        <f>HYPERLINK("http://pbs.twimg.com/media/DbDKDvQV4AA5k97.jpg", "http://pbs.twimg.com/media/DbDKDvQV4AA5k97.jpg")</f>
        <v/>
      </c>
      <c r="G1412" t="s"/>
      <c r="H1412" t="s"/>
      <c r="I1412" t="s"/>
      <c r="J1412" t="n">
        <v>0</v>
      </c>
      <c r="K1412" t="n">
        <v>0</v>
      </c>
      <c r="L1412" t="n">
        <v>1</v>
      </c>
      <c r="M1412" t="n">
        <v>0</v>
      </c>
    </row>
    <row r="1413" spans="1:13">
      <c r="A1413" s="1">
        <f>HYPERLINK("http://www.twitter.com/NathanBLawrence/status/986506710805336064", "986506710805336064")</f>
        <v/>
      </c>
      <c r="B1413" s="2" t="n">
        <v>43208.31136574074</v>
      </c>
      <c r="C1413" t="n">
        <v>4</v>
      </c>
      <c r="D1413" t="n">
        <v>1</v>
      </c>
      <c r="E1413" t="s">
        <v>1423</v>
      </c>
      <c r="F1413" t="s"/>
      <c r="G1413" t="s"/>
      <c r="H1413" t="s"/>
      <c r="I1413" t="s"/>
      <c r="J1413" t="n">
        <v>0</v>
      </c>
      <c r="K1413" t="n">
        <v>0</v>
      </c>
      <c r="L1413" t="n">
        <v>1</v>
      </c>
      <c r="M1413" t="n">
        <v>0</v>
      </c>
    </row>
    <row r="1414" spans="1:13">
      <c r="A1414" s="1">
        <f>HYPERLINK("http://www.twitter.com/NathanBLawrence/status/986506261628882944", "986506261628882944")</f>
        <v/>
      </c>
      <c r="B1414" s="2" t="n">
        <v>43208.31012731481</v>
      </c>
      <c r="C1414" t="n">
        <v>0</v>
      </c>
      <c r="D1414" t="n">
        <v>0</v>
      </c>
      <c r="E1414" t="s">
        <v>1424</v>
      </c>
      <c r="F1414" t="s"/>
      <c r="G1414" t="s"/>
      <c r="H1414" t="s"/>
      <c r="I1414" t="s"/>
      <c r="J1414" t="n">
        <v>0</v>
      </c>
      <c r="K1414" t="n">
        <v>0</v>
      </c>
      <c r="L1414" t="n">
        <v>1</v>
      </c>
      <c r="M1414" t="n">
        <v>0</v>
      </c>
    </row>
    <row r="1415" spans="1:13">
      <c r="A1415" s="1">
        <f>HYPERLINK("http://www.twitter.com/NathanBLawrence/status/986477097651617792", "986477097651617792")</f>
        <v/>
      </c>
      <c r="B1415" s="2" t="n">
        <v>43208.22965277778</v>
      </c>
      <c r="C1415" t="n">
        <v>0</v>
      </c>
      <c r="D1415" t="n">
        <v>405</v>
      </c>
      <c r="E1415" t="s">
        <v>1425</v>
      </c>
      <c r="F1415" t="s"/>
      <c r="G1415" t="s"/>
      <c r="H1415" t="s"/>
      <c r="I1415" t="s"/>
      <c r="J1415" t="n">
        <v>-0.1901</v>
      </c>
      <c r="K1415" t="n">
        <v>0.07099999999999999</v>
      </c>
      <c r="L1415" t="n">
        <v>0.929</v>
      </c>
      <c r="M1415" t="n">
        <v>0</v>
      </c>
    </row>
    <row r="1416" spans="1:13">
      <c r="A1416" s="1">
        <f>HYPERLINK("http://www.twitter.com/NathanBLawrence/status/986471371105452033", "986471371105452033")</f>
        <v/>
      </c>
      <c r="B1416" s="2" t="n">
        <v>43208.21385416666</v>
      </c>
      <c r="C1416" t="n">
        <v>0</v>
      </c>
      <c r="D1416" t="n">
        <v>32</v>
      </c>
      <c r="E1416" t="s">
        <v>1426</v>
      </c>
      <c r="F1416" t="s"/>
      <c r="G1416" t="s"/>
      <c r="H1416" t="s"/>
      <c r="I1416" t="s"/>
      <c r="J1416" t="n">
        <v>0.0772</v>
      </c>
      <c r="K1416" t="n">
        <v>0</v>
      </c>
      <c r="L1416" t="n">
        <v>0.9419999999999999</v>
      </c>
      <c r="M1416" t="n">
        <v>0.058</v>
      </c>
    </row>
    <row r="1417" spans="1:13">
      <c r="A1417" s="1">
        <f>HYPERLINK("http://www.twitter.com/NathanBLawrence/status/986471064665440256", "986471064665440256")</f>
        <v/>
      </c>
      <c r="B1417" s="2" t="n">
        <v>43208.21300925926</v>
      </c>
      <c r="C1417" t="n">
        <v>0</v>
      </c>
      <c r="D1417" t="n">
        <v>8606</v>
      </c>
      <c r="E1417" t="s">
        <v>1427</v>
      </c>
      <c r="F1417">
        <f>HYPERLINK("http://pbs.twimg.com/media/DbBh0x3VwAEzaGy.jpg", "http://pbs.twimg.com/media/DbBh0x3VwAEzaGy.jpg")</f>
        <v/>
      </c>
      <c r="G1417" t="s"/>
      <c r="H1417" t="s"/>
      <c r="I1417" t="s"/>
      <c r="J1417" t="n">
        <v>-0.4767</v>
      </c>
      <c r="K1417" t="n">
        <v>0.129</v>
      </c>
      <c r="L1417" t="n">
        <v>0.871</v>
      </c>
      <c r="M1417" t="n">
        <v>0</v>
      </c>
    </row>
    <row r="1418" spans="1:13">
      <c r="A1418" s="1">
        <f>HYPERLINK("http://www.twitter.com/NathanBLawrence/status/986470877326790656", "986470877326790656")</f>
        <v/>
      </c>
      <c r="B1418" s="2" t="n">
        <v>43208.21248842592</v>
      </c>
      <c r="C1418" t="n">
        <v>0</v>
      </c>
      <c r="D1418" t="n">
        <v>2243</v>
      </c>
      <c r="E1418" t="s">
        <v>1428</v>
      </c>
      <c r="F1418">
        <f>HYPERLINK("http://pbs.twimg.com/media/Da7AwypVwAA9myo.jpg", "http://pbs.twimg.com/media/Da7AwypVwAA9myo.jpg")</f>
        <v/>
      </c>
      <c r="G1418" t="s"/>
      <c r="H1418" t="s"/>
      <c r="I1418" t="s"/>
      <c r="J1418" t="n">
        <v>0</v>
      </c>
      <c r="K1418" t="n">
        <v>0</v>
      </c>
      <c r="L1418" t="n">
        <v>1</v>
      </c>
      <c r="M1418" t="n">
        <v>0</v>
      </c>
    </row>
    <row r="1419" spans="1:13">
      <c r="A1419" s="1">
        <f>HYPERLINK("http://www.twitter.com/NathanBLawrence/status/986470586263089152", "986470586263089152")</f>
        <v/>
      </c>
      <c r="B1419" s="2" t="n">
        <v>43208.21168981482</v>
      </c>
      <c r="C1419" t="n">
        <v>0</v>
      </c>
      <c r="D1419" t="n">
        <v>1432</v>
      </c>
      <c r="E1419" t="s">
        <v>1429</v>
      </c>
      <c r="F1419">
        <f>HYPERLINK("http://pbs.twimg.com/media/DbBSAnNUQAArDCD.jpg", "http://pbs.twimg.com/media/DbBSAnNUQAArDCD.jpg")</f>
        <v/>
      </c>
      <c r="G1419" t="s"/>
      <c r="H1419" t="s"/>
      <c r="I1419" t="s"/>
      <c r="J1419" t="n">
        <v>-0.09</v>
      </c>
      <c r="K1419" t="n">
        <v>0.097</v>
      </c>
      <c r="L1419" t="n">
        <v>0.821</v>
      </c>
      <c r="M1419" t="n">
        <v>0.082</v>
      </c>
    </row>
    <row r="1420" spans="1:13">
      <c r="A1420" s="1">
        <f>HYPERLINK("http://www.twitter.com/NathanBLawrence/status/986469801571708929", "986469801571708929")</f>
        <v/>
      </c>
      <c r="B1420" s="2" t="n">
        <v>43208.20952546296</v>
      </c>
      <c r="C1420" t="n">
        <v>0</v>
      </c>
      <c r="D1420" t="n">
        <v>2</v>
      </c>
      <c r="E1420" t="s">
        <v>1430</v>
      </c>
      <c r="F1420" t="s"/>
      <c r="G1420" t="s"/>
      <c r="H1420" t="s"/>
      <c r="I1420" t="s"/>
      <c r="J1420" t="n">
        <v>-0.5859</v>
      </c>
      <c r="K1420" t="n">
        <v>0.275</v>
      </c>
      <c r="L1420" t="n">
        <v>0.725</v>
      </c>
      <c r="M1420" t="n">
        <v>0</v>
      </c>
    </row>
    <row r="1421" spans="1:13">
      <c r="A1421" s="1">
        <f>HYPERLINK("http://www.twitter.com/NathanBLawrence/status/986469685901185024", "986469685901185024")</f>
        <v/>
      </c>
      <c r="B1421" s="2" t="n">
        <v>43208.20920138889</v>
      </c>
      <c r="C1421" t="n">
        <v>0</v>
      </c>
      <c r="D1421" t="n">
        <v>135</v>
      </c>
      <c r="E1421" t="s">
        <v>1431</v>
      </c>
      <c r="F1421" t="s"/>
      <c r="G1421" t="s"/>
      <c r="H1421" t="s"/>
      <c r="I1421" t="s"/>
      <c r="J1421" t="n">
        <v>0</v>
      </c>
      <c r="K1421" t="n">
        <v>0</v>
      </c>
      <c r="L1421" t="n">
        <v>1</v>
      </c>
      <c r="M1421" t="n">
        <v>0</v>
      </c>
    </row>
    <row r="1422" spans="1:13">
      <c r="A1422" s="1">
        <f>HYPERLINK("http://www.twitter.com/NathanBLawrence/status/986469133284917248", "986469133284917248")</f>
        <v/>
      </c>
      <c r="B1422" s="2" t="n">
        <v>43208.20767361111</v>
      </c>
      <c r="C1422" t="n">
        <v>0</v>
      </c>
      <c r="D1422" t="n">
        <v>66</v>
      </c>
      <c r="E1422" t="s">
        <v>1432</v>
      </c>
      <c r="F1422">
        <f>HYPERLINK("http://pbs.twimg.com/media/DbCd0UVXkAAHW8c.jpg", "http://pbs.twimg.com/media/DbCd0UVXkAAHW8c.jpg")</f>
        <v/>
      </c>
      <c r="G1422" t="s"/>
      <c r="H1422" t="s"/>
      <c r="I1422" t="s"/>
      <c r="J1422" t="n">
        <v>0</v>
      </c>
      <c r="K1422" t="n">
        <v>0</v>
      </c>
      <c r="L1422" t="n">
        <v>1</v>
      </c>
      <c r="M1422" t="n">
        <v>0</v>
      </c>
    </row>
    <row r="1423" spans="1:13">
      <c r="A1423" s="1">
        <f>HYPERLINK("http://www.twitter.com/NathanBLawrence/status/986452142402617344", "986452142402617344")</f>
        <v/>
      </c>
      <c r="B1423" s="2" t="n">
        <v>43208.16078703704</v>
      </c>
      <c r="C1423" t="n">
        <v>0</v>
      </c>
      <c r="D1423" t="n">
        <v>31</v>
      </c>
      <c r="E1423" t="s">
        <v>1433</v>
      </c>
      <c r="F1423" t="s"/>
      <c r="G1423" t="s"/>
      <c r="H1423" t="s"/>
      <c r="I1423" t="s"/>
      <c r="J1423" t="n">
        <v>0.7227</v>
      </c>
      <c r="K1423" t="n">
        <v>0</v>
      </c>
      <c r="L1423" t="n">
        <v>0.719</v>
      </c>
      <c r="M1423" t="n">
        <v>0.281</v>
      </c>
    </row>
    <row r="1424" spans="1:13">
      <c r="A1424" s="1">
        <f>HYPERLINK("http://www.twitter.com/NathanBLawrence/status/986450602208051200", "986450602208051200")</f>
        <v/>
      </c>
      <c r="B1424" s="2" t="n">
        <v>43208.15653935185</v>
      </c>
      <c r="C1424" t="n">
        <v>0</v>
      </c>
      <c r="D1424" t="n">
        <v>1198</v>
      </c>
      <c r="E1424" t="s">
        <v>1434</v>
      </c>
      <c r="F1424">
        <f>HYPERLINK("http://pbs.twimg.com/media/DbCH-GiXcAUDN9G.jpg", "http://pbs.twimg.com/media/DbCH-GiXcAUDN9G.jpg")</f>
        <v/>
      </c>
      <c r="G1424" t="s"/>
      <c r="H1424" t="s"/>
      <c r="I1424" t="s"/>
      <c r="J1424" t="n">
        <v>0.9186</v>
      </c>
      <c r="K1424" t="n">
        <v>0</v>
      </c>
      <c r="L1424" t="n">
        <v>0.636</v>
      </c>
      <c r="M1424" t="n">
        <v>0.364</v>
      </c>
    </row>
    <row r="1425" spans="1:13">
      <c r="A1425" s="1">
        <f>HYPERLINK("http://www.twitter.com/NathanBLawrence/status/986435975894069248", "986435975894069248")</f>
        <v/>
      </c>
      <c r="B1425" s="2" t="n">
        <v>43208.11618055555</v>
      </c>
      <c r="C1425" t="n">
        <v>0</v>
      </c>
      <c r="D1425" t="n">
        <v>55</v>
      </c>
      <c r="E1425" t="s">
        <v>1435</v>
      </c>
      <c r="F1425" t="s"/>
      <c r="G1425" t="s"/>
      <c r="H1425" t="s"/>
      <c r="I1425" t="s"/>
      <c r="J1425" t="n">
        <v>0</v>
      </c>
      <c r="K1425" t="n">
        <v>0</v>
      </c>
      <c r="L1425" t="n">
        <v>1</v>
      </c>
      <c r="M1425" t="n">
        <v>0</v>
      </c>
    </row>
    <row r="1426" spans="1:13">
      <c r="A1426" s="1">
        <f>HYPERLINK("http://www.twitter.com/NathanBLawrence/status/986415496139489281", "986415496139489281")</f>
        <v/>
      </c>
      <c r="B1426" s="2" t="n">
        <v>43208.05966435185</v>
      </c>
      <c r="C1426" t="n">
        <v>0</v>
      </c>
      <c r="D1426" t="n">
        <v>286</v>
      </c>
      <c r="E1426" t="s">
        <v>1436</v>
      </c>
      <c r="F1426">
        <f>HYPERLINK("http://pbs.twimg.com/media/Da8WMwRUQAATZF5.jpg", "http://pbs.twimg.com/media/Da8WMwRUQAATZF5.jpg")</f>
        <v/>
      </c>
      <c r="G1426" t="s"/>
      <c r="H1426" t="s"/>
      <c r="I1426" t="s"/>
      <c r="J1426" t="n">
        <v>0</v>
      </c>
      <c r="K1426" t="n">
        <v>0</v>
      </c>
      <c r="L1426" t="n">
        <v>1</v>
      </c>
      <c r="M1426" t="n">
        <v>0</v>
      </c>
    </row>
    <row r="1427" spans="1:13">
      <c r="A1427" s="1">
        <f>HYPERLINK("http://www.twitter.com/NathanBLawrence/status/986415012947214336", "986415012947214336")</f>
        <v/>
      </c>
      <c r="B1427" s="2" t="n">
        <v>43208.05833333333</v>
      </c>
      <c r="C1427" t="n">
        <v>0</v>
      </c>
      <c r="D1427" t="n">
        <v>157</v>
      </c>
      <c r="E1427" t="s">
        <v>1437</v>
      </c>
      <c r="F1427">
        <f>HYPERLINK("http://pbs.twimg.com/media/Da_5PiZXcAA8V9P.jpg", "http://pbs.twimg.com/media/Da_5PiZXcAA8V9P.jpg")</f>
        <v/>
      </c>
      <c r="G1427" t="s"/>
      <c r="H1427" t="s"/>
      <c r="I1427" t="s"/>
      <c r="J1427" t="n">
        <v>-0.5144</v>
      </c>
      <c r="K1427" t="n">
        <v>0.155</v>
      </c>
      <c r="L1427" t="n">
        <v>0.771</v>
      </c>
      <c r="M1427" t="n">
        <v>0.074</v>
      </c>
    </row>
    <row r="1428" spans="1:13">
      <c r="A1428" s="1">
        <f>HYPERLINK("http://www.twitter.com/NathanBLawrence/status/986414713285193728", "986414713285193728")</f>
        <v/>
      </c>
      <c r="B1428" s="2" t="n">
        <v>43208.05751157407</v>
      </c>
      <c r="C1428" t="n">
        <v>0</v>
      </c>
      <c r="D1428" t="n">
        <v>330</v>
      </c>
      <c r="E1428" t="s">
        <v>1438</v>
      </c>
      <c r="F1428">
        <f>HYPERLINK("http://pbs.twimg.com/media/DbBv7whVwAAbNv3.jpg", "http://pbs.twimg.com/media/DbBv7whVwAAbNv3.jpg")</f>
        <v/>
      </c>
      <c r="G1428" t="s"/>
      <c r="H1428" t="s"/>
      <c r="I1428" t="s"/>
      <c r="J1428" t="n">
        <v>0</v>
      </c>
      <c r="K1428" t="n">
        <v>0</v>
      </c>
      <c r="L1428" t="n">
        <v>1</v>
      </c>
      <c r="M1428" t="n">
        <v>0</v>
      </c>
    </row>
    <row r="1429" spans="1:13">
      <c r="A1429" s="1">
        <f>HYPERLINK("http://www.twitter.com/NathanBLawrence/status/986367542112403456", "986367542112403456")</f>
        <v/>
      </c>
      <c r="B1429" s="2" t="n">
        <v>43207.92733796296</v>
      </c>
      <c r="C1429" t="n">
        <v>0</v>
      </c>
      <c r="D1429" t="n">
        <v>2465</v>
      </c>
      <c r="E1429" t="s">
        <v>1439</v>
      </c>
      <c r="F1429">
        <f>HYPERLINK("http://pbs.twimg.com/media/Da8nkP2W0AAsO0r.jpg", "http://pbs.twimg.com/media/Da8nkP2W0AAsO0r.jpg")</f>
        <v/>
      </c>
      <c r="G1429" t="s"/>
      <c r="H1429" t="s"/>
      <c r="I1429" t="s"/>
      <c r="J1429" t="n">
        <v>0.4199</v>
      </c>
      <c r="K1429" t="n">
        <v>0</v>
      </c>
      <c r="L1429" t="n">
        <v>0.715</v>
      </c>
      <c r="M1429" t="n">
        <v>0.285</v>
      </c>
    </row>
    <row r="1430" spans="1:13">
      <c r="A1430" s="1">
        <f>HYPERLINK("http://www.twitter.com/NathanBLawrence/status/986367424856449025", "986367424856449025")</f>
        <v/>
      </c>
      <c r="B1430" s="2" t="n">
        <v>43207.92701388889</v>
      </c>
      <c r="C1430" t="n">
        <v>0</v>
      </c>
      <c r="D1430" t="n">
        <v>220</v>
      </c>
      <c r="E1430" t="s">
        <v>1440</v>
      </c>
      <c r="F1430">
        <f>HYPERLINK("http://pbs.twimg.com/media/Da-vHbvU0AEVTPJ.jpg", "http://pbs.twimg.com/media/Da-vHbvU0AEVTPJ.jpg")</f>
        <v/>
      </c>
      <c r="G1430" t="s"/>
      <c r="H1430" t="s"/>
      <c r="I1430" t="s"/>
      <c r="J1430" t="n">
        <v>0</v>
      </c>
      <c r="K1430" t="n">
        <v>0</v>
      </c>
      <c r="L1430" t="n">
        <v>1</v>
      </c>
      <c r="M1430" t="n">
        <v>0</v>
      </c>
    </row>
    <row r="1431" spans="1:13">
      <c r="A1431" s="1">
        <f>HYPERLINK("http://www.twitter.com/NathanBLawrence/status/986367240827097088", "986367240827097088")</f>
        <v/>
      </c>
      <c r="B1431" s="2" t="n">
        <v>43207.92650462963</v>
      </c>
      <c r="C1431" t="n">
        <v>0</v>
      </c>
      <c r="D1431" t="n">
        <v>576</v>
      </c>
      <c r="E1431" t="s">
        <v>1441</v>
      </c>
      <c r="F1431">
        <f>HYPERLINK("http://pbs.twimg.com/media/Da_v5ifX4AEKkxQ.jpg", "http://pbs.twimg.com/media/Da_v5ifX4AEKkxQ.jpg")</f>
        <v/>
      </c>
      <c r="G1431">
        <f>HYPERLINK("http://pbs.twimg.com/media/Da_v5ihWAAAPlnp.jpg", "http://pbs.twimg.com/media/Da_v5ihWAAAPlnp.jpg")</f>
        <v/>
      </c>
      <c r="H1431">
        <f>HYPERLINK("http://pbs.twimg.com/media/Da_v5ihX4AYbzGN.jpg", "http://pbs.twimg.com/media/Da_v5ihX4AYbzGN.jpg")</f>
        <v/>
      </c>
      <c r="I1431" t="s"/>
      <c r="J1431" t="n">
        <v>-0.0387</v>
      </c>
      <c r="K1431" t="n">
        <v>0.044</v>
      </c>
      <c r="L1431" t="n">
        <v>0.956</v>
      </c>
      <c r="M1431" t="n">
        <v>0</v>
      </c>
    </row>
    <row r="1432" spans="1:13">
      <c r="A1432" s="1">
        <f>HYPERLINK("http://www.twitter.com/NathanBLawrence/status/986367140096704514", "986367140096704514")</f>
        <v/>
      </c>
      <c r="B1432" s="2" t="n">
        <v>43207.92622685185</v>
      </c>
      <c r="C1432" t="n">
        <v>7</v>
      </c>
      <c r="D1432" t="n">
        <v>4</v>
      </c>
      <c r="E1432" t="s">
        <v>1442</v>
      </c>
      <c r="F1432" t="s"/>
      <c r="G1432" t="s"/>
      <c r="H1432" t="s"/>
      <c r="I1432" t="s"/>
      <c r="J1432" t="n">
        <v>0.3382</v>
      </c>
      <c r="K1432" t="n">
        <v>0</v>
      </c>
      <c r="L1432" t="n">
        <v>0.834</v>
      </c>
      <c r="M1432" t="n">
        <v>0.166</v>
      </c>
    </row>
    <row r="1433" spans="1:13">
      <c r="A1433" s="1">
        <f>HYPERLINK("http://www.twitter.com/NathanBLawrence/status/986366416520495104", "986366416520495104")</f>
        <v/>
      </c>
      <c r="B1433" s="2" t="n">
        <v>43207.92423611111</v>
      </c>
      <c r="C1433" t="n">
        <v>0</v>
      </c>
      <c r="D1433" t="n">
        <v>112</v>
      </c>
      <c r="E1433" t="s">
        <v>1443</v>
      </c>
      <c r="F1433">
        <f>HYPERLINK("http://pbs.twimg.com/media/DbAYJQmWkAELksH.jpg", "http://pbs.twimg.com/media/DbAYJQmWkAELksH.jpg")</f>
        <v/>
      </c>
      <c r="G1433" t="s"/>
      <c r="H1433" t="s"/>
      <c r="I1433" t="s"/>
      <c r="J1433" t="n">
        <v>0</v>
      </c>
      <c r="K1433" t="n">
        <v>0</v>
      </c>
      <c r="L1433" t="n">
        <v>1</v>
      </c>
      <c r="M1433" t="n">
        <v>0</v>
      </c>
    </row>
    <row r="1434" spans="1:13">
      <c r="A1434" s="1">
        <f>HYPERLINK("http://www.twitter.com/NathanBLawrence/status/986366131240751104", "986366131240751104")</f>
        <v/>
      </c>
      <c r="B1434" s="2" t="n">
        <v>43207.92344907407</v>
      </c>
      <c r="C1434" t="n">
        <v>0</v>
      </c>
      <c r="D1434" t="n">
        <v>335</v>
      </c>
      <c r="E1434" t="s">
        <v>1444</v>
      </c>
      <c r="F1434">
        <f>HYPERLINK("http://pbs.twimg.com/media/DbA2rbxWAAAN2Jn.jpg", "http://pbs.twimg.com/media/DbA2rbxWAAAN2Jn.jpg")</f>
        <v/>
      </c>
      <c r="G1434" t="s"/>
      <c r="H1434" t="s"/>
      <c r="I1434" t="s"/>
      <c r="J1434" t="n">
        <v>0</v>
      </c>
      <c r="K1434" t="n">
        <v>0</v>
      </c>
      <c r="L1434" t="n">
        <v>1</v>
      </c>
      <c r="M1434" t="n">
        <v>0</v>
      </c>
    </row>
    <row r="1435" spans="1:13">
      <c r="A1435" s="1">
        <f>HYPERLINK("http://www.twitter.com/NathanBLawrence/status/986366034570457088", "986366034570457088")</f>
        <v/>
      </c>
      <c r="B1435" s="2" t="n">
        <v>43207.92318287037</v>
      </c>
      <c r="C1435" t="n">
        <v>0</v>
      </c>
      <c r="D1435" t="n">
        <v>6</v>
      </c>
      <c r="E1435" t="s">
        <v>1445</v>
      </c>
      <c r="F1435">
        <f>HYPERLINK("http://pbs.twimg.com/media/DbBGXjCV4AAfqpJ.jpg", "http://pbs.twimg.com/media/DbBGXjCV4AAfqpJ.jpg")</f>
        <v/>
      </c>
      <c r="G1435" t="s"/>
      <c r="H1435" t="s"/>
      <c r="I1435" t="s"/>
      <c r="J1435" t="n">
        <v>0</v>
      </c>
      <c r="K1435" t="n">
        <v>0</v>
      </c>
      <c r="L1435" t="n">
        <v>1</v>
      </c>
      <c r="M1435" t="n">
        <v>0</v>
      </c>
    </row>
    <row r="1436" spans="1:13">
      <c r="A1436" s="1">
        <f>HYPERLINK("http://www.twitter.com/NathanBLawrence/status/986365697587429378", "986365697587429378")</f>
        <v/>
      </c>
      <c r="B1436" s="2" t="n">
        <v>43207.92224537037</v>
      </c>
      <c r="C1436" t="n">
        <v>0</v>
      </c>
      <c r="D1436" t="n">
        <v>10</v>
      </c>
      <c r="E1436" t="s">
        <v>1446</v>
      </c>
      <c r="F1436" t="s"/>
      <c r="G1436" t="s"/>
      <c r="H1436" t="s"/>
      <c r="I1436" t="s"/>
      <c r="J1436" t="n">
        <v>0.6369</v>
      </c>
      <c r="K1436" t="n">
        <v>0</v>
      </c>
      <c r="L1436" t="n">
        <v>0.8110000000000001</v>
      </c>
      <c r="M1436" t="n">
        <v>0.189</v>
      </c>
    </row>
    <row r="1437" spans="1:13">
      <c r="A1437" s="1">
        <f>HYPERLINK("http://www.twitter.com/NathanBLawrence/status/986365455693578241", "986365455693578241")</f>
        <v/>
      </c>
      <c r="B1437" s="2" t="n">
        <v>43207.92158564815</v>
      </c>
      <c r="C1437" t="n">
        <v>0</v>
      </c>
      <c r="D1437" t="n">
        <v>2774</v>
      </c>
      <c r="E1437" t="s">
        <v>1447</v>
      </c>
      <c r="F1437" t="s"/>
      <c r="G1437" t="s"/>
      <c r="H1437" t="s"/>
      <c r="I1437" t="s"/>
      <c r="J1437" t="n">
        <v>0.1027</v>
      </c>
      <c r="K1437" t="n">
        <v>0</v>
      </c>
      <c r="L1437" t="n">
        <v>0.931</v>
      </c>
      <c r="M1437" t="n">
        <v>0.06900000000000001</v>
      </c>
    </row>
    <row r="1438" spans="1:13">
      <c r="A1438" s="1">
        <f>HYPERLINK("http://www.twitter.com/NathanBLawrence/status/986365282611380224", "986365282611380224")</f>
        <v/>
      </c>
      <c r="B1438" s="2" t="n">
        <v>43207.92109953704</v>
      </c>
      <c r="C1438" t="n">
        <v>0</v>
      </c>
      <c r="D1438" t="n">
        <v>230</v>
      </c>
      <c r="E1438" t="s">
        <v>1448</v>
      </c>
      <c r="F1438">
        <f>HYPERLINK("http://pbs.twimg.com/media/DbAAwFCWAAAhW6Y.jpg", "http://pbs.twimg.com/media/DbAAwFCWAAAhW6Y.jpg")</f>
        <v/>
      </c>
      <c r="G1438" t="s"/>
      <c r="H1438" t="s"/>
      <c r="I1438" t="s"/>
      <c r="J1438" t="n">
        <v>0</v>
      </c>
      <c r="K1438" t="n">
        <v>0</v>
      </c>
      <c r="L1438" t="n">
        <v>1</v>
      </c>
      <c r="M1438" t="n">
        <v>0</v>
      </c>
    </row>
    <row r="1439" spans="1:13">
      <c r="A1439" s="1">
        <f>HYPERLINK("http://www.twitter.com/NathanBLawrence/status/986365198683389958", "986365198683389958")</f>
        <v/>
      </c>
      <c r="B1439" s="2" t="n">
        <v>43207.92086805555</v>
      </c>
      <c r="C1439" t="n">
        <v>0</v>
      </c>
      <c r="D1439" t="n">
        <v>13</v>
      </c>
      <c r="E1439" t="s">
        <v>1449</v>
      </c>
      <c r="F1439">
        <f>HYPERLINK("http://pbs.twimg.com/media/DbA8k_sV4AEHedz.jpg", "http://pbs.twimg.com/media/DbA8k_sV4AEHedz.jpg")</f>
        <v/>
      </c>
      <c r="G1439" t="s"/>
      <c r="H1439" t="s"/>
      <c r="I1439" t="s"/>
      <c r="J1439" t="n">
        <v>0</v>
      </c>
      <c r="K1439" t="n">
        <v>0</v>
      </c>
      <c r="L1439" t="n">
        <v>1</v>
      </c>
      <c r="M1439" t="n">
        <v>0</v>
      </c>
    </row>
    <row r="1440" spans="1:13">
      <c r="A1440" s="1">
        <f>HYPERLINK("http://www.twitter.com/NathanBLawrence/status/986364472083202048", "986364472083202048")</f>
        <v/>
      </c>
      <c r="B1440" s="2" t="n">
        <v>43207.91886574074</v>
      </c>
      <c r="C1440" t="n">
        <v>0</v>
      </c>
      <c r="D1440" t="n">
        <v>8075</v>
      </c>
      <c r="E1440" t="s">
        <v>1450</v>
      </c>
      <c r="F1440">
        <f>HYPERLINK("http://pbs.twimg.com/media/DbAjoSdV4AARhwq.jpg", "http://pbs.twimg.com/media/DbAjoSdV4AARhwq.jpg")</f>
        <v/>
      </c>
      <c r="G1440" t="s"/>
      <c r="H1440" t="s"/>
      <c r="I1440" t="s"/>
      <c r="J1440" t="n">
        <v>-0.5106000000000001</v>
      </c>
      <c r="K1440" t="n">
        <v>0.13</v>
      </c>
      <c r="L1440" t="n">
        <v>0.87</v>
      </c>
      <c r="M1440" t="n">
        <v>0</v>
      </c>
    </row>
    <row r="1441" spans="1:13">
      <c r="A1441" s="1">
        <f>HYPERLINK("http://www.twitter.com/NathanBLawrence/status/986363810226192384", "986363810226192384")</f>
        <v/>
      </c>
      <c r="B1441" s="2" t="n">
        <v>43207.91703703703</v>
      </c>
      <c r="C1441" t="n">
        <v>0</v>
      </c>
      <c r="D1441" t="n">
        <v>123</v>
      </c>
      <c r="E1441" t="s">
        <v>1451</v>
      </c>
      <c r="F1441" t="s"/>
      <c r="G1441" t="s"/>
      <c r="H1441" t="s"/>
      <c r="I1441" t="s"/>
      <c r="J1441" t="n">
        <v>-0.0772</v>
      </c>
      <c r="K1441" t="n">
        <v>0.166</v>
      </c>
      <c r="L1441" t="n">
        <v>0.681</v>
      </c>
      <c r="M1441" t="n">
        <v>0.153</v>
      </c>
    </row>
    <row r="1442" spans="1:13">
      <c r="A1442" s="1">
        <f>HYPERLINK("http://www.twitter.com/NathanBLawrence/status/986363727950704640", "986363727950704640")</f>
        <v/>
      </c>
      <c r="B1442" s="2" t="n">
        <v>43207.91681712963</v>
      </c>
      <c r="C1442" t="n">
        <v>0</v>
      </c>
      <c r="D1442" t="n">
        <v>275</v>
      </c>
      <c r="E1442" t="s">
        <v>1452</v>
      </c>
      <c r="F1442">
        <f>HYPERLINK("http://pbs.twimg.com/media/Da_R1v6U0AMJfSX.jpg", "http://pbs.twimg.com/media/Da_R1v6U0AMJfSX.jpg")</f>
        <v/>
      </c>
      <c r="G1442" t="s"/>
      <c r="H1442" t="s"/>
      <c r="I1442" t="s"/>
      <c r="J1442" t="n">
        <v>0.9056999999999999</v>
      </c>
      <c r="K1442" t="n">
        <v>0</v>
      </c>
      <c r="L1442" t="n">
        <v>0.571</v>
      </c>
      <c r="M1442" t="n">
        <v>0.429</v>
      </c>
    </row>
    <row r="1443" spans="1:13">
      <c r="A1443" s="1">
        <f>HYPERLINK("http://www.twitter.com/NathanBLawrence/status/986363325708566528", "986363325708566528")</f>
        <v/>
      </c>
      <c r="B1443" s="2" t="n">
        <v>43207.91570601852</v>
      </c>
      <c r="C1443" t="n">
        <v>0</v>
      </c>
      <c r="D1443" t="n">
        <v>114</v>
      </c>
      <c r="E1443" t="s">
        <v>1453</v>
      </c>
      <c r="F1443">
        <f>HYPERLINK("http://pbs.twimg.com/media/DbAQj6kXkAEPcSm.jpg", "http://pbs.twimg.com/media/DbAQj6kXkAEPcSm.jpg")</f>
        <v/>
      </c>
      <c r="G1443" t="s"/>
      <c r="H1443" t="s"/>
      <c r="I1443" t="s"/>
      <c r="J1443" t="n">
        <v>0</v>
      </c>
      <c r="K1443" t="n">
        <v>0</v>
      </c>
      <c r="L1443" t="n">
        <v>1</v>
      </c>
      <c r="M1443" t="n">
        <v>0</v>
      </c>
    </row>
    <row r="1444" spans="1:13">
      <c r="A1444" s="1">
        <f>HYPERLINK("http://www.twitter.com/NathanBLawrence/status/986362666695438336", "986362666695438336")</f>
        <v/>
      </c>
      <c r="B1444" s="2" t="n">
        <v>43207.91388888889</v>
      </c>
      <c r="C1444" t="n">
        <v>0</v>
      </c>
      <c r="D1444" t="n">
        <v>1132</v>
      </c>
      <c r="E1444" t="s">
        <v>1454</v>
      </c>
      <c r="F1444">
        <f>HYPERLINK("http://pbs.twimg.com/media/DbApL63X4AAsRPO.jpg", "http://pbs.twimg.com/media/DbApL63X4AAsRPO.jpg")</f>
        <v/>
      </c>
      <c r="G1444" t="s"/>
      <c r="H1444" t="s"/>
      <c r="I1444" t="s"/>
      <c r="J1444" t="n">
        <v>0</v>
      </c>
      <c r="K1444" t="n">
        <v>0</v>
      </c>
      <c r="L1444" t="n">
        <v>1</v>
      </c>
      <c r="M1444" t="n">
        <v>0</v>
      </c>
    </row>
    <row r="1445" spans="1:13">
      <c r="A1445" s="1">
        <f>HYPERLINK("http://www.twitter.com/NathanBLawrence/status/986362362495098880", "986362362495098880")</f>
        <v/>
      </c>
      <c r="B1445" s="2" t="n">
        <v>43207.91304398148</v>
      </c>
      <c r="C1445" t="n">
        <v>0</v>
      </c>
      <c r="D1445" t="n">
        <v>436</v>
      </c>
      <c r="E1445" t="s">
        <v>1455</v>
      </c>
      <c r="F1445">
        <f>HYPERLINK("http://pbs.twimg.com/media/Da_JZKiVAAA74Xn.jpg", "http://pbs.twimg.com/media/Da_JZKiVAAA74Xn.jpg")</f>
        <v/>
      </c>
      <c r="G1445" t="s"/>
      <c r="H1445" t="s"/>
      <c r="I1445" t="s"/>
      <c r="J1445" t="n">
        <v>0</v>
      </c>
      <c r="K1445" t="n">
        <v>0</v>
      </c>
      <c r="L1445" t="n">
        <v>1</v>
      </c>
      <c r="M1445" t="n">
        <v>0</v>
      </c>
    </row>
    <row r="1446" spans="1:13">
      <c r="A1446" s="1">
        <f>HYPERLINK("http://www.twitter.com/NathanBLawrence/status/986361523911122945", "986361523911122945")</f>
        <v/>
      </c>
      <c r="B1446" s="2" t="n">
        <v>43207.91072916667</v>
      </c>
      <c r="C1446" t="n">
        <v>0</v>
      </c>
      <c r="D1446" t="n">
        <v>9</v>
      </c>
      <c r="E1446" t="s">
        <v>1456</v>
      </c>
      <c r="F1446">
        <f>HYPERLINK("http://pbs.twimg.com/media/DaXuk00WsAAIS3o.jpg", "http://pbs.twimg.com/media/DaXuk00WsAAIS3o.jpg")</f>
        <v/>
      </c>
      <c r="G1446" t="s"/>
      <c r="H1446" t="s"/>
      <c r="I1446" t="s"/>
      <c r="J1446" t="n">
        <v>-0.4389</v>
      </c>
      <c r="K1446" t="n">
        <v>0.153</v>
      </c>
      <c r="L1446" t="n">
        <v>0.847</v>
      </c>
      <c r="M1446" t="n">
        <v>0</v>
      </c>
    </row>
    <row r="1447" spans="1:13">
      <c r="A1447" s="1">
        <f>HYPERLINK("http://www.twitter.com/NathanBLawrence/status/986359458572849152", "986359458572849152")</f>
        <v/>
      </c>
      <c r="B1447" s="2" t="n">
        <v>43207.90503472222</v>
      </c>
      <c r="C1447" t="n">
        <v>0</v>
      </c>
      <c r="D1447" t="n">
        <v>130</v>
      </c>
      <c r="E1447" t="s">
        <v>1457</v>
      </c>
      <c r="F1447">
        <f>HYPERLINK("http://pbs.twimg.com/media/DbASUqwX4AA-qOS.jpg", "http://pbs.twimg.com/media/DbASUqwX4AA-qOS.jpg")</f>
        <v/>
      </c>
      <c r="G1447" t="s"/>
      <c r="H1447" t="s"/>
      <c r="I1447" t="s"/>
      <c r="J1447" t="n">
        <v>-0.6705</v>
      </c>
      <c r="K1447" t="n">
        <v>0.268</v>
      </c>
      <c r="L1447" t="n">
        <v>0.732</v>
      </c>
      <c r="M1447" t="n">
        <v>0</v>
      </c>
    </row>
    <row r="1448" spans="1:13">
      <c r="A1448" s="1">
        <f>HYPERLINK("http://www.twitter.com/NathanBLawrence/status/986359355699167233", "986359355699167233")</f>
        <v/>
      </c>
      <c r="B1448" s="2" t="n">
        <v>43207.90474537037</v>
      </c>
      <c r="C1448" t="n">
        <v>21</v>
      </c>
      <c r="D1448" t="n">
        <v>2</v>
      </c>
      <c r="E1448" t="s">
        <v>1458</v>
      </c>
      <c r="F1448" t="s"/>
      <c r="G1448" t="s"/>
      <c r="H1448" t="s"/>
      <c r="I1448" t="s"/>
      <c r="J1448" t="n">
        <v>0</v>
      </c>
      <c r="K1448" t="n">
        <v>0</v>
      </c>
      <c r="L1448" t="n">
        <v>1</v>
      </c>
      <c r="M1448" t="n">
        <v>0</v>
      </c>
    </row>
    <row r="1449" spans="1:13">
      <c r="A1449" s="1">
        <f>HYPERLINK("http://www.twitter.com/NathanBLawrence/status/986358991163813888", "986358991163813888")</f>
        <v/>
      </c>
      <c r="B1449" s="2" t="n">
        <v>43207.90373842593</v>
      </c>
      <c r="C1449" t="n">
        <v>0</v>
      </c>
      <c r="D1449" t="n">
        <v>120</v>
      </c>
      <c r="E1449" t="s">
        <v>1459</v>
      </c>
      <c r="F1449" t="s"/>
      <c r="G1449" t="s"/>
      <c r="H1449" t="s"/>
      <c r="I1449" t="s"/>
      <c r="J1449" t="n">
        <v>0</v>
      </c>
      <c r="K1449" t="n">
        <v>0</v>
      </c>
      <c r="L1449" t="n">
        <v>1</v>
      </c>
      <c r="M1449" t="n">
        <v>0</v>
      </c>
    </row>
    <row r="1450" spans="1:13">
      <c r="A1450" s="1">
        <f>HYPERLINK("http://www.twitter.com/NathanBLawrence/status/986340807190896640", "986340807190896640")</f>
        <v/>
      </c>
      <c r="B1450" s="2" t="n">
        <v>43207.85356481482</v>
      </c>
      <c r="C1450" t="n">
        <v>0</v>
      </c>
      <c r="D1450" t="n">
        <v>54</v>
      </c>
      <c r="E1450" t="s">
        <v>1460</v>
      </c>
      <c r="F1450" t="s"/>
      <c r="G1450" t="s"/>
      <c r="H1450" t="s"/>
      <c r="I1450" t="s"/>
      <c r="J1450" t="n">
        <v>0.7516</v>
      </c>
      <c r="K1450" t="n">
        <v>0.106</v>
      </c>
      <c r="L1450" t="n">
        <v>0.589</v>
      </c>
      <c r="M1450" t="n">
        <v>0.305</v>
      </c>
    </row>
    <row r="1451" spans="1:13">
      <c r="A1451" s="1">
        <f>HYPERLINK("http://www.twitter.com/NathanBLawrence/status/986340648994271232", "986340648994271232")</f>
        <v/>
      </c>
      <c r="B1451" s="2" t="n">
        <v>43207.853125</v>
      </c>
      <c r="C1451" t="n">
        <v>0</v>
      </c>
      <c r="D1451" t="n">
        <v>1810</v>
      </c>
      <c r="E1451" t="s">
        <v>1461</v>
      </c>
      <c r="F1451">
        <f>HYPERLINK("http://pbs.twimg.com/media/DbAjNdVUwAEGOaw.jpg", "http://pbs.twimg.com/media/DbAjNdVUwAEGOaw.jpg")</f>
        <v/>
      </c>
      <c r="G1451" t="s"/>
      <c r="H1451" t="s"/>
      <c r="I1451" t="s"/>
      <c r="J1451" t="n">
        <v>0.7783</v>
      </c>
      <c r="K1451" t="n">
        <v>0</v>
      </c>
      <c r="L1451" t="n">
        <v>0.714</v>
      </c>
      <c r="M1451" t="n">
        <v>0.286</v>
      </c>
    </row>
    <row r="1452" spans="1:13">
      <c r="A1452" s="1">
        <f>HYPERLINK("http://www.twitter.com/NathanBLawrence/status/986340494547402753", "986340494547402753")</f>
        <v/>
      </c>
      <c r="B1452" s="2" t="n">
        <v>43207.85269675926</v>
      </c>
      <c r="C1452" t="n">
        <v>0</v>
      </c>
      <c r="D1452" t="n">
        <v>290</v>
      </c>
      <c r="E1452" t="s">
        <v>1462</v>
      </c>
      <c r="F1452">
        <f>HYPERLINK("http://pbs.twimg.com/media/Da_kAJuV4AANIX9.jpg", "http://pbs.twimg.com/media/Da_kAJuV4AANIX9.jpg")</f>
        <v/>
      </c>
      <c r="G1452" t="s"/>
      <c r="H1452" t="s"/>
      <c r="I1452" t="s"/>
      <c r="J1452" t="n">
        <v>0</v>
      </c>
      <c r="K1452" t="n">
        <v>0</v>
      </c>
      <c r="L1452" t="n">
        <v>1</v>
      </c>
      <c r="M1452" t="n">
        <v>0</v>
      </c>
    </row>
    <row r="1453" spans="1:13">
      <c r="A1453" s="1">
        <f>HYPERLINK("http://www.twitter.com/NathanBLawrence/status/986339758921019392", "986339758921019392")</f>
        <v/>
      </c>
      <c r="B1453" s="2" t="n">
        <v>43207.8506712963</v>
      </c>
      <c r="C1453" t="n">
        <v>0</v>
      </c>
      <c r="D1453" t="n">
        <v>1745</v>
      </c>
      <c r="E1453" t="s">
        <v>1463</v>
      </c>
      <c r="F1453">
        <f>HYPERLINK("http://pbs.twimg.com/media/Da_hHgiVwAEN0rY.jpg", "http://pbs.twimg.com/media/Da_hHgiVwAEN0rY.jpg")</f>
        <v/>
      </c>
      <c r="G1453" t="s"/>
      <c r="H1453" t="s"/>
      <c r="I1453" t="s"/>
      <c r="J1453" t="n">
        <v>-0.1363</v>
      </c>
      <c r="K1453" t="n">
        <v>0.116</v>
      </c>
      <c r="L1453" t="n">
        <v>0.789</v>
      </c>
      <c r="M1453" t="n">
        <v>0.095</v>
      </c>
    </row>
    <row r="1454" spans="1:13">
      <c r="A1454" s="1">
        <f>HYPERLINK("http://www.twitter.com/NathanBLawrence/status/986339485011996673", "986339485011996673")</f>
        <v/>
      </c>
      <c r="B1454" s="2" t="n">
        <v>43207.84991898148</v>
      </c>
      <c r="C1454" t="n">
        <v>0</v>
      </c>
      <c r="D1454" t="n">
        <v>755</v>
      </c>
      <c r="E1454" t="s">
        <v>1464</v>
      </c>
      <c r="F1454">
        <f>HYPERLINK("http://pbs.twimg.com/media/DbAbvu8W0AAw3dQ.jpg", "http://pbs.twimg.com/media/DbAbvu8W0AAw3dQ.jpg")</f>
        <v/>
      </c>
      <c r="G1454" t="s"/>
      <c r="H1454" t="s"/>
      <c r="I1454" t="s"/>
      <c r="J1454" t="n">
        <v>0.4199</v>
      </c>
      <c r="K1454" t="n">
        <v>0</v>
      </c>
      <c r="L1454" t="n">
        <v>0.741</v>
      </c>
      <c r="M1454" t="n">
        <v>0.259</v>
      </c>
    </row>
    <row r="1455" spans="1:13">
      <c r="A1455" s="1">
        <f>HYPERLINK("http://www.twitter.com/NathanBLawrence/status/986339362412511233", "986339362412511233")</f>
        <v/>
      </c>
      <c r="B1455" s="2" t="n">
        <v>43207.84957175926</v>
      </c>
      <c r="C1455" t="n">
        <v>0</v>
      </c>
      <c r="D1455" t="n">
        <v>86</v>
      </c>
      <c r="E1455" t="s">
        <v>1465</v>
      </c>
      <c r="F1455">
        <f>HYPERLINK("http://pbs.twimg.com/media/DbAlcIdUQAA9E-q.jpg", "http://pbs.twimg.com/media/DbAlcIdUQAA9E-q.jpg")</f>
        <v/>
      </c>
      <c r="G1455" t="s"/>
      <c r="H1455" t="s"/>
      <c r="I1455" t="s"/>
      <c r="J1455" t="n">
        <v>0</v>
      </c>
      <c r="K1455" t="n">
        <v>0</v>
      </c>
      <c r="L1455" t="n">
        <v>1</v>
      </c>
      <c r="M1455" t="n">
        <v>0</v>
      </c>
    </row>
    <row r="1456" spans="1:13">
      <c r="A1456" s="1">
        <f>HYPERLINK("http://www.twitter.com/NathanBLawrence/status/986339107541364736", "986339107541364736")</f>
        <v/>
      </c>
      <c r="B1456" s="2" t="n">
        <v>43207.84887731481</v>
      </c>
      <c r="C1456" t="n">
        <v>0</v>
      </c>
      <c r="D1456" t="n">
        <v>3777</v>
      </c>
      <c r="E1456" t="s">
        <v>1466</v>
      </c>
      <c r="F1456" t="s"/>
      <c r="G1456" t="s"/>
      <c r="H1456" t="s"/>
      <c r="I1456" t="s"/>
      <c r="J1456" t="n">
        <v>0.4329</v>
      </c>
      <c r="K1456" t="n">
        <v>0</v>
      </c>
      <c r="L1456" t="n">
        <v>0.856</v>
      </c>
      <c r="M1456" t="n">
        <v>0.144</v>
      </c>
    </row>
    <row r="1457" spans="1:13">
      <c r="A1457" s="1">
        <f>HYPERLINK("http://www.twitter.com/NathanBLawrence/status/986339045398605825", "986339045398605825")</f>
        <v/>
      </c>
      <c r="B1457" s="2" t="n">
        <v>43207.8487037037</v>
      </c>
      <c r="C1457" t="n">
        <v>0</v>
      </c>
      <c r="D1457" t="n">
        <v>314</v>
      </c>
      <c r="E1457" t="s">
        <v>1467</v>
      </c>
      <c r="F1457">
        <f>HYPERLINK("http://pbs.twimg.com/media/DbAnjiiUwAEGkRC.jpg", "http://pbs.twimg.com/media/DbAnjiiUwAEGkRC.jpg")</f>
        <v/>
      </c>
      <c r="G1457">
        <f>HYPERLINK("http://pbs.twimg.com/media/DbAnjieVQAAGgEx.jpg", "http://pbs.twimg.com/media/DbAnjieVQAAGgEx.jpg")</f>
        <v/>
      </c>
      <c r="H1457" t="s"/>
      <c r="I1457" t="s"/>
      <c r="J1457" t="n">
        <v>0</v>
      </c>
      <c r="K1457" t="n">
        <v>0</v>
      </c>
      <c r="L1457" t="n">
        <v>1</v>
      </c>
      <c r="M1457" t="n">
        <v>0</v>
      </c>
    </row>
    <row r="1458" spans="1:13">
      <c r="A1458" s="1">
        <f>HYPERLINK("http://www.twitter.com/NathanBLawrence/status/986164132247355392", "986164132247355392")</f>
        <v/>
      </c>
      <c r="B1458" s="2" t="n">
        <v>43207.36603009259</v>
      </c>
      <c r="C1458" t="n">
        <v>0</v>
      </c>
      <c r="D1458" t="n">
        <v>400</v>
      </c>
      <c r="E1458" t="s">
        <v>1468</v>
      </c>
      <c r="F1458">
        <f>HYPERLINK("http://pbs.twimg.com/media/Da4xiI5U8AAKBiv.jpg", "http://pbs.twimg.com/media/Da4xiI5U8AAKBiv.jpg")</f>
        <v/>
      </c>
      <c r="G1458">
        <f>HYPERLINK("http://pbs.twimg.com/media/Da4xid4UQAAgGE_.jpg", "http://pbs.twimg.com/media/Da4xid4UQAAgGE_.jpg")</f>
        <v/>
      </c>
      <c r="H1458" t="s"/>
      <c r="I1458" t="s"/>
      <c r="J1458" t="n">
        <v>0</v>
      </c>
      <c r="K1458" t="n">
        <v>0</v>
      </c>
      <c r="L1458" t="n">
        <v>1</v>
      </c>
      <c r="M1458" t="n">
        <v>0</v>
      </c>
    </row>
    <row r="1459" spans="1:13">
      <c r="A1459" s="1">
        <f>HYPERLINK("http://www.twitter.com/NathanBLawrence/status/986163891984973829", "986163891984973829")</f>
        <v/>
      </c>
      <c r="B1459" s="2" t="n">
        <v>43207.36537037037</v>
      </c>
      <c r="C1459" t="n">
        <v>0</v>
      </c>
      <c r="D1459" t="n">
        <v>44</v>
      </c>
      <c r="E1459" t="s">
        <v>1469</v>
      </c>
      <c r="F1459">
        <f>HYPERLINK("http://pbs.twimg.com/media/Da-Lo0fU8AAr1oQ.jpg", "http://pbs.twimg.com/media/Da-Lo0fU8AAr1oQ.jpg")</f>
        <v/>
      </c>
      <c r="G1459" t="s"/>
      <c r="H1459" t="s"/>
      <c r="I1459" t="s"/>
      <c r="J1459" t="n">
        <v>0</v>
      </c>
      <c r="K1459" t="n">
        <v>0</v>
      </c>
      <c r="L1459" t="n">
        <v>1</v>
      </c>
      <c r="M1459" t="n">
        <v>0</v>
      </c>
    </row>
    <row r="1460" spans="1:13">
      <c r="A1460" s="1">
        <f>HYPERLINK("http://www.twitter.com/NathanBLawrence/status/986147942045134850", "986147942045134850")</f>
        <v/>
      </c>
      <c r="B1460" s="2" t="n">
        <v>43207.32135416667</v>
      </c>
      <c r="C1460" t="n">
        <v>0</v>
      </c>
      <c r="D1460" t="n">
        <v>10</v>
      </c>
      <c r="E1460" t="s">
        <v>1470</v>
      </c>
      <c r="F1460" t="s"/>
      <c r="G1460" t="s"/>
      <c r="H1460" t="s"/>
      <c r="I1460" t="s"/>
      <c r="J1460" t="n">
        <v>-0.8537</v>
      </c>
      <c r="K1460" t="n">
        <v>0.486</v>
      </c>
      <c r="L1460" t="n">
        <v>0.514</v>
      </c>
      <c r="M1460" t="n">
        <v>0</v>
      </c>
    </row>
    <row r="1461" spans="1:13">
      <c r="A1461" s="1">
        <f>HYPERLINK("http://www.twitter.com/NathanBLawrence/status/986147882309844992", "986147882309844992")</f>
        <v/>
      </c>
      <c r="B1461" s="2" t="n">
        <v>43207.32119212963</v>
      </c>
      <c r="C1461" t="n">
        <v>0</v>
      </c>
      <c r="D1461" t="n">
        <v>615</v>
      </c>
      <c r="E1461" t="s">
        <v>1471</v>
      </c>
      <c r="F1461" t="s"/>
      <c r="G1461" t="s"/>
      <c r="H1461" t="s"/>
      <c r="I1461" t="s"/>
      <c r="J1461" t="n">
        <v>-0.1531</v>
      </c>
      <c r="K1461" t="n">
        <v>0.07099999999999999</v>
      </c>
      <c r="L1461" t="n">
        <v>0.929</v>
      </c>
      <c r="M1461" t="n">
        <v>0</v>
      </c>
    </row>
    <row r="1462" spans="1:13">
      <c r="A1462" s="1">
        <f>HYPERLINK("http://www.twitter.com/NathanBLawrence/status/986147664671617024", "986147664671617024")</f>
        <v/>
      </c>
      <c r="B1462" s="2" t="n">
        <v>43207.32059027778</v>
      </c>
      <c r="C1462" t="n">
        <v>0</v>
      </c>
      <c r="D1462" t="n">
        <v>270</v>
      </c>
      <c r="E1462" t="s">
        <v>1472</v>
      </c>
      <c r="F1462">
        <f>HYPERLINK("http://pbs.twimg.com/media/Da8FhorVwAAq3c8.jpg", "http://pbs.twimg.com/media/Da8FhorVwAAq3c8.jpg")</f>
        <v/>
      </c>
      <c r="G1462" t="s"/>
      <c r="H1462" t="s"/>
      <c r="I1462" t="s"/>
      <c r="J1462" t="n">
        <v>-0.296</v>
      </c>
      <c r="K1462" t="n">
        <v>0.141</v>
      </c>
      <c r="L1462" t="n">
        <v>0.763</v>
      </c>
      <c r="M1462" t="n">
        <v>0.095</v>
      </c>
    </row>
    <row r="1463" spans="1:13">
      <c r="A1463" s="1">
        <f>HYPERLINK("http://www.twitter.com/NathanBLawrence/status/986147562682925056", "986147562682925056")</f>
        <v/>
      </c>
      <c r="B1463" s="2" t="n">
        <v>43207.3203125</v>
      </c>
      <c r="C1463" t="n">
        <v>0</v>
      </c>
      <c r="D1463" t="n">
        <v>182</v>
      </c>
      <c r="E1463" t="s">
        <v>1473</v>
      </c>
      <c r="F1463" t="s"/>
      <c r="G1463" t="s"/>
      <c r="H1463" t="s"/>
      <c r="I1463" t="s"/>
      <c r="J1463" t="n">
        <v>-0.0772</v>
      </c>
      <c r="K1463" t="n">
        <v>0.051</v>
      </c>
      <c r="L1463" t="n">
        <v>0.949</v>
      </c>
      <c r="M1463" t="n">
        <v>0</v>
      </c>
    </row>
    <row r="1464" spans="1:13">
      <c r="A1464" s="1">
        <f>HYPERLINK("http://www.twitter.com/NathanBLawrence/status/986147482378764288", "986147482378764288")</f>
        <v/>
      </c>
      <c r="B1464" s="2" t="n">
        <v>43207.32009259259</v>
      </c>
      <c r="C1464" t="n">
        <v>0</v>
      </c>
      <c r="D1464" t="n">
        <v>340</v>
      </c>
      <c r="E1464" t="s">
        <v>1474</v>
      </c>
      <c r="F1464" t="s"/>
      <c r="G1464" t="s"/>
      <c r="H1464" t="s"/>
      <c r="I1464" t="s"/>
      <c r="J1464" t="n">
        <v>0.5859</v>
      </c>
      <c r="K1464" t="n">
        <v>0</v>
      </c>
      <c r="L1464" t="n">
        <v>0.8169999999999999</v>
      </c>
      <c r="M1464" t="n">
        <v>0.183</v>
      </c>
    </row>
    <row r="1465" spans="1:13">
      <c r="A1465" s="1">
        <f>HYPERLINK("http://www.twitter.com/NathanBLawrence/status/986147291311435776", "986147291311435776")</f>
        <v/>
      </c>
      <c r="B1465" s="2" t="n">
        <v>43207.31956018518</v>
      </c>
      <c r="C1465" t="n">
        <v>0</v>
      </c>
      <c r="D1465" t="n">
        <v>1225</v>
      </c>
      <c r="E1465" t="s">
        <v>1475</v>
      </c>
      <c r="F1465" t="s"/>
      <c r="G1465" t="s"/>
      <c r="H1465" t="s"/>
      <c r="I1465" t="s"/>
      <c r="J1465" t="n">
        <v>0.5859</v>
      </c>
      <c r="K1465" t="n">
        <v>0</v>
      </c>
      <c r="L1465" t="n">
        <v>0.858</v>
      </c>
      <c r="M1465" t="n">
        <v>0.142</v>
      </c>
    </row>
    <row r="1466" spans="1:13">
      <c r="A1466" s="1">
        <f>HYPERLINK("http://www.twitter.com/NathanBLawrence/status/986147062797365249", "986147062797365249")</f>
        <v/>
      </c>
      <c r="B1466" s="2" t="n">
        <v>43207.31893518518</v>
      </c>
      <c r="C1466" t="n">
        <v>0</v>
      </c>
      <c r="D1466" t="n">
        <v>159</v>
      </c>
      <c r="E1466" t="s">
        <v>1476</v>
      </c>
      <c r="F1466">
        <f>HYPERLINK("http://pbs.twimg.com/media/Da8yjBUWsAA4KLc.jpg", "http://pbs.twimg.com/media/Da8yjBUWsAA4KLc.jpg")</f>
        <v/>
      </c>
      <c r="G1466" t="s"/>
      <c r="H1466" t="s"/>
      <c r="I1466" t="s"/>
      <c r="J1466" t="n">
        <v>0</v>
      </c>
      <c r="K1466" t="n">
        <v>0</v>
      </c>
      <c r="L1466" t="n">
        <v>1</v>
      </c>
      <c r="M1466" t="n">
        <v>0</v>
      </c>
    </row>
    <row r="1467" spans="1:13">
      <c r="A1467" s="1">
        <f>HYPERLINK("http://www.twitter.com/NathanBLawrence/status/986145328494596096", "986145328494596096")</f>
        <v/>
      </c>
      <c r="B1467" s="2" t="n">
        <v>43207.31414351852</v>
      </c>
      <c r="C1467" t="n">
        <v>0</v>
      </c>
      <c r="D1467" t="n">
        <v>10</v>
      </c>
      <c r="E1467" t="s">
        <v>1477</v>
      </c>
      <c r="F1467" t="s"/>
      <c r="G1467" t="s"/>
      <c r="H1467" t="s"/>
      <c r="I1467" t="s"/>
      <c r="J1467" t="n">
        <v>0</v>
      </c>
      <c r="K1467" t="n">
        <v>0</v>
      </c>
      <c r="L1467" t="n">
        <v>1</v>
      </c>
      <c r="M1467" t="n">
        <v>0</v>
      </c>
    </row>
    <row r="1468" spans="1:13">
      <c r="A1468" s="1">
        <f>HYPERLINK("http://www.twitter.com/NathanBLawrence/status/986008488747843586", "986008488747843586")</f>
        <v/>
      </c>
      <c r="B1468" s="2" t="n">
        <v>43206.93653935185</v>
      </c>
      <c r="C1468" t="n">
        <v>0</v>
      </c>
      <c r="D1468" t="n">
        <v>275</v>
      </c>
      <c r="E1468" t="s">
        <v>1478</v>
      </c>
      <c r="F1468">
        <f>HYPERLINK("http://pbs.twimg.com/media/Dah-_bzV4AA7dy6.jpg", "http://pbs.twimg.com/media/Dah-_bzV4AA7dy6.jpg")</f>
        <v/>
      </c>
      <c r="G1468" t="s"/>
      <c r="H1468" t="s"/>
      <c r="I1468" t="s"/>
      <c r="J1468" t="n">
        <v>-0.4199</v>
      </c>
      <c r="K1468" t="n">
        <v>0.157</v>
      </c>
      <c r="L1468" t="n">
        <v>0.843</v>
      </c>
      <c r="M1468" t="n">
        <v>0</v>
      </c>
    </row>
    <row r="1469" spans="1:13">
      <c r="A1469" s="1">
        <f>HYPERLINK("http://www.twitter.com/NathanBLawrence/status/986007699795066887", "986007699795066887")</f>
        <v/>
      </c>
      <c r="B1469" s="2" t="n">
        <v>43206.93436342593</v>
      </c>
      <c r="C1469" t="n">
        <v>0</v>
      </c>
      <c r="D1469" t="n">
        <v>363</v>
      </c>
      <c r="E1469" t="s">
        <v>1479</v>
      </c>
      <c r="F1469">
        <f>HYPERLINK("http://pbs.twimg.com/media/Da7_2lcVwAkbwrA.jpg", "http://pbs.twimg.com/media/Da7_2lcVwAkbwrA.jpg")</f>
        <v/>
      </c>
      <c r="G1469" t="s"/>
      <c r="H1469" t="s"/>
      <c r="I1469" t="s"/>
      <c r="J1469" t="n">
        <v>0.6369</v>
      </c>
      <c r="K1469" t="n">
        <v>0</v>
      </c>
      <c r="L1469" t="n">
        <v>0.8090000000000001</v>
      </c>
      <c r="M1469" t="n">
        <v>0.191</v>
      </c>
    </row>
    <row r="1470" spans="1:13">
      <c r="A1470" s="1">
        <f>HYPERLINK("http://www.twitter.com/NathanBLawrence/status/986006923823661059", "986006923823661059")</f>
        <v/>
      </c>
      <c r="B1470" s="2" t="n">
        <v>43206.93222222223</v>
      </c>
      <c r="C1470" t="n">
        <v>0</v>
      </c>
      <c r="D1470" t="n">
        <v>283</v>
      </c>
      <c r="E1470" t="s">
        <v>1480</v>
      </c>
      <c r="F1470">
        <f>HYPERLINK("http://pbs.twimg.com/media/Da5-WGFU0AEHJqS.jpg", "http://pbs.twimg.com/media/Da5-WGFU0AEHJqS.jpg")</f>
        <v/>
      </c>
      <c r="G1470" t="s"/>
      <c r="H1470" t="s"/>
      <c r="I1470" t="s"/>
      <c r="J1470" t="n">
        <v>0.34</v>
      </c>
      <c r="K1470" t="n">
        <v>0.151</v>
      </c>
      <c r="L1470" t="n">
        <v>0.573</v>
      </c>
      <c r="M1470" t="n">
        <v>0.276</v>
      </c>
    </row>
    <row r="1471" spans="1:13">
      <c r="A1471" s="1">
        <f>HYPERLINK("http://www.twitter.com/NathanBLawrence/status/986006820668948481", "986006820668948481")</f>
        <v/>
      </c>
      <c r="B1471" s="2" t="n">
        <v>43206.93193287037</v>
      </c>
      <c r="C1471" t="n">
        <v>0</v>
      </c>
      <c r="D1471" t="n">
        <v>177</v>
      </c>
      <c r="E1471" t="s">
        <v>1481</v>
      </c>
      <c r="F1471" t="s"/>
      <c r="G1471" t="s"/>
      <c r="H1471" t="s"/>
      <c r="I1471" t="s"/>
      <c r="J1471" t="n">
        <v>-0.4084</v>
      </c>
      <c r="K1471" t="n">
        <v>0.146</v>
      </c>
      <c r="L1471" t="n">
        <v>0.854</v>
      </c>
      <c r="M1471" t="n">
        <v>0</v>
      </c>
    </row>
    <row r="1472" spans="1:13">
      <c r="A1472" s="1">
        <f>HYPERLINK("http://www.twitter.com/NathanBLawrence/status/986006720706101248", "986006720706101248")</f>
        <v/>
      </c>
      <c r="B1472" s="2" t="n">
        <v>43206.93165509259</v>
      </c>
      <c r="C1472" t="n">
        <v>0</v>
      </c>
      <c r="D1472" t="n">
        <v>480</v>
      </c>
      <c r="E1472" t="s">
        <v>1482</v>
      </c>
      <c r="F1472">
        <f>HYPERLINK("http://pbs.twimg.com/media/Da6A812VAAAJlKC.jpg", "http://pbs.twimg.com/media/Da6A812VAAAJlKC.jpg")</f>
        <v/>
      </c>
      <c r="G1472" t="s"/>
      <c r="H1472" t="s"/>
      <c r="I1472" t="s"/>
      <c r="J1472" t="n">
        <v>0.5106000000000001</v>
      </c>
      <c r="K1472" t="n">
        <v>0</v>
      </c>
      <c r="L1472" t="n">
        <v>0.858</v>
      </c>
      <c r="M1472" t="n">
        <v>0.142</v>
      </c>
    </row>
    <row r="1473" spans="1:13">
      <c r="A1473" s="1">
        <f>HYPERLINK("http://www.twitter.com/NathanBLawrence/status/986006659779604480", "986006659779604480")</f>
        <v/>
      </c>
      <c r="B1473" s="2" t="n">
        <v>43206.93149305556</v>
      </c>
      <c r="C1473" t="n">
        <v>0</v>
      </c>
      <c r="D1473" t="n">
        <v>44</v>
      </c>
      <c r="E1473" t="s">
        <v>1483</v>
      </c>
      <c r="F1473">
        <f>HYPERLINK("http://pbs.twimg.com/media/Da76j95X4AE59QP.jpg", "http://pbs.twimg.com/media/Da76j95X4AE59QP.jpg")</f>
        <v/>
      </c>
      <c r="G1473" t="s"/>
      <c r="H1473" t="s"/>
      <c r="I1473" t="s"/>
      <c r="J1473" t="n">
        <v>0</v>
      </c>
      <c r="K1473" t="n">
        <v>0</v>
      </c>
      <c r="L1473" t="n">
        <v>1</v>
      </c>
      <c r="M1473" t="n">
        <v>0</v>
      </c>
    </row>
    <row r="1474" spans="1:13">
      <c r="A1474" s="1">
        <f>HYPERLINK("http://www.twitter.com/NathanBLawrence/status/986006091384348672", "986006091384348672")</f>
        <v/>
      </c>
      <c r="B1474" s="2" t="n">
        <v>43206.92991898148</v>
      </c>
      <c r="C1474" t="n">
        <v>0</v>
      </c>
      <c r="D1474" t="n">
        <v>3</v>
      </c>
      <c r="E1474" t="s">
        <v>1484</v>
      </c>
      <c r="F1474">
        <f>HYPERLINK("http://pbs.twimg.com/media/DawzEMOUQAEuVjA.jpg", "http://pbs.twimg.com/media/DawzEMOUQAEuVjA.jpg")</f>
        <v/>
      </c>
      <c r="G1474" t="s"/>
      <c r="H1474" t="s"/>
      <c r="I1474" t="s"/>
      <c r="J1474" t="n">
        <v>0</v>
      </c>
      <c r="K1474" t="n">
        <v>0</v>
      </c>
      <c r="L1474" t="n">
        <v>1</v>
      </c>
      <c r="M1474" t="n">
        <v>0</v>
      </c>
    </row>
    <row r="1475" spans="1:13">
      <c r="A1475" s="1">
        <f>HYPERLINK("http://www.twitter.com/NathanBLawrence/status/986005982957387776", "986005982957387776")</f>
        <v/>
      </c>
      <c r="B1475" s="2" t="n">
        <v>43206.92962962963</v>
      </c>
      <c r="C1475" t="n">
        <v>0</v>
      </c>
      <c r="D1475" t="n">
        <v>12</v>
      </c>
      <c r="E1475" t="s">
        <v>1485</v>
      </c>
      <c r="F1475">
        <f>HYPERLINK("http://pbs.twimg.com/media/DawHy_3U8AA5HFM.jpg", "http://pbs.twimg.com/media/DawHy_3U8AA5HFM.jpg")</f>
        <v/>
      </c>
      <c r="G1475" t="s"/>
      <c r="H1475" t="s"/>
      <c r="I1475" t="s"/>
      <c r="J1475" t="n">
        <v>0</v>
      </c>
      <c r="K1475" t="n">
        <v>0</v>
      </c>
      <c r="L1475" t="n">
        <v>1</v>
      </c>
      <c r="M1475" t="n">
        <v>0</v>
      </c>
    </row>
    <row r="1476" spans="1:13">
      <c r="A1476" s="1">
        <f>HYPERLINK("http://www.twitter.com/NathanBLawrence/status/986005887583076352", "986005887583076352")</f>
        <v/>
      </c>
      <c r="B1476" s="2" t="n">
        <v>43206.92936342592</v>
      </c>
      <c r="C1476" t="n">
        <v>0</v>
      </c>
      <c r="D1476" t="n">
        <v>4399</v>
      </c>
      <c r="E1476" t="s">
        <v>1486</v>
      </c>
      <c r="F1476">
        <f>HYPERLINK("http://pbs.twimg.com/media/Day0Nd5U0AA_dMC.jpg", "http://pbs.twimg.com/media/Day0Nd5U0AA_dMC.jpg")</f>
        <v/>
      </c>
      <c r="G1476" t="s"/>
      <c r="H1476" t="s"/>
      <c r="I1476" t="s"/>
      <c r="J1476" t="n">
        <v>0</v>
      </c>
      <c r="K1476" t="n">
        <v>0</v>
      </c>
      <c r="L1476" t="n">
        <v>1</v>
      </c>
      <c r="M1476" t="n">
        <v>0</v>
      </c>
    </row>
    <row r="1477" spans="1:13">
      <c r="A1477" s="1">
        <f>HYPERLINK("http://www.twitter.com/NathanBLawrence/status/986005777461596160", "986005777461596160")</f>
        <v/>
      </c>
      <c r="B1477" s="2" t="n">
        <v>43206.9290625</v>
      </c>
      <c r="C1477" t="n">
        <v>0</v>
      </c>
      <c r="D1477" t="n">
        <v>5</v>
      </c>
      <c r="E1477" t="s">
        <v>1487</v>
      </c>
      <c r="F1477">
        <f>HYPERLINK("http://pbs.twimg.com/media/Da7-KPOV4AAiD81.jpg", "http://pbs.twimg.com/media/Da7-KPOV4AAiD81.jpg")</f>
        <v/>
      </c>
      <c r="G1477">
        <f>HYPERLINK("http://pbs.twimg.com/media/Da7-KRIVwAEXU-t.jpg", "http://pbs.twimg.com/media/Da7-KRIVwAEXU-t.jpg")</f>
        <v/>
      </c>
      <c r="H1477" t="s"/>
      <c r="I1477" t="s"/>
      <c r="J1477" t="n">
        <v>0</v>
      </c>
      <c r="K1477" t="n">
        <v>0</v>
      </c>
      <c r="L1477" t="n">
        <v>1</v>
      </c>
      <c r="M1477" t="n">
        <v>0</v>
      </c>
    </row>
    <row r="1478" spans="1:13">
      <c r="A1478" s="1">
        <f>HYPERLINK("http://www.twitter.com/NathanBLawrence/status/986005731282378752", "986005731282378752")</f>
        <v/>
      </c>
      <c r="B1478" s="2" t="n">
        <v>43206.92893518518</v>
      </c>
      <c r="C1478" t="n">
        <v>0</v>
      </c>
      <c r="D1478" t="n">
        <v>374</v>
      </c>
      <c r="E1478" t="s">
        <v>1488</v>
      </c>
      <c r="F1478" t="s"/>
      <c r="G1478" t="s"/>
      <c r="H1478" t="s"/>
      <c r="I1478" t="s"/>
      <c r="J1478" t="n">
        <v>0.8469</v>
      </c>
      <c r="K1478" t="n">
        <v>0</v>
      </c>
      <c r="L1478" t="n">
        <v>0.621</v>
      </c>
      <c r="M1478" t="n">
        <v>0.379</v>
      </c>
    </row>
    <row r="1479" spans="1:13">
      <c r="A1479" s="1">
        <f>HYPERLINK("http://www.twitter.com/NathanBLawrence/status/986005446552043520", "986005446552043520")</f>
        <v/>
      </c>
      <c r="B1479" s="2" t="n">
        <v>43206.92814814814</v>
      </c>
      <c r="C1479" t="n">
        <v>0</v>
      </c>
      <c r="D1479" t="n">
        <v>246</v>
      </c>
      <c r="E1479" t="s">
        <v>1489</v>
      </c>
      <c r="F1479">
        <f>HYPERLINK("http://pbs.twimg.com/media/Da7-ZgPVwAweyhU.jpg", "http://pbs.twimg.com/media/Da7-ZgPVwAweyhU.jpg")</f>
        <v/>
      </c>
      <c r="G1479" t="s"/>
      <c r="H1479" t="s"/>
      <c r="I1479" t="s"/>
      <c r="J1479" t="n">
        <v>0.7701</v>
      </c>
      <c r="K1479" t="n">
        <v>0</v>
      </c>
      <c r="L1479" t="n">
        <v>0.676</v>
      </c>
      <c r="M1479" t="n">
        <v>0.324</v>
      </c>
    </row>
    <row r="1480" spans="1:13">
      <c r="A1480" s="1">
        <f>HYPERLINK("http://www.twitter.com/NathanBLawrence/status/986005053768056833", "986005053768056833")</f>
        <v/>
      </c>
      <c r="B1480" s="2" t="n">
        <v>43206.92706018518</v>
      </c>
      <c r="C1480" t="n">
        <v>0</v>
      </c>
      <c r="D1480" t="n">
        <v>368</v>
      </c>
      <c r="E1480" t="s">
        <v>1490</v>
      </c>
      <c r="F1480">
        <f>HYPERLINK("http://pbs.twimg.com/media/Da7zhwyVQAEBFaT.jpg", "http://pbs.twimg.com/media/Da7zhwyVQAEBFaT.jpg")</f>
        <v/>
      </c>
      <c r="G1480" t="s"/>
      <c r="H1480" t="s"/>
      <c r="I1480" t="s"/>
      <c r="J1480" t="n">
        <v>0</v>
      </c>
      <c r="K1480" t="n">
        <v>0</v>
      </c>
      <c r="L1480" t="n">
        <v>1</v>
      </c>
      <c r="M1480" t="n">
        <v>0</v>
      </c>
    </row>
    <row r="1481" spans="1:13">
      <c r="A1481" s="1">
        <f>HYPERLINK("http://www.twitter.com/NathanBLawrence/status/986005006322089984", "986005006322089984")</f>
        <v/>
      </c>
      <c r="B1481" s="2" t="n">
        <v>43206.92693287037</v>
      </c>
      <c r="C1481" t="n">
        <v>0</v>
      </c>
      <c r="D1481" t="n">
        <v>836</v>
      </c>
      <c r="E1481" t="s">
        <v>1491</v>
      </c>
      <c r="F1481">
        <f>HYPERLINK("http://pbs.twimg.com/media/Da7N9lJUQAUB64o.jpg", "http://pbs.twimg.com/media/Da7N9lJUQAUB64o.jpg")</f>
        <v/>
      </c>
      <c r="G1481" t="s"/>
      <c r="H1481" t="s"/>
      <c r="I1481" t="s"/>
      <c r="J1481" t="n">
        <v>-0.2645</v>
      </c>
      <c r="K1481" t="n">
        <v>0.15</v>
      </c>
      <c r="L1481" t="n">
        <v>0.773</v>
      </c>
      <c r="M1481" t="n">
        <v>0.077</v>
      </c>
    </row>
    <row r="1482" spans="1:13">
      <c r="A1482" s="1">
        <f>HYPERLINK("http://www.twitter.com/NathanBLawrence/status/985996859209531392", "985996859209531392")</f>
        <v/>
      </c>
      <c r="B1482" s="2" t="n">
        <v>43206.90444444444</v>
      </c>
      <c r="C1482" t="n">
        <v>0</v>
      </c>
      <c r="D1482" t="n">
        <v>8</v>
      </c>
      <c r="E1482" t="s">
        <v>1492</v>
      </c>
      <c r="F1482">
        <f>HYPERLINK("http://pbs.twimg.com/media/Da7sh0sU8AAopaN.jpg", "http://pbs.twimg.com/media/Da7sh0sU8AAopaN.jpg")</f>
        <v/>
      </c>
      <c r="G1482" t="s"/>
      <c r="H1482" t="s"/>
      <c r="I1482" t="s"/>
      <c r="J1482" t="n">
        <v>0</v>
      </c>
      <c r="K1482" t="n">
        <v>0</v>
      </c>
      <c r="L1482" t="n">
        <v>1</v>
      </c>
      <c r="M1482" t="n">
        <v>0</v>
      </c>
    </row>
    <row r="1483" spans="1:13">
      <c r="A1483" s="1">
        <f>HYPERLINK("http://www.twitter.com/NathanBLawrence/status/985996367012151296", "985996367012151296")</f>
        <v/>
      </c>
      <c r="B1483" s="2" t="n">
        <v>43206.90309027778</v>
      </c>
      <c r="C1483" t="n">
        <v>0</v>
      </c>
      <c r="D1483" t="n">
        <v>100</v>
      </c>
      <c r="E1483" t="s">
        <v>1493</v>
      </c>
      <c r="F1483">
        <f>HYPERLINK("http://pbs.twimg.com/media/Da5_oqGXkAAgkFN.jpg", "http://pbs.twimg.com/media/Da5_oqGXkAAgkFN.jpg")</f>
        <v/>
      </c>
      <c r="G1483" t="s"/>
      <c r="H1483" t="s"/>
      <c r="I1483" t="s"/>
      <c r="J1483" t="n">
        <v>0.3429</v>
      </c>
      <c r="K1483" t="n">
        <v>0</v>
      </c>
      <c r="L1483" t="n">
        <v>0.833</v>
      </c>
      <c r="M1483" t="n">
        <v>0.167</v>
      </c>
    </row>
    <row r="1484" spans="1:13">
      <c r="A1484" s="1">
        <f>HYPERLINK("http://www.twitter.com/NathanBLawrence/status/985996084668383233", "985996084668383233")</f>
        <v/>
      </c>
      <c r="B1484" s="2" t="n">
        <v>43206.90231481481</v>
      </c>
      <c r="C1484" t="n">
        <v>0</v>
      </c>
      <c r="D1484" t="n">
        <v>84</v>
      </c>
      <c r="E1484" t="s">
        <v>1494</v>
      </c>
      <c r="F1484">
        <f>HYPERLINK("http://pbs.twimg.com/media/DazwK54VAAA1huh.jpg", "http://pbs.twimg.com/media/DazwK54VAAA1huh.jpg")</f>
        <v/>
      </c>
      <c r="G1484" t="s"/>
      <c r="H1484" t="s"/>
      <c r="I1484" t="s"/>
      <c r="J1484" t="n">
        <v>0</v>
      </c>
      <c r="K1484" t="n">
        <v>0.127</v>
      </c>
      <c r="L1484" t="n">
        <v>0.746</v>
      </c>
      <c r="M1484" t="n">
        <v>0.127</v>
      </c>
    </row>
    <row r="1485" spans="1:13">
      <c r="A1485" s="1">
        <f>HYPERLINK("http://www.twitter.com/NathanBLawrence/status/985995900735569921", "985995900735569921")</f>
        <v/>
      </c>
      <c r="B1485" s="2" t="n">
        <v>43206.90180555556</v>
      </c>
      <c r="C1485" t="n">
        <v>0</v>
      </c>
      <c r="D1485" t="n">
        <v>658</v>
      </c>
      <c r="E1485" t="s">
        <v>1495</v>
      </c>
      <c r="F1485">
        <f>HYPERLINK("http://pbs.twimg.com/media/Da34CPXW4AA7y1R.jpg", "http://pbs.twimg.com/media/Da34CPXW4AA7y1R.jpg")</f>
        <v/>
      </c>
      <c r="G1485" t="s"/>
      <c r="H1485" t="s"/>
      <c r="I1485" t="s"/>
      <c r="J1485" t="n">
        <v>0.5248</v>
      </c>
      <c r="K1485" t="n">
        <v>0</v>
      </c>
      <c r="L1485" t="n">
        <v>0.827</v>
      </c>
      <c r="M1485" t="n">
        <v>0.173</v>
      </c>
    </row>
    <row r="1486" spans="1:13">
      <c r="A1486" s="1">
        <f>HYPERLINK("http://www.twitter.com/NathanBLawrence/status/985995818900504581", "985995818900504581")</f>
        <v/>
      </c>
      <c r="B1486" s="2" t="n">
        <v>43206.90157407407</v>
      </c>
      <c r="C1486" t="n">
        <v>0</v>
      </c>
      <c r="D1486" t="n">
        <v>149</v>
      </c>
      <c r="E1486" t="s">
        <v>1496</v>
      </c>
      <c r="F1486">
        <f>HYPERLINK("http://pbs.twimg.com/media/Da7JHdnVwAA-OIy.jpg", "http://pbs.twimg.com/media/Da7JHdnVwAA-OIy.jpg")</f>
        <v/>
      </c>
      <c r="G1486" t="s"/>
      <c r="H1486" t="s"/>
      <c r="I1486" t="s"/>
      <c r="J1486" t="n">
        <v>0</v>
      </c>
      <c r="K1486" t="n">
        <v>0</v>
      </c>
      <c r="L1486" t="n">
        <v>1</v>
      </c>
      <c r="M1486" t="n">
        <v>0</v>
      </c>
    </row>
    <row r="1487" spans="1:13">
      <c r="A1487" s="1">
        <f>HYPERLINK("http://www.twitter.com/NathanBLawrence/status/985987679102750720", "985987679102750720")</f>
        <v/>
      </c>
      <c r="B1487" s="2" t="n">
        <v>43206.87912037037</v>
      </c>
      <c r="C1487" t="n">
        <v>0</v>
      </c>
      <c r="D1487" t="n">
        <v>198</v>
      </c>
      <c r="E1487" t="s">
        <v>1497</v>
      </c>
      <c r="F1487">
        <f>HYPERLINK("http://pbs.twimg.com/media/Da7YRZXW0AEFHYz.jpg", "http://pbs.twimg.com/media/Da7YRZXW0AEFHYz.jpg")</f>
        <v/>
      </c>
      <c r="G1487" t="s"/>
      <c r="H1487" t="s"/>
      <c r="I1487" t="s"/>
      <c r="J1487" t="n">
        <v>0</v>
      </c>
      <c r="K1487" t="n">
        <v>0</v>
      </c>
      <c r="L1487" t="n">
        <v>1</v>
      </c>
      <c r="M1487" t="n">
        <v>0</v>
      </c>
    </row>
    <row r="1488" spans="1:13">
      <c r="A1488" s="1">
        <f>HYPERLINK("http://www.twitter.com/NathanBLawrence/status/985986934915743745", "985986934915743745")</f>
        <v/>
      </c>
      <c r="B1488" s="2" t="n">
        <v>43206.87706018519</v>
      </c>
      <c r="C1488" t="n">
        <v>0</v>
      </c>
      <c r="D1488" t="n">
        <v>43</v>
      </c>
      <c r="E1488" t="s">
        <v>1498</v>
      </c>
      <c r="F1488">
        <f>HYPERLINK("http://pbs.twimg.com/media/Da7pc_oU8AA9aLh.jpg", "http://pbs.twimg.com/media/Da7pc_oU8AA9aLh.jpg")</f>
        <v/>
      </c>
      <c r="G1488" t="s"/>
      <c r="H1488" t="s"/>
      <c r="I1488" t="s"/>
      <c r="J1488" t="n">
        <v>0</v>
      </c>
      <c r="K1488" t="n">
        <v>0</v>
      </c>
      <c r="L1488" t="n">
        <v>1</v>
      </c>
      <c r="M1488" t="n">
        <v>0</v>
      </c>
    </row>
    <row r="1489" spans="1:13">
      <c r="A1489" s="1">
        <f>HYPERLINK("http://www.twitter.com/NathanBLawrence/status/985985491978760193", "985985491978760193")</f>
        <v/>
      </c>
      <c r="B1489" s="2" t="n">
        <v>43206.87307870371</v>
      </c>
      <c r="C1489" t="n">
        <v>0</v>
      </c>
      <c r="D1489" t="n">
        <v>1082</v>
      </c>
      <c r="E1489" t="s">
        <v>1499</v>
      </c>
      <c r="F1489">
        <f>HYPERLINK("http://pbs.twimg.com/media/Da7jIFzU8AM4SVY.jpg", "http://pbs.twimg.com/media/Da7jIFzU8AM4SVY.jpg")</f>
        <v/>
      </c>
      <c r="G1489" t="s"/>
      <c r="H1489" t="s"/>
      <c r="I1489" t="s"/>
      <c r="J1489" t="n">
        <v>0</v>
      </c>
      <c r="K1489" t="n">
        <v>0</v>
      </c>
      <c r="L1489" t="n">
        <v>1</v>
      </c>
      <c r="M1489" t="n">
        <v>0</v>
      </c>
    </row>
    <row r="1490" spans="1:13">
      <c r="A1490" s="1">
        <f>HYPERLINK("http://www.twitter.com/NathanBLawrence/status/985985431912136704", "985985431912136704")</f>
        <v/>
      </c>
      <c r="B1490" s="2" t="n">
        <v>43206.87291666667</v>
      </c>
      <c r="C1490" t="n">
        <v>0</v>
      </c>
      <c r="D1490" t="n">
        <v>748</v>
      </c>
      <c r="E1490" t="s">
        <v>1500</v>
      </c>
      <c r="F1490">
        <f>HYPERLINK("http://pbs.twimg.com/media/Da6HcVTX0AEoknq.jpg", "http://pbs.twimg.com/media/Da6HcVTX0AEoknq.jpg")</f>
        <v/>
      </c>
      <c r="G1490" t="s"/>
      <c r="H1490" t="s"/>
      <c r="I1490" t="s"/>
      <c r="J1490" t="n">
        <v>0</v>
      </c>
      <c r="K1490" t="n">
        <v>0</v>
      </c>
      <c r="L1490" t="n">
        <v>1</v>
      </c>
      <c r="M1490" t="n">
        <v>0</v>
      </c>
    </row>
    <row r="1491" spans="1:13">
      <c r="A1491" s="1">
        <f>HYPERLINK("http://www.twitter.com/NathanBLawrence/status/985985384587735040", "985985384587735040")</f>
        <v/>
      </c>
      <c r="B1491" s="2" t="n">
        <v>43206.87278935185</v>
      </c>
      <c r="C1491" t="n">
        <v>0</v>
      </c>
      <c r="D1491" t="n">
        <v>381</v>
      </c>
      <c r="E1491" t="s">
        <v>1501</v>
      </c>
      <c r="F1491">
        <f>HYPERLINK("http://pbs.twimg.com/media/Da5xIIxWAAEDaiR.jpg", "http://pbs.twimg.com/media/Da5xIIxWAAEDaiR.jpg")</f>
        <v/>
      </c>
      <c r="G1491" t="s"/>
      <c r="H1491" t="s"/>
      <c r="I1491" t="s"/>
      <c r="J1491" t="n">
        <v>0.9169</v>
      </c>
      <c r="K1491" t="n">
        <v>0</v>
      </c>
      <c r="L1491" t="n">
        <v>0.55</v>
      </c>
      <c r="M1491" t="n">
        <v>0.45</v>
      </c>
    </row>
    <row r="1492" spans="1:13">
      <c r="A1492" s="1">
        <f>HYPERLINK("http://www.twitter.com/NathanBLawrence/status/985982856684978176", "985982856684978176")</f>
        <v/>
      </c>
      <c r="B1492" s="2" t="n">
        <v>43206.86581018518</v>
      </c>
      <c r="C1492" t="n">
        <v>0</v>
      </c>
      <c r="D1492" t="n">
        <v>164</v>
      </c>
      <c r="E1492" t="s">
        <v>1502</v>
      </c>
      <c r="F1492">
        <f>HYPERLINK("http://pbs.twimg.com/media/Da7c5N_XcAAJIgq.jpg", "http://pbs.twimg.com/media/Da7c5N_XcAAJIgq.jpg")</f>
        <v/>
      </c>
      <c r="G1492" t="s"/>
      <c r="H1492" t="s"/>
      <c r="I1492" t="s"/>
      <c r="J1492" t="n">
        <v>0</v>
      </c>
      <c r="K1492" t="n">
        <v>0</v>
      </c>
      <c r="L1492" t="n">
        <v>1</v>
      </c>
      <c r="M1492" t="n">
        <v>0</v>
      </c>
    </row>
    <row r="1493" spans="1:13">
      <c r="A1493" s="1">
        <f>HYPERLINK("http://www.twitter.com/NathanBLawrence/status/985982781908860929", "985982781908860929")</f>
        <v/>
      </c>
      <c r="B1493" s="2" t="n">
        <v>43206.86560185185</v>
      </c>
      <c r="C1493" t="n">
        <v>0</v>
      </c>
      <c r="D1493" t="n">
        <v>1076</v>
      </c>
      <c r="E1493" t="s">
        <v>1503</v>
      </c>
      <c r="F1493">
        <f>HYPERLINK("http://pbs.twimg.com/media/Da3bIdbVAAA_4nm.jpg", "http://pbs.twimg.com/media/Da3bIdbVAAA_4nm.jpg")</f>
        <v/>
      </c>
      <c r="G1493" t="s"/>
      <c r="H1493" t="s"/>
      <c r="I1493" t="s"/>
      <c r="J1493" t="n">
        <v>0.5423</v>
      </c>
      <c r="K1493" t="n">
        <v>0</v>
      </c>
      <c r="L1493" t="n">
        <v>0.632</v>
      </c>
      <c r="M1493" t="n">
        <v>0.368</v>
      </c>
    </row>
    <row r="1494" spans="1:13">
      <c r="A1494" s="1">
        <f>HYPERLINK("http://www.twitter.com/NathanBLawrence/status/985982739479277568", "985982739479277568")</f>
        <v/>
      </c>
      <c r="B1494" s="2" t="n">
        <v>43206.86548611111</v>
      </c>
      <c r="C1494" t="n">
        <v>0</v>
      </c>
      <c r="D1494" t="n">
        <v>18</v>
      </c>
      <c r="E1494" t="s">
        <v>1504</v>
      </c>
      <c r="F1494" t="s"/>
      <c r="G1494" t="s"/>
      <c r="H1494" t="s"/>
      <c r="I1494" t="s"/>
      <c r="J1494" t="n">
        <v>0</v>
      </c>
      <c r="K1494" t="n">
        <v>0</v>
      </c>
      <c r="L1494" t="n">
        <v>1</v>
      </c>
      <c r="M1494" t="n">
        <v>0</v>
      </c>
    </row>
    <row r="1495" spans="1:13">
      <c r="A1495" s="1">
        <f>HYPERLINK("http://www.twitter.com/NathanBLawrence/status/985982235714056192", "985982235714056192")</f>
        <v/>
      </c>
      <c r="B1495" s="2" t="n">
        <v>43206.86409722222</v>
      </c>
      <c r="C1495" t="n">
        <v>0</v>
      </c>
      <c r="D1495" t="n">
        <v>19</v>
      </c>
      <c r="E1495" t="s">
        <v>1505</v>
      </c>
      <c r="F1495" t="s"/>
      <c r="G1495" t="s"/>
      <c r="H1495" t="s"/>
      <c r="I1495" t="s"/>
      <c r="J1495" t="n">
        <v>-0.3802</v>
      </c>
      <c r="K1495" t="n">
        <v>0.191</v>
      </c>
      <c r="L1495" t="n">
        <v>0.8090000000000001</v>
      </c>
      <c r="M1495" t="n">
        <v>0</v>
      </c>
    </row>
    <row r="1496" spans="1:13">
      <c r="A1496" s="1">
        <f>HYPERLINK("http://www.twitter.com/NathanBLawrence/status/985981975163891712", "985981975163891712")</f>
        <v/>
      </c>
      <c r="B1496" s="2" t="n">
        <v>43206.86337962963</v>
      </c>
      <c r="C1496" t="n">
        <v>0</v>
      </c>
      <c r="D1496" t="n">
        <v>5</v>
      </c>
      <c r="E1496" t="s">
        <v>1506</v>
      </c>
      <c r="F1496" t="s"/>
      <c r="G1496" t="s"/>
      <c r="H1496" t="s"/>
      <c r="I1496" t="s"/>
      <c r="J1496" t="n">
        <v>0</v>
      </c>
      <c r="K1496" t="n">
        <v>0</v>
      </c>
      <c r="L1496" t="n">
        <v>1</v>
      </c>
      <c r="M1496" t="n">
        <v>0</v>
      </c>
    </row>
    <row r="1497" spans="1:13">
      <c r="A1497" s="1">
        <f>HYPERLINK("http://www.twitter.com/NathanBLawrence/status/985981950614622208", "985981950614622208")</f>
        <v/>
      </c>
      <c r="B1497" s="2" t="n">
        <v>43206.86331018519</v>
      </c>
      <c r="C1497" t="n">
        <v>0</v>
      </c>
      <c r="D1497" t="n">
        <v>3888</v>
      </c>
      <c r="E1497" t="s">
        <v>1507</v>
      </c>
      <c r="F1497" t="s"/>
      <c r="G1497" t="s"/>
      <c r="H1497" t="s"/>
      <c r="I1497" t="s"/>
      <c r="J1497" t="n">
        <v>0.4404</v>
      </c>
      <c r="K1497" t="n">
        <v>0.102</v>
      </c>
      <c r="L1497" t="n">
        <v>0.68</v>
      </c>
      <c r="M1497" t="n">
        <v>0.218</v>
      </c>
    </row>
    <row r="1498" spans="1:13">
      <c r="A1498" s="1">
        <f>HYPERLINK("http://www.twitter.com/NathanBLawrence/status/985981657537638400", "985981657537638400")</f>
        <v/>
      </c>
      <c r="B1498" s="2" t="n">
        <v>43206.8625</v>
      </c>
      <c r="C1498" t="n">
        <v>0</v>
      </c>
      <c r="D1498" t="n">
        <v>2600</v>
      </c>
      <c r="E1498" t="s">
        <v>1508</v>
      </c>
      <c r="F1498">
        <f>HYPERLINK("http://pbs.twimg.com/media/Da7mo6PW4AEXYkW.jpg", "http://pbs.twimg.com/media/Da7mo6PW4AEXYkW.jpg")</f>
        <v/>
      </c>
      <c r="G1498" t="s"/>
      <c r="H1498" t="s"/>
      <c r="I1498" t="s"/>
      <c r="J1498" t="n">
        <v>-0.6113</v>
      </c>
      <c r="K1498" t="n">
        <v>0.16</v>
      </c>
      <c r="L1498" t="n">
        <v>0.84</v>
      </c>
      <c r="M1498" t="n">
        <v>0</v>
      </c>
    </row>
    <row r="1499" spans="1:13">
      <c r="A1499" s="1">
        <f>HYPERLINK("http://www.twitter.com/NathanBLawrence/status/985980803879350272", "985980803879350272")</f>
        <v/>
      </c>
      <c r="B1499" s="2" t="n">
        <v>43206.86013888889</v>
      </c>
      <c r="C1499" t="n">
        <v>0</v>
      </c>
      <c r="D1499" t="n">
        <v>210</v>
      </c>
      <c r="E1499" t="s">
        <v>1509</v>
      </c>
      <c r="F1499">
        <f>HYPERLINK("http://pbs.twimg.com/media/Da7Lh5uX0AAwf3K.jpg", "http://pbs.twimg.com/media/Da7Lh5uX0AAwf3K.jpg")</f>
        <v/>
      </c>
      <c r="G1499" t="s"/>
      <c r="H1499" t="s"/>
      <c r="I1499" t="s"/>
      <c r="J1499" t="n">
        <v>0</v>
      </c>
      <c r="K1499" t="n">
        <v>0</v>
      </c>
      <c r="L1499" t="n">
        <v>1</v>
      </c>
      <c r="M1499" t="n">
        <v>0</v>
      </c>
    </row>
    <row r="1500" spans="1:13">
      <c r="A1500" s="1">
        <f>HYPERLINK("http://www.twitter.com/NathanBLawrence/status/985980728851623938", "985980728851623938")</f>
        <v/>
      </c>
      <c r="B1500" s="2" t="n">
        <v>43206.85994212963</v>
      </c>
      <c r="C1500" t="n">
        <v>0</v>
      </c>
      <c r="D1500" t="n">
        <v>709</v>
      </c>
      <c r="E1500" t="s">
        <v>1510</v>
      </c>
      <c r="F1500">
        <f>HYPERLINK("http://pbs.twimg.com/media/Da7ZWavWsAIEVoQ.jpg", "http://pbs.twimg.com/media/Da7ZWavWsAIEVoQ.jpg")</f>
        <v/>
      </c>
      <c r="G1500" t="s"/>
      <c r="H1500" t="s"/>
      <c r="I1500" t="s"/>
      <c r="J1500" t="n">
        <v>0</v>
      </c>
      <c r="K1500" t="n">
        <v>0</v>
      </c>
      <c r="L1500" t="n">
        <v>1</v>
      </c>
      <c r="M1500" t="n">
        <v>0</v>
      </c>
    </row>
    <row r="1501" spans="1:13">
      <c r="A1501" s="1">
        <f>HYPERLINK("http://www.twitter.com/NathanBLawrence/status/985980404048916482", "985980404048916482")</f>
        <v/>
      </c>
      <c r="B1501" s="2" t="n">
        <v>43206.85903935185</v>
      </c>
      <c r="C1501" t="n">
        <v>0</v>
      </c>
      <c r="D1501" t="n">
        <v>179</v>
      </c>
      <c r="E1501" t="s">
        <v>1511</v>
      </c>
      <c r="F1501" t="s"/>
      <c r="G1501" t="s"/>
      <c r="H1501" t="s"/>
      <c r="I1501" t="s"/>
      <c r="J1501" t="n">
        <v>0</v>
      </c>
      <c r="K1501" t="n">
        <v>0</v>
      </c>
      <c r="L1501" t="n">
        <v>1</v>
      </c>
      <c r="M1501" t="n">
        <v>0</v>
      </c>
    </row>
    <row r="1502" spans="1:13">
      <c r="A1502" s="1">
        <f>HYPERLINK("http://www.twitter.com/NathanBLawrence/status/985980299161956352", "985980299161956352")</f>
        <v/>
      </c>
      <c r="B1502" s="2" t="n">
        <v>43206.85875</v>
      </c>
      <c r="C1502" t="n">
        <v>19</v>
      </c>
      <c r="D1502" t="n">
        <v>12</v>
      </c>
      <c r="E1502" t="s">
        <v>1512</v>
      </c>
      <c r="F1502" t="s"/>
      <c r="G1502" t="s"/>
      <c r="H1502" t="s"/>
      <c r="I1502" t="s"/>
      <c r="J1502" t="n">
        <v>0</v>
      </c>
      <c r="K1502" t="n">
        <v>0</v>
      </c>
      <c r="L1502" t="n">
        <v>1</v>
      </c>
      <c r="M1502" t="n">
        <v>0</v>
      </c>
    </row>
    <row r="1503" spans="1:13">
      <c r="A1503" s="1">
        <f>HYPERLINK("http://www.twitter.com/NathanBLawrence/status/985977857095516161", "985977857095516161")</f>
        <v/>
      </c>
      <c r="B1503" s="2" t="n">
        <v>43206.85201388889</v>
      </c>
      <c r="C1503" t="n">
        <v>0</v>
      </c>
      <c r="D1503" t="n">
        <v>442</v>
      </c>
      <c r="E1503" t="s">
        <v>1513</v>
      </c>
      <c r="F1503" t="s"/>
      <c r="G1503" t="s"/>
      <c r="H1503" t="s"/>
      <c r="I1503" t="s"/>
      <c r="J1503" t="n">
        <v>0.6597</v>
      </c>
      <c r="K1503" t="n">
        <v>0</v>
      </c>
      <c r="L1503" t="n">
        <v>0.787</v>
      </c>
      <c r="M1503" t="n">
        <v>0.213</v>
      </c>
    </row>
    <row r="1504" spans="1:13">
      <c r="A1504" s="1">
        <f>HYPERLINK("http://www.twitter.com/NathanBLawrence/status/985943644208115712", "985943644208115712")</f>
        <v/>
      </c>
      <c r="B1504" s="2" t="n">
        <v>43206.75760416667</v>
      </c>
      <c r="C1504" t="n">
        <v>0</v>
      </c>
      <c r="D1504" t="n">
        <v>97</v>
      </c>
      <c r="E1504" t="s">
        <v>1514</v>
      </c>
      <c r="F1504">
        <f>HYPERLINK("http://pbs.twimg.com/media/Da3lM0HV4AAIGAa.jpg", "http://pbs.twimg.com/media/Da3lM0HV4AAIGAa.jpg")</f>
        <v/>
      </c>
      <c r="G1504" t="s"/>
      <c r="H1504" t="s"/>
      <c r="I1504" t="s"/>
      <c r="J1504" t="n">
        <v>0</v>
      </c>
      <c r="K1504" t="n">
        <v>0</v>
      </c>
      <c r="L1504" t="n">
        <v>1</v>
      </c>
      <c r="M1504" t="n">
        <v>0</v>
      </c>
    </row>
    <row r="1505" spans="1:13">
      <c r="A1505" s="1">
        <f>HYPERLINK("http://www.twitter.com/NathanBLawrence/status/985943517963862017", "985943517963862017")</f>
        <v/>
      </c>
      <c r="B1505" s="2" t="n">
        <v>43206.75725694445</v>
      </c>
      <c r="C1505" t="n">
        <v>0</v>
      </c>
      <c r="D1505" t="n">
        <v>5</v>
      </c>
      <c r="E1505" t="s">
        <v>1515</v>
      </c>
      <c r="F1505">
        <f>HYPERLINK("http://pbs.twimg.com/media/Da6lD8vVQAEGfot.jpg", "http://pbs.twimg.com/media/Da6lD8vVQAEGfot.jpg")</f>
        <v/>
      </c>
      <c r="G1505" t="s"/>
      <c r="H1505" t="s"/>
      <c r="I1505" t="s"/>
      <c r="J1505" t="n">
        <v>0</v>
      </c>
      <c r="K1505" t="n">
        <v>0</v>
      </c>
      <c r="L1505" t="n">
        <v>1</v>
      </c>
      <c r="M1505" t="n">
        <v>0</v>
      </c>
    </row>
    <row r="1506" spans="1:13">
      <c r="A1506" s="1">
        <f>HYPERLINK("http://www.twitter.com/NathanBLawrence/status/985943181089894401", "985943181089894401")</f>
        <v/>
      </c>
      <c r="B1506" s="2" t="n">
        <v>43206.75631944444</v>
      </c>
      <c r="C1506" t="n">
        <v>0</v>
      </c>
      <c r="D1506" t="n">
        <v>667</v>
      </c>
      <c r="E1506" t="s">
        <v>1516</v>
      </c>
      <c r="F1506">
        <f>HYPERLINK("http://pbs.twimg.com/media/Da6d-HtWsAE0g0P.jpg", "http://pbs.twimg.com/media/Da6d-HtWsAE0g0P.jpg")</f>
        <v/>
      </c>
      <c r="G1506" t="s"/>
      <c r="H1506" t="s"/>
      <c r="I1506" t="s"/>
      <c r="J1506" t="n">
        <v>0.6113</v>
      </c>
      <c r="K1506" t="n">
        <v>0</v>
      </c>
      <c r="L1506" t="n">
        <v>0.862</v>
      </c>
      <c r="M1506" t="n">
        <v>0.138</v>
      </c>
    </row>
    <row r="1507" spans="1:13">
      <c r="A1507" s="1">
        <f>HYPERLINK("http://www.twitter.com/NathanBLawrence/status/985797844492693504", "985797844492693504")</f>
        <v/>
      </c>
      <c r="B1507" s="2" t="n">
        <v>43206.35527777778</v>
      </c>
      <c r="C1507" t="n">
        <v>0</v>
      </c>
      <c r="D1507" t="n">
        <v>13075</v>
      </c>
      <c r="E1507" t="s">
        <v>1517</v>
      </c>
      <c r="F1507" t="s"/>
      <c r="G1507" t="s"/>
      <c r="H1507" t="s"/>
      <c r="I1507" t="s"/>
      <c r="J1507" t="n">
        <v>0.6841</v>
      </c>
      <c r="K1507" t="n">
        <v>0</v>
      </c>
      <c r="L1507" t="n">
        <v>0.762</v>
      </c>
      <c r="M1507" t="n">
        <v>0.238</v>
      </c>
    </row>
    <row r="1508" spans="1:13">
      <c r="A1508" s="1">
        <f>HYPERLINK("http://www.twitter.com/NathanBLawrence/status/985797614833623040", "985797614833623040")</f>
        <v/>
      </c>
      <c r="B1508" s="2" t="n">
        <v>43206.3546412037</v>
      </c>
      <c r="C1508" t="n">
        <v>0</v>
      </c>
      <c r="D1508" t="n">
        <v>188</v>
      </c>
      <c r="E1508" t="s">
        <v>1518</v>
      </c>
      <c r="F1508">
        <f>HYPERLINK("http://pbs.twimg.com/media/Da2c5E6WsAAiheJ.jpg", "http://pbs.twimg.com/media/Da2c5E6WsAAiheJ.jpg")</f>
        <v/>
      </c>
      <c r="G1508" t="s"/>
      <c r="H1508" t="s"/>
      <c r="I1508" t="s"/>
      <c r="J1508" t="n">
        <v>-0.8208</v>
      </c>
      <c r="K1508" t="n">
        <v>0.397</v>
      </c>
      <c r="L1508" t="n">
        <v>0.416</v>
      </c>
      <c r="M1508" t="n">
        <v>0.187</v>
      </c>
    </row>
    <row r="1509" spans="1:13">
      <c r="A1509" s="1">
        <f>HYPERLINK("http://www.twitter.com/NathanBLawrence/status/985797508734402560", "985797508734402560")</f>
        <v/>
      </c>
      <c r="B1509" s="2" t="n">
        <v>43206.35434027778</v>
      </c>
      <c r="C1509" t="n">
        <v>0</v>
      </c>
      <c r="D1509" t="n">
        <v>21</v>
      </c>
      <c r="E1509" t="s">
        <v>1519</v>
      </c>
      <c r="F1509">
        <f>HYPERLINK("http://pbs.twimg.com/media/Da4ciDEVAAAzvYt.jpg", "http://pbs.twimg.com/media/Da4ciDEVAAAzvYt.jpg")</f>
        <v/>
      </c>
      <c r="G1509" t="s"/>
      <c r="H1509" t="s"/>
      <c r="I1509" t="s"/>
      <c r="J1509" t="n">
        <v>0</v>
      </c>
      <c r="K1509" t="n">
        <v>0</v>
      </c>
      <c r="L1509" t="n">
        <v>1</v>
      </c>
      <c r="M1509" t="n">
        <v>0</v>
      </c>
    </row>
    <row r="1510" spans="1:13">
      <c r="A1510" s="1">
        <f>HYPERLINK("http://www.twitter.com/NathanBLawrence/status/985797436412125190", "985797436412125190")</f>
        <v/>
      </c>
      <c r="B1510" s="2" t="n">
        <v>43206.35414351852</v>
      </c>
      <c r="C1510" t="n">
        <v>0</v>
      </c>
      <c r="D1510" t="n">
        <v>49</v>
      </c>
      <c r="E1510" t="s">
        <v>1520</v>
      </c>
      <c r="F1510">
        <f>HYPERLINK("http://pbs.twimg.com/media/Da40DFEXkAA0msU.jpg", "http://pbs.twimg.com/media/Da40DFEXkAA0msU.jpg")</f>
        <v/>
      </c>
      <c r="G1510" t="s"/>
      <c r="H1510" t="s"/>
      <c r="I1510" t="s"/>
      <c r="J1510" t="n">
        <v>0</v>
      </c>
      <c r="K1510" t="n">
        <v>0</v>
      </c>
      <c r="L1510" t="n">
        <v>1</v>
      </c>
      <c r="M1510" t="n">
        <v>0</v>
      </c>
    </row>
    <row r="1511" spans="1:13">
      <c r="A1511" s="1">
        <f>HYPERLINK("http://www.twitter.com/NathanBLawrence/status/985797072933732352", "985797072933732352")</f>
        <v/>
      </c>
      <c r="B1511" s="2" t="n">
        <v>43206.35314814815</v>
      </c>
      <c r="C1511" t="n">
        <v>0</v>
      </c>
      <c r="D1511" t="n">
        <v>83</v>
      </c>
      <c r="E1511" t="s">
        <v>1521</v>
      </c>
      <c r="F1511">
        <f>HYPERLINK("http://pbs.twimg.com/media/Da4mi4FW0AAPPEU.jpg", "http://pbs.twimg.com/media/Da4mi4FW0AAPPEU.jpg")</f>
        <v/>
      </c>
      <c r="G1511" t="s"/>
      <c r="H1511" t="s"/>
      <c r="I1511" t="s"/>
      <c r="J1511" t="n">
        <v>0.7568</v>
      </c>
      <c r="K1511" t="n">
        <v>0</v>
      </c>
      <c r="L1511" t="n">
        <v>0.667</v>
      </c>
      <c r="M1511" t="n">
        <v>0.333</v>
      </c>
    </row>
    <row r="1512" spans="1:13">
      <c r="A1512" s="1">
        <f>HYPERLINK("http://www.twitter.com/NathanBLawrence/status/985766070194601984", "985766070194601984")</f>
        <v/>
      </c>
      <c r="B1512" s="2" t="n">
        <v>43206.26759259259</v>
      </c>
      <c r="C1512" t="n">
        <v>0</v>
      </c>
      <c r="D1512" t="n">
        <v>155</v>
      </c>
      <c r="E1512" t="s">
        <v>1522</v>
      </c>
      <c r="F1512">
        <f>HYPERLINK("http://pbs.twimg.com/media/Da3dPqeX0AE_VyQ.jpg", "http://pbs.twimg.com/media/Da3dPqeX0AE_VyQ.jpg")</f>
        <v/>
      </c>
      <c r="G1512" t="s"/>
      <c r="H1512" t="s"/>
      <c r="I1512" t="s"/>
      <c r="J1512" t="n">
        <v>0.4926</v>
      </c>
      <c r="K1512" t="n">
        <v>0</v>
      </c>
      <c r="L1512" t="n">
        <v>0.758</v>
      </c>
      <c r="M1512" t="n">
        <v>0.242</v>
      </c>
    </row>
    <row r="1513" spans="1:13">
      <c r="A1513" s="1">
        <f>HYPERLINK("http://www.twitter.com/NathanBLawrence/status/985702718441484288", "985702718441484288")</f>
        <v/>
      </c>
      <c r="B1513" s="2" t="n">
        <v>43206.09277777778</v>
      </c>
      <c r="C1513" t="n">
        <v>17</v>
      </c>
      <c r="D1513" t="n">
        <v>1</v>
      </c>
      <c r="E1513" t="s">
        <v>1523</v>
      </c>
      <c r="F1513">
        <f>HYPERLINK("http://pbs.twimg.com/media/Da3rZeBWAAAZvBd.jpg", "http://pbs.twimg.com/media/Da3rZeBWAAAZvBd.jpg")</f>
        <v/>
      </c>
      <c r="G1513" t="s"/>
      <c r="H1513" t="s"/>
      <c r="I1513" t="s"/>
      <c r="J1513" t="n">
        <v>0</v>
      </c>
      <c r="K1513" t="n">
        <v>0</v>
      </c>
      <c r="L1513" t="n">
        <v>1</v>
      </c>
      <c r="M1513" t="n">
        <v>0</v>
      </c>
    </row>
    <row r="1514" spans="1:13">
      <c r="A1514" s="1">
        <f>HYPERLINK("http://www.twitter.com/NathanBLawrence/status/985584884897869824", "985584884897869824")</f>
        <v/>
      </c>
      <c r="B1514" s="2" t="n">
        <v>43205.76761574074</v>
      </c>
      <c r="C1514" t="n">
        <v>0</v>
      </c>
      <c r="D1514" t="n">
        <v>214</v>
      </c>
      <c r="E1514" t="s">
        <v>1524</v>
      </c>
      <c r="F1514">
        <f>HYPERLINK("http://pbs.twimg.com/media/Da0vNkIXkAAzJRw.jpg", "http://pbs.twimg.com/media/Da0vNkIXkAAzJRw.jpg")</f>
        <v/>
      </c>
      <c r="G1514" t="s"/>
      <c r="H1514" t="s"/>
      <c r="I1514" t="s"/>
      <c r="J1514" t="n">
        <v>-0.4588</v>
      </c>
      <c r="K1514" t="n">
        <v>0.13</v>
      </c>
      <c r="L1514" t="n">
        <v>0.87</v>
      </c>
      <c r="M1514" t="n">
        <v>0</v>
      </c>
    </row>
    <row r="1515" spans="1:13">
      <c r="A1515" s="1">
        <f>HYPERLINK("http://www.twitter.com/NathanBLawrence/status/985571362310840321", "985571362310840321")</f>
        <v/>
      </c>
      <c r="B1515" s="2" t="n">
        <v>43205.73030092593</v>
      </c>
      <c r="C1515" t="n">
        <v>15</v>
      </c>
      <c r="D1515" t="n">
        <v>7</v>
      </c>
      <c r="E1515" t="s">
        <v>1525</v>
      </c>
      <c r="F1515" t="s"/>
      <c r="G1515" t="s"/>
      <c r="H1515" t="s"/>
      <c r="I1515" t="s"/>
      <c r="J1515" t="n">
        <v>0</v>
      </c>
      <c r="K1515" t="n">
        <v>0</v>
      </c>
      <c r="L1515" t="n">
        <v>1</v>
      </c>
      <c r="M1515" t="n">
        <v>0</v>
      </c>
    </row>
    <row r="1516" spans="1:13">
      <c r="A1516" s="1">
        <f>HYPERLINK("http://www.twitter.com/NathanBLawrence/status/985570675271262209", "985570675271262209")</f>
        <v/>
      </c>
      <c r="B1516" s="2" t="n">
        <v>43205.72840277778</v>
      </c>
      <c r="C1516" t="n">
        <v>0</v>
      </c>
      <c r="D1516" t="n">
        <v>919</v>
      </c>
      <c r="E1516" t="s">
        <v>1526</v>
      </c>
      <c r="F1516">
        <f>HYPERLINK("http://pbs.twimg.com/media/Da1XCuDU0AAbY4z.jpg", "http://pbs.twimg.com/media/Da1XCuDU0AAbY4z.jpg")</f>
        <v/>
      </c>
      <c r="G1516" t="s"/>
      <c r="H1516" t="s"/>
      <c r="I1516" t="s"/>
      <c r="J1516" t="n">
        <v>0</v>
      </c>
      <c r="K1516" t="n">
        <v>0</v>
      </c>
      <c r="L1516" t="n">
        <v>1</v>
      </c>
      <c r="M1516" t="n">
        <v>0</v>
      </c>
    </row>
    <row r="1517" spans="1:13">
      <c r="A1517" s="1">
        <f>HYPERLINK("http://www.twitter.com/NathanBLawrence/status/985570547089031168", "985570547089031168")</f>
        <v/>
      </c>
      <c r="B1517" s="2" t="n">
        <v>43205.72805555556</v>
      </c>
      <c r="C1517" t="n">
        <v>0</v>
      </c>
      <c r="D1517" t="n">
        <v>3727</v>
      </c>
      <c r="E1517" t="s">
        <v>1527</v>
      </c>
      <c r="F1517" t="s"/>
      <c r="G1517" t="s"/>
      <c r="H1517" t="s"/>
      <c r="I1517" t="s"/>
      <c r="J1517" t="n">
        <v>-0.8172</v>
      </c>
      <c r="K1517" t="n">
        <v>0.254</v>
      </c>
      <c r="L1517" t="n">
        <v>0.746</v>
      </c>
      <c r="M1517" t="n">
        <v>0</v>
      </c>
    </row>
    <row r="1518" spans="1:13">
      <c r="A1518" s="1">
        <f>HYPERLINK("http://www.twitter.com/NathanBLawrence/status/985570172084760576", "985570172084760576")</f>
        <v/>
      </c>
      <c r="B1518" s="2" t="n">
        <v>43205.72701388889</v>
      </c>
      <c r="C1518" t="n">
        <v>0</v>
      </c>
      <c r="D1518" t="n">
        <v>814</v>
      </c>
      <c r="E1518" t="s">
        <v>1528</v>
      </c>
      <c r="F1518" t="s"/>
      <c r="G1518" t="s"/>
      <c r="H1518" t="s"/>
      <c r="I1518" t="s"/>
      <c r="J1518" t="n">
        <v>-0.0772</v>
      </c>
      <c r="K1518" t="n">
        <v>0.124</v>
      </c>
      <c r="L1518" t="n">
        <v>0.763</v>
      </c>
      <c r="M1518" t="n">
        <v>0.112</v>
      </c>
    </row>
    <row r="1519" spans="1:13">
      <c r="A1519" s="1">
        <f>HYPERLINK("http://www.twitter.com/NathanBLawrence/status/985570020406120448", "985570020406120448")</f>
        <v/>
      </c>
      <c r="B1519" s="2" t="n">
        <v>43205.72659722222</v>
      </c>
      <c r="C1519" t="n">
        <v>0</v>
      </c>
      <c r="D1519" t="n">
        <v>376</v>
      </c>
      <c r="E1519" t="s">
        <v>1529</v>
      </c>
      <c r="F1519" t="s"/>
      <c r="G1519" t="s"/>
      <c r="H1519" t="s"/>
      <c r="I1519" t="s"/>
      <c r="J1519" t="n">
        <v>0.25</v>
      </c>
      <c r="K1519" t="n">
        <v>0.075</v>
      </c>
      <c r="L1519" t="n">
        <v>0.8</v>
      </c>
      <c r="M1519" t="n">
        <v>0.125</v>
      </c>
    </row>
    <row r="1520" spans="1:13">
      <c r="A1520" s="1">
        <f>HYPERLINK("http://www.twitter.com/NathanBLawrence/status/985569903976497152", "985569903976497152")</f>
        <v/>
      </c>
      <c r="B1520" s="2" t="n">
        <v>43205.72627314815</v>
      </c>
      <c r="C1520" t="n">
        <v>0</v>
      </c>
      <c r="D1520" t="n">
        <v>763</v>
      </c>
      <c r="E1520" t="s">
        <v>1530</v>
      </c>
      <c r="F1520" t="s"/>
      <c r="G1520" t="s"/>
      <c r="H1520" t="s"/>
      <c r="I1520" t="s"/>
      <c r="J1520" t="n">
        <v>-0.8658</v>
      </c>
      <c r="K1520" t="n">
        <v>0.367</v>
      </c>
      <c r="L1520" t="n">
        <v>0.543</v>
      </c>
      <c r="M1520" t="n">
        <v>0.089</v>
      </c>
    </row>
    <row r="1521" spans="1:13">
      <c r="A1521" s="1">
        <f>HYPERLINK("http://www.twitter.com/NathanBLawrence/status/985569596483690496", "985569596483690496")</f>
        <v/>
      </c>
      <c r="B1521" s="2" t="n">
        <v>43205.72542824074</v>
      </c>
      <c r="C1521" t="n">
        <v>0</v>
      </c>
      <c r="D1521" t="n">
        <v>1300</v>
      </c>
      <c r="E1521" t="s">
        <v>1531</v>
      </c>
      <c r="F1521" t="s"/>
      <c r="G1521" t="s"/>
      <c r="H1521" t="s"/>
      <c r="I1521" t="s"/>
      <c r="J1521" t="n">
        <v>-0.296</v>
      </c>
      <c r="K1521" t="n">
        <v>0.127</v>
      </c>
      <c r="L1521" t="n">
        <v>0.788</v>
      </c>
      <c r="M1521" t="n">
        <v>0.08599999999999999</v>
      </c>
    </row>
    <row r="1522" spans="1:13">
      <c r="A1522" s="1">
        <f>HYPERLINK("http://www.twitter.com/NathanBLawrence/status/985569441374134272", "985569441374134272")</f>
        <v/>
      </c>
      <c r="B1522" s="2" t="n">
        <v>43205.725</v>
      </c>
      <c r="C1522" t="n">
        <v>0</v>
      </c>
      <c r="D1522" t="n">
        <v>11496</v>
      </c>
      <c r="E1522" t="s">
        <v>1532</v>
      </c>
      <c r="F1522" t="s"/>
      <c r="G1522" t="s"/>
      <c r="H1522" t="s"/>
      <c r="I1522" t="s"/>
      <c r="J1522" t="n">
        <v>0.8588</v>
      </c>
      <c r="K1522" t="n">
        <v>0</v>
      </c>
      <c r="L1522" t="n">
        <v>0.6889999999999999</v>
      </c>
      <c r="M1522" t="n">
        <v>0.311</v>
      </c>
    </row>
    <row r="1523" spans="1:13">
      <c r="A1523" s="1">
        <f>HYPERLINK("http://www.twitter.com/NathanBLawrence/status/985569336587763712", "985569336587763712")</f>
        <v/>
      </c>
      <c r="B1523" s="2" t="n">
        <v>43205.72471064814</v>
      </c>
      <c r="C1523" t="n">
        <v>0</v>
      </c>
      <c r="D1523" t="n">
        <v>5981</v>
      </c>
      <c r="E1523" t="s">
        <v>1533</v>
      </c>
      <c r="F1523" t="s"/>
      <c r="G1523" t="s"/>
      <c r="H1523" t="s"/>
      <c r="I1523" t="s"/>
      <c r="J1523" t="n">
        <v>0.9258</v>
      </c>
      <c r="K1523" t="n">
        <v>0</v>
      </c>
      <c r="L1523" t="n">
        <v>0.471</v>
      </c>
      <c r="M1523" t="n">
        <v>0.529</v>
      </c>
    </row>
    <row r="1524" spans="1:13">
      <c r="A1524" s="1">
        <f>HYPERLINK("http://www.twitter.com/NathanBLawrence/status/985568561526538240", "985568561526538240")</f>
        <v/>
      </c>
      <c r="B1524" s="2" t="n">
        <v>43205.72256944444</v>
      </c>
      <c r="C1524" t="n">
        <v>0</v>
      </c>
      <c r="D1524" t="n">
        <v>521</v>
      </c>
      <c r="E1524" t="s">
        <v>1534</v>
      </c>
      <c r="F1524">
        <f>HYPERLINK("http://pbs.twimg.com/media/Da05rlMUQAAIWkU.jpg", "http://pbs.twimg.com/media/Da05rlMUQAAIWkU.jpg")</f>
        <v/>
      </c>
      <c r="G1524" t="s"/>
      <c r="H1524" t="s"/>
      <c r="I1524" t="s"/>
      <c r="J1524" t="n">
        <v>0</v>
      </c>
      <c r="K1524" t="n">
        <v>0</v>
      </c>
      <c r="L1524" t="n">
        <v>1</v>
      </c>
      <c r="M1524" t="n">
        <v>0</v>
      </c>
    </row>
    <row r="1525" spans="1:13">
      <c r="A1525" s="1">
        <f>HYPERLINK("http://www.twitter.com/NathanBLawrence/status/985568461110702080", "985568461110702080")</f>
        <v/>
      </c>
      <c r="B1525" s="2" t="n">
        <v>43205.72229166667</v>
      </c>
      <c r="C1525" t="n">
        <v>0</v>
      </c>
      <c r="D1525" t="n">
        <v>3293</v>
      </c>
      <c r="E1525" t="s">
        <v>1535</v>
      </c>
      <c r="F1525" t="s"/>
      <c r="G1525" t="s"/>
      <c r="H1525" t="s"/>
      <c r="I1525" t="s"/>
      <c r="J1525" t="n">
        <v>0.3612</v>
      </c>
      <c r="K1525" t="n">
        <v>0</v>
      </c>
      <c r="L1525" t="n">
        <v>0.884</v>
      </c>
      <c r="M1525" t="n">
        <v>0.116</v>
      </c>
    </row>
    <row r="1526" spans="1:13">
      <c r="A1526" s="1">
        <f>HYPERLINK("http://www.twitter.com/NathanBLawrence/status/985568350557290497", "985568350557290497")</f>
        <v/>
      </c>
      <c r="B1526" s="2" t="n">
        <v>43205.72199074074</v>
      </c>
      <c r="C1526" t="n">
        <v>0</v>
      </c>
      <c r="D1526" t="n">
        <v>4918</v>
      </c>
      <c r="E1526" t="s">
        <v>1536</v>
      </c>
      <c r="F1526" t="s"/>
      <c r="G1526" t="s"/>
      <c r="H1526" t="s"/>
      <c r="I1526" t="s"/>
      <c r="J1526" t="n">
        <v>-0.126</v>
      </c>
      <c r="K1526" t="n">
        <v>0.078</v>
      </c>
      <c r="L1526" t="n">
        <v>0.864</v>
      </c>
      <c r="M1526" t="n">
        <v>0.058</v>
      </c>
    </row>
    <row r="1527" spans="1:13">
      <c r="A1527" s="1">
        <f>HYPERLINK("http://www.twitter.com/NathanBLawrence/status/985568012244680704", "985568012244680704")</f>
        <v/>
      </c>
      <c r="B1527" s="2" t="n">
        <v>43205.72105324074</v>
      </c>
      <c r="C1527" t="n">
        <v>0</v>
      </c>
      <c r="D1527" t="n">
        <v>259</v>
      </c>
      <c r="E1527" t="s">
        <v>1537</v>
      </c>
      <c r="F1527">
        <f>HYPERLINK("http://pbs.twimg.com/media/Da1Q8SeXcAIU3q0.jpg", "http://pbs.twimg.com/media/Da1Q8SeXcAIU3q0.jpg")</f>
        <v/>
      </c>
      <c r="G1527" t="s"/>
      <c r="H1527" t="s"/>
      <c r="I1527" t="s"/>
      <c r="J1527" t="n">
        <v>0.8268</v>
      </c>
      <c r="K1527" t="n">
        <v>0</v>
      </c>
      <c r="L1527" t="n">
        <v>0.661</v>
      </c>
      <c r="M1527" t="n">
        <v>0.339</v>
      </c>
    </row>
    <row r="1528" spans="1:13">
      <c r="A1528" s="1">
        <f>HYPERLINK("http://www.twitter.com/NathanBLawrence/status/985567962865152001", "985567962865152001")</f>
        <v/>
      </c>
      <c r="B1528" s="2" t="n">
        <v>43205.72091435185</v>
      </c>
      <c r="C1528" t="n">
        <v>0</v>
      </c>
      <c r="D1528" t="n">
        <v>408</v>
      </c>
      <c r="E1528" t="s">
        <v>1538</v>
      </c>
      <c r="F1528" t="s"/>
      <c r="G1528" t="s"/>
      <c r="H1528" t="s"/>
      <c r="I1528" t="s"/>
      <c r="J1528" t="n">
        <v>0.7088</v>
      </c>
      <c r="K1528" t="n">
        <v>0</v>
      </c>
      <c r="L1528" t="n">
        <v>0.743</v>
      </c>
      <c r="M1528" t="n">
        <v>0.257</v>
      </c>
    </row>
    <row r="1529" spans="1:13">
      <c r="A1529" s="1">
        <f>HYPERLINK("http://www.twitter.com/NathanBLawrence/status/985567803414474752", "985567803414474752")</f>
        <v/>
      </c>
      <c r="B1529" s="2" t="n">
        <v>43205.72047453704</v>
      </c>
      <c r="C1529" t="n">
        <v>0</v>
      </c>
      <c r="D1529" t="n">
        <v>1220</v>
      </c>
      <c r="E1529" t="s">
        <v>1539</v>
      </c>
      <c r="F1529" t="s"/>
      <c r="G1529" t="s"/>
      <c r="H1529" t="s"/>
      <c r="I1529" t="s"/>
      <c r="J1529" t="n">
        <v>-0.6249</v>
      </c>
      <c r="K1529" t="n">
        <v>0.251</v>
      </c>
      <c r="L1529" t="n">
        <v>0.658</v>
      </c>
      <c r="M1529" t="n">
        <v>0.091</v>
      </c>
    </row>
    <row r="1530" spans="1:13">
      <c r="A1530" s="1">
        <f>HYPERLINK("http://www.twitter.com/NathanBLawrence/status/985567618860920832", "985567618860920832")</f>
        <v/>
      </c>
      <c r="B1530" s="2" t="n">
        <v>43205.71996527778</v>
      </c>
      <c r="C1530" t="n">
        <v>0</v>
      </c>
      <c r="D1530" t="n">
        <v>29365</v>
      </c>
      <c r="E1530" t="s">
        <v>1540</v>
      </c>
      <c r="F1530" t="s"/>
      <c r="G1530" t="s"/>
      <c r="H1530" t="s"/>
      <c r="I1530" t="s"/>
      <c r="J1530" t="n">
        <v>0</v>
      </c>
      <c r="K1530" t="n">
        <v>0</v>
      </c>
      <c r="L1530" t="n">
        <v>1</v>
      </c>
      <c r="M1530" t="n">
        <v>0</v>
      </c>
    </row>
    <row r="1531" spans="1:13">
      <c r="A1531" s="1">
        <f>HYPERLINK("http://www.twitter.com/NathanBLawrence/status/985567420088643584", "985567420088643584")</f>
        <v/>
      </c>
      <c r="B1531" s="2" t="n">
        <v>43205.71942129629</v>
      </c>
      <c r="C1531" t="n">
        <v>0</v>
      </c>
      <c r="D1531" t="n">
        <v>235</v>
      </c>
      <c r="E1531" t="s">
        <v>1541</v>
      </c>
      <c r="F1531" t="s"/>
      <c r="G1531" t="s"/>
      <c r="H1531" t="s"/>
      <c r="I1531" t="s"/>
      <c r="J1531" t="n">
        <v>0.4215</v>
      </c>
      <c r="K1531" t="n">
        <v>0</v>
      </c>
      <c r="L1531" t="n">
        <v>0.863</v>
      </c>
      <c r="M1531" t="n">
        <v>0.137</v>
      </c>
    </row>
    <row r="1532" spans="1:13">
      <c r="A1532" s="1">
        <f>HYPERLINK("http://www.twitter.com/NathanBLawrence/status/985567334726184960", "985567334726184960")</f>
        <v/>
      </c>
      <c r="B1532" s="2" t="n">
        <v>43205.71918981482</v>
      </c>
      <c r="C1532" t="n">
        <v>0</v>
      </c>
      <c r="D1532" t="n">
        <v>1289</v>
      </c>
      <c r="E1532" t="s">
        <v>1542</v>
      </c>
      <c r="F1532">
        <f>HYPERLINK("http://pbs.twimg.com/media/Da1c3LuVAAAJaW-.jpg", "http://pbs.twimg.com/media/Da1c3LuVAAAJaW-.jpg")</f>
        <v/>
      </c>
      <c r="G1532" t="s"/>
      <c r="H1532" t="s"/>
      <c r="I1532" t="s"/>
      <c r="J1532" t="n">
        <v>-0.6705</v>
      </c>
      <c r="K1532" t="n">
        <v>0.216</v>
      </c>
      <c r="L1532" t="n">
        <v>0.784</v>
      </c>
      <c r="M1532" t="n">
        <v>0</v>
      </c>
    </row>
    <row r="1533" spans="1:13">
      <c r="A1533" s="1">
        <f>HYPERLINK("http://www.twitter.com/NathanBLawrence/status/985567221064744960", "985567221064744960")</f>
        <v/>
      </c>
      <c r="B1533" s="2" t="n">
        <v>43205.71887731482</v>
      </c>
      <c r="C1533" t="n">
        <v>0</v>
      </c>
      <c r="D1533" t="n">
        <v>23679</v>
      </c>
      <c r="E1533" t="s">
        <v>1543</v>
      </c>
      <c r="F1533" t="s"/>
      <c r="G1533" t="s"/>
      <c r="H1533" t="s"/>
      <c r="I1533" t="s"/>
      <c r="J1533" t="n">
        <v>0.4199</v>
      </c>
      <c r="K1533" t="n">
        <v>0</v>
      </c>
      <c r="L1533" t="n">
        <v>0.878</v>
      </c>
      <c r="M1533" t="n">
        <v>0.122</v>
      </c>
    </row>
    <row r="1534" spans="1:13">
      <c r="A1534" s="1">
        <f>HYPERLINK("http://www.twitter.com/NathanBLawrence/status/985567146368380928", "985567146368380928")</f>
        <v/>
      </c>
      <c r="B1534" s="2" t="n">
        <v>43205.71866898148</v>
      </c>
      <c r="C1534" t="n">
        <v>0</v>
      </c>
      <c r="D1534" t="n">
        <v>632</v>
      </c>
      <c r="E1534" t="s">
        <v>1544</v>
      </c>
      <c r="F1534" t="s"/>
      <c r="G1534" t="s"/>
      <c r="H1534" t="s"/>
      <c r="I1534" t="s"/>
      <c r="J1534" t="n">
        <v>-0.34</v>
      </c>
      <c r="K1534" t="n">
        <v>0.103</v>
      </c>
      <c r="L1534" t="n">
        <v>0.897</v>
      </c>
      <c r="M1534" t="n">
        <v>0</v>
      </c>
    </row>
    <row r="1535" spans="1:13">
      <c r="A1535" s="1">
        <f>HYPERLINK("http://www.twitter.com/NathanBLawrence/status/985567039921184769", "985567039921184769")</f>
        <v/>
      </c>
      <c r="B1535" s="2" t="n">
        <v>43205.71836805555</v>
      </c>
      <c r="C1535" t="n">
        <v>0</v>
      </c>
      <c r="D1535" t="n">
        <v>626</v>
      </c>
      <c r="E1535" t="s">
        <v>1545</v>
      </c>
      <c r="F1535" t="s"/>
      <c r="G1535" t="s"/>
      <c r="H1535" t="s"/>
      <c r="I1535" t="s"/>
      <c r="J1535" t="n">
        <v>-0.126</v>
      </c>
      <c r="K1535" t="n">
        <v>0.06900000000000001</v>
      </c>
      <c r="L1535" t="n">
        <v>0.931</v>
      </c>
      <c r="M1535" t="n">
        <v>0</v>
      </c>
    </row>
    <row r="1536" spans="1:13">
      <c r="A1536" s="1">
        <f>HYPERLINK("http://www.twitter.com/NathanBLawrence/status/985566918621904896", "985566918621904896")</f>
        <v/>
      </c>
      <c r="B1536" s="2" t="n">
        <v>43205.71804398148</v>
      </c>
      <c r="C1536" t="n">
        <v>0</v>
      </c>
      <c r="D1536" t="n">
        <v>390</v>
      </c>
      <c r="E1536" t="s">
        <v>1546</v>
      </c>
      <c r="F1536" t="s"/>
      <c r="G1536" t="s"/>
      <c r="H1536" t="s"/>
      <c r="I1536" t="s"/>
      <c r="J1536" t="n">
        <v>-0.296</v>
      </c>
      <c r="K1536" t="n">
        <v>0.099</v>
      </c>
      <c r="L1536" t="n">
        <v>0.901</v>
      </c>
      <c r="M1536" t="n">
        <v>0</v>
      </c>
    </row>
    <row r="1537" spans="1:13">
      <c r="A1537" s="1">
        <f>HYPERLINK("http://www.twitter.com/NathanBLawrence/status/985566852091863040", "985566852091863040")</f>
        <v/>
      </c>
      <c r="B1537" s="2" t="n">
        <v>43205.7178587963</v>
      </c>
      <c r="C1537" t="n">
        <v>0</v>
      </c>
      <c r="D1537" t="n">
        <v>26182</v>
      </c>
      <c r="E1537" t="s">
        <v>1547</v>
      </c>
      <c r="F1537" t="s"/>
      <c r="G1537" t="s"/>
      <c r="H1537" t="s"/>
      <c r="I1537" t="s"/>
      <c r="J1537" t="n">
        <v>0</v>
      </c>
      <c r="K1537" t="n">
        <v>0</v>
      </c>
      <c r="L1537" t="n">
        <v>1</v>
      </c>
      <c r="M1537" t="n">
        <v>0</v>
      </c>
    </row>
    <row r="1538" spans="1:13">
      <c r="A1538" s="1">
        <f>HYPERLINK("http://www.twitter.com/NathanBLawrence/status/985566686710382592", "985566686710382592")</f>
        <v/>
      </c>
      <c r="B1538" s="2" t="n">
        <v>43205.71739583334</v>
      </c>
      <c r="C1538" t="n">
        <v>0</v>
      </c>
      <c r="D1538" t="n">
        <v>7517</v>
      </c>
      <c r="E1538" t="s">
        <v>1548</v>
      </c>
      <c r="F1538">
        <f>HYPERLINK("https://video.twimg.com/amplify_video/985315036720754689/vid/1280x720/P5VqJs8WuzpeA896.mp4?tag=6", "https://video.twimg.com/amplify_video/985315036720754689/vid/1280x720/P5VqJs8WuzpeA896.mp4?tag=6")</f>
        <v/>
      </c>
      <c r="G1538" t="s"/>
      <c r="H1538" t="s"/>
      <c r="I1538" t="s"/>
      <c r="J1538" t="n">
        <v>0</v>
      </c>
      <c r="K1538" t="n">
        <v>0</v>
      </c>
      <c r="L1538" t="n">
        <v>1</v>
      </c>
      <c r="M1538" t="n">
        <v>0</v>
      </c>
    </row>
    <row r="1539" spans="1:13">
      <c r="A1539" s="1">
        <f>HYPERLINK("http://www.twitter.com/NathanBLawrence/status/985566612982919168", "985566612982919168")</f>
        <v/>
      </c>
      <c r="B1539" s="2" t="n">
        <v>43205.71719907408</v>
      </c>
      <c r="C1539" t="n">
        <v>0</v>
      </c>
      <c r="D1539" t="n">
        <v>3083</v>
      </c>
      <c r="E1539" t="s">
        <v>1549</v>
      </c>
      <c r="F1539">
        <f>HYPERLINK("https://video.twimg.com/amplify_video/985500129389105152/vid/1280x720/H2pY7y5yuE2QdIN5.mp4?tag=6", "https://video.twimg.com/amplify_video/985500129389105152/vid/1280x720/H2pY7y5yuE2QdIN5.mp4?tag=6")</f>
        <v/>
      </c>
      <c r="G1539" t="s"/>
      <c r="H1539" t="s"/>
      <c r="I1539" t="s"/>
      <c r="J1539" t="n">
        <v>0.4019</v>
      </c>
      <c r="K1539" t="n">
        <v>0</v>
      </c>
      <c r="L1539" t="n">
        <v>0.891</v>
      </c>
      <c r="M1539" t="n">
        <v>0.109</v>
      </c>
    </row>
    <row r="1540" spans="1:13">
      <c r="A1540" s="1">
        <f>HYPERLINK("http://www.twitter.com/NathanBLawrence/status/985566576547016704", "985566576547016704")</f>
        <v/>
      </c>
      <c r="B1540" s="2" t="n">
        <v>43205.71709490741</v>
      </c>
      <c r="C1540" t="n">
        <v>0</v>
      </c>
      <c r="D1540" t="n">
        <v>23730</v>
      </c>
      <c r="E1540" t="s">
        <v>1550</v>
      </c>
      <c r="F1540" t="s"/>
      <c r="G1540" t="s"/>
      <c r="H1540" t="s"/>
      <c r="I1540" t="s"/>
      <c r="J1540" t="n">
        <v>0.505</v>
      </c>
      <c r="K1540" t="n">
        <v>0.105</v>
      </c>
      <c r="L1540" t="n">
        <v>0.713</v>
      </c>
      <c r="M1540" t="n">
        <v>0.182</v>
      </c>
    </row>
    <row r="1541" spans="1:13">
      <c r="A1541" s="1">
        <f>HYPERLINK("http://www.twitter.com/NathanBLawrence/status/985566481181102080", "985566481181102080")</f>
        <v/>
      </c>
      <c r="B1541" s="2" t="n">
        <v>43205.71682870371</v>
      </c>
      <c r="C1541" t="n">
        <v>0</v>
      </c>
      <c r="D1541" t="n">
        <v>646</v>
      </c>
      <c r="E1541" t="s">
        <v>1551</v>
      </c>
      <c r="F1541" t="s"/>
      <c r="G1541" t="s"/>
      <c r="H1541" t="s"/>
      <c r="I1541" t="s"/>
      <c r="J1541" t="n">
        <v>-0.0516</v>
      </c>
      <c r="K1541" t="n">
        <v>0.048</v>
      </c>
      <c r="L1541" t="n">
        <v>0.952</v>
      </c>
      <c r="M1541" t="n">
        <v>0</v>
      </c>
    </row>
    <row r="1542" spans="1:13">
      <c r="A1542" s="1">
        <f>HYPERLINK("http://www.twitter.com/NathanBLawrence/status/985566431675756544", "985566431675756544")</f>
        <v/>
      </c>
      <c r="B1542" s="2" t="n">
        <v>43205.71668981481</v>
      </c>
      <c r="C1542" t="n">
        <v>0</v>
      </c>
      <c r="D1542" t="n">
        <v>22069</v>
      </c>
      <c r="E1542" t="s">
        <v>1552</v>
      </c>
      <c r="F1542" t="s"/>
      <c r="G1542" t="s"/>
      <c r="H1542" t="s"/>
      <c r="I1542" t="s"/>
      <c r="J1542" t="n">
        <v>-0.8491</v>
      </c>
      <c r="K1542" t="n">
        <v>0.255</v>
      </c>
      <c r="L1542" t="n">
        <v>0.745</v>
      </c>
      <c r="M1542" t="n">
        <v>0</v>
      </c>
    </row>
    <row r="1543" spans="1:13">
      <c r="A1543" s="1">
        <f>HYPERLINK("http://www.twitter.com/NathanBLawrence/status/985449563463892993", "985449563463892993")</f>
        <v/>
      </c>
      <c r="B1543" s="2" t="n">
        <v>43205.39420138889</v>
      </c>
      <c r="C1543" t="n">
        <v>0</v>
      </c>
      <c r="D1543" t="n">
        <v>232</v>
      </c>
      <c r="E1543" t="s">
        <v>1553</v>
      </c>
      <c r="F1543">
        <f>HYPERLINK("https://video.twimg.com/ext_tw_video/985125601383153664/pu/vid/1280x720/BvTGelHKUxcFN2Vb.mp4?tag=2", "https://video.twimg.com/ext_tw_video/985125601383153664/pu/vid/1280x720/BvTGelHKUxcFN2Vb.mp4?tag=2")</f>
        <v/>
      </c>
      <c r="G1543" t="s"/>
      <c r="H1543" t="s"/>
      <c r="I1543" t="s"/>
      <c r="J1543" t="n">
        <v>-0.0572</v>
      </c>
      <c r="K1543" t="n">
        <v>0.055</v>
      </c>
      <c r="L1543" t="n">
        <v>0.945</v>
      </c>
      <c r="M1543" t="n">
        <v>0</v>
      </c>
    </row>
    <row r="1544" spans="1:13">
      <c r="A1544" s="1">
        <f>HYPERLINK("http://www.twitter.com/NathanBLawrence/status/985259395113041920", "985259395113041920")</f>
        <v/>
      </c>
      <c r="B1544" s="2" t="n">
        <v>43204.86943287037</v>
      </c>
      <c r="C1544" t="n">
        <v>0</v>
      </c>
      <c r="D1544" t="n">
        <v>491</v>
      </c>
      <c r="E1544" t="s">
        <v>1554</v>
      </c>
      <c r="F1544" t="s"/>
      <c r="G1544" t="s"/>
      <c r="H1544" t="s"/>
      <c r="I1544" t="s"/>
      <c r="J1544" t="n">
        <v>0.2263</v>
      </c>
      <c r="K1544" t="n">
        <v>0.09</v>
      </c>
      <c r="L1544" t="n">
        <v>0.787</v>
      </c>
      <c r="M1544" t="n">
        <v>0.124</v>
      </c>
    </row>
    <row r="1545" spans="1:13">
      <c r="A1545" s="1">
        <f>HYPERLINK("http://www.twitter.com/NathanBLawrence/status/985259167936987136", "985259167936987136")</f>
        <v/>
      </c>
      <c r="B1545" s="2" t="n">
        <v>43204.86880787037</v>
      </c>
      <c r="C1545" t="n">
        <v>0</v>
      </c>
      <c r="D1545" t="n">
        <v>1863</v>
      </c>
      <c r="E1545" t="s">
        <v>1555</v>
      </c>
      <c r="F1545" t="s"/>
      <c r="G1545" t="s"/>
      <c r="H1545" t="s"/>
      <c r="I1545" t="s"/>
      <c r="J1545" t="n">
        <v>0.9055</v>
      </c>
      <c r="K1545" t="n">
        <v>0</v>
      </c>
      <c r="L1545" t="n">
        <v>0.62</v>
      </c>
      <c r="M1545" t="n">
        <v>0.38</v>
      </c>
    </row>
    <row r="1546" spans="1:13">
      <c r="A1546" s="1">
        <f>HYPERLINK("http://www.twitter.com/NathanBLawrence/status/985258370104885248", "985258370104885248")</f>
        <v/>
      </c>
      <c r="B1546" s="2" t="n">
        <v>43204.8666087963</v>
      </c>
      <c r="C1546" t="n">
        <v>0</v>
      </c>
      <c r="D1546" t="n">
        <v>873</v>
      </c>
      <c r="E1546" t="s">
        <v>1556</v>
      </c>
      <c r="F1546" t="s"/>
      <c r="G1546" t="s"/>
      <c r="H1546" t="s"/>
      <c r="I1546" t="s"/>
      <c r="J1546" t="n">
        <v>0</v>
      </c>
      <c r="K1546" t="n">
        <v>0</v>
      </c>
      <c r="L1546" t="n">
        <v>1</v>
      </c>
      <c r="M1546" t="n">
        <v>0</v>
      </c>
    </row>
    <row r="1547" spans="1:13">
      <c r="A1547" s="1">
        <f>HYPERLINK("http://www.twitter.com/NathanBLawrence/status/985258025442160641", "985258025442160641")</f>
        <v/>
      </c>
      <c r="B1547" s="2" t="n">
        <v>43204.86565972222</v>
      </c>
      <c r="C1547" t="n">
        <v>0</v>
      </c>
      <c r="D1547" t="n">
        <v>989</v>
      </c>
      <c r="E1547" t="s">
        <v>1557</v>
      </c>
      <c r="F1547" t="s"/>
      <c r="G1547" t="s"/>
      <c r="H1547" t="s"/>
      <c r="I1547" t="s"/>
      <c r="J1547" t="n">
        <v>0.25</v>
      </c>
      <c r="K1547" t="n">
        <v>0.155</v>
      </c>
      <c r="L1547" t="n">
        <v>0.603</v>
      </c>
      <c r="M1547" t="n">
        <v>0.241</v>
      </c>
    </row>
    <row r="1548" spans="1:13">
      <c r="A1548" s="1">
        <f>HYPERLINK("http://www.twitter.com/NathanBLawrence/status/985257943531634688", "985257943531634688")</f>
        <v/>
      </c>
      <c r="B1548" s="2" t="n">
        <v>43204.86542824074</v>
      </c>
      <c r="C1548" t="n">
        <v>0</v>
      </c>
      <c r="D1548" t="n">
        <v>36051</v>
      </c>
      <c r="E1548" t="s">
        <v>1558</v>
      </c>
      <c r="F1548" t="s"/>
      <c r="G1548" t="s"/>
      <c r="H1548" t="s"/>
      <c r="I1548" t="s"/>
      <c r="J1548" t="n">
        <v>-0.9429999999999999</v>
      </c>
      <c r="K1548" t="n">
        <v>0.454</v>
      </c>
      <c r="L1548" t="n">
        <v>0.546</v>
      </c>
      <c r="M1548" t="n">
        <v>0</v>
      </c>
    </row>
    <row r="1549" spans="1:13">
      <c r="A1549" s="1">
        <f>HYPERLINK("http://www.twitter.com/NathanBLawrence/status/985257855983865856", "985257855983865856")</f>
        <v/>
      </c>
      <c r="B1549" s="2" t="n">
        <v>43204.86518518518</v>
      </c>
      <c r="C1549" t="n">
        <v>0</v>
      </c>
      <c r="D1549" t="n">
        <v>1643</v>
      </c>
      <c r="E1549" t="s">
        <v>1559</v>
      </c>
      <c r="F1549" t="s"/>
      <c r="G1549" t="s"/>
      <c r="H1549" t="s"/>
      <c r="I1549" t="s"/>
      <c r="J1549" t="n">
        <v>0.9798</v>
      </c>
      <c r="K1549" t="n">
        <v>0</v>
      </c>
      <c r="L1549" t="n">
        <v>0.381</v>
      </c>
      <c r="M1549" t="n">
        <v>0.619</v>
      </c>
    </row>
    <row r="1550" spans="1:13">
      <c r="A1550" s="1">
        <f>HYPERLINK("http://www.twitter.com/NathanBLawrence/status/985257814388977665", "985257814388977665")</f>
        <v/>
      </c>
      <c r="B1550" s="2" t="n">
        <v>43204.86506944444</v>
      </c>
      <c r="C1550" t="n">
        <v>0</v>
      </c>
      <c r="D1550" t="n">
        <v>18</v>
      </c>
      <c r="E1550" t="s">
        <v>1560</v>
      </c>
      <c r="F1550" t="s"/>
      <c r="G1550" t="s"/>
      <c r="H1550" t="s"/>
      <c r="I1550" t="s"/>
      <c r="J1550" t="n">
        <v>0.6369</v>
      </c>
      <c r="K1550" t="n">
        <v>0</v>
      </c>
      <c r="L1550" t="n">
        <v>0.714</v>
      </c>
      <c r="M1550" t="n">
        <v>0.286</v>
      </c>
    </row>
    <row r="1551" spans="1:13">
      <c r="A1551" s="1">
        <f>HYPERLINK("http://www.twitter.com/NathanBLawrence/status/985057870625435648", "985057870625435648")</f>
        <v/>
      </c>
      <c r="B1551" s="2" t="n">
        <v>43204.31333333333</v>
      </c>
      <c r="C1551" t="n">
        <v>0</v>
      </c>
      <c r="D1551" t="n">
        <v>157</v>
      </c>
      <c r="E1551" t="s">
        <v>1561</v>
      </c>
      <c r="F1551">
        <f>HYPERLINK("http://pbs.twimg.com/media/DaH-obtWkAEML3B.jpg", "http://pbs.twimg.com/media/DaH-obtWkAEML3B.jpg")</f>
        <v/>
      </c>
      <c r="G1551" t="s"/>
      <c r="H1551" t="s"/>
      <c r="I1551" t="s"/>
      <c r="J1551" t="n">
        <v>0</v>
      </c>
      <c r="K1551" t="n">
        <v>0</v>
      </c>
      <c r="L1551" t="n">
        <v>1</v>
      </c>
      <c r="M1551" t="n">
        <v>0</v>
      </c>
    </row>
    <row r="1552" spans="1:13">
      <c r="A1552" s="1">
        <f>HYPERLINK("http://www.twitter.com/NathanBLawrence/status/985057560129560576", "985057560129560576")</f>
        <v/>
      </c>
      <c r="B1552" s="2" t="n">
        <v>43204.31247685185</v>
      </c>
      <c r="C1552" t="n">
        <v>0</v>
      </c>
      <c r="D1552" t="n">
        <v>6</v>
      </c>
      <c r="E1552" t="s">
        <v>1562</v>
      </c>
      <c r="F1552">
        <f>HYPERLINK("http://pbs.twimg.com/media/DaugE3zVMAAkLT-.jpg", "http://pbs.twimg.com/media/DaugE3zVMAAkLT-.jpg")</f>
        <v/>
      </c>
      <c r="G1552" t="s"/>
      <c r="H1552" t="s"/>
      <c r="I1552" t="s"/>
      <c r="J1552" t="n">
        <v>0</v>
      </c>
      <c r="K1552" t="n">
        <v>0</v>
      </c>
      <c r="L1552" t="n">
        <v>1</v>
      </c>
      <c r="M1552" t="n">
        <v>0</v>
      </c>
    </row>
    <row r="1553" spans="1:13">
      <c r="A1553" s="1">
        <f>HYPERLINK("http://www.twitter.com/NathanBLawrence/status/985056589286551552", "985056589286551552")</f>
        <v/>
      </c>
      <c r="B1553" s="2" t="n">
        <v>43204.30980324074</v>
      </c>
      <c r="C1553" t="n">
        <v>0</v>
      </c>
      <c r="D1553" t="n">
        <v>65</v>
      </c>
      <c r="E1553" t="s">
        <v>1563</v>
      </c>
      <c r="F1553">
        <f>HYPERLINK("http://pbs.twimg.com/media/DarO3g8XcAEqrqP.jpg", "http://pbs.twimg.com/media/DarO3g8XcAEqrqP.jpg")</f>
        <v/>
      </c>
      <c r="G1553" t="s"/>
      <c r="H1553" t="s"/>
      <c r="I1553" t="s"/>
      <c r="J1553" t="n">
        <v>0</v>
      </c>
      <c r="K1553" t="n">
        <v>0</v>
      </c>
      <c r="L1553" t="n">
        <v>1</v>
      </c>
      <c r="M1553" t="n">
        <v>0</v>
      </c>
    </row>
    <row r="1554" spans="1:13">
      <c r="A1554" s="1">
        <f>HYPERLINK("http://www.twitter.com/NathanBLawrence/status/985055160677183488", "985055160677183488")</f>
        <v/>
      </c>
      <c r="B1554" s="2" t="n">
        <v>43204.30585648148</v>
      </c>
      <c r="C1554" t="n">
        <v>0</v>
      </c>
      <c r="D1554" t="n">
        <v>361</v>
      </c>
      <c r="E1554" t="s">
        <v>1564</v>
      </c>
      <c r="F1554">
        <f>HYPERLINK("http://pbs.twimg.com/media/DatCJw6VwAA_YN0.jpg", "http://pbs.twimg.com/media/DatCJw6VwAA_YN0.jpg")</f>
        <v/>
      </c>
      <c r="G1554" t="s"/>
      <c r="H1554" t="s"/>
      <c r="I1554" t="s"/>
      <c r="J1554" t="n">
        <v>0</v>
      </c>
      <c r="K1554" t="n">
        <v>0</v>
      </c>
      <c r="L1554" t="n">
        <v>1</v>
      </c>
      <c r="M1554" t="n">
        <v>0</v>
      </c>
    </row>
    <row r="1555" spans="1:13">
      <c r="A1555" s="1">
        <f>HYPERLINK("http://www.twitter.com/NathanBLawrence/status/985054828555419648", "985054828555419648")</f>
        <v/>
      </c>
      <c r="B1555" s="2" t="n">
        <v>43204.30494212963</v>
      </c>
      <c r="C1555" t="n">
        <v>0</v>
      </c>
      <c r="D1555" t="n">
        <v>66</v>
      </c>
      <c r="E1555" t="s">
        <v>1565</v>
      </c>
      <c r="F1555">
        <f>HYPERLINK("http://pbs.twimg.com/media/DauI6qCXUAAUbSx.jpg", "http://pbs.twimg.com/media/DauI6qCXUAAUbSx.jpg")</f>
        <v/>
      </c>
      <c r="G1555" t="s"/>
      <c r="H1555" t="s"/>
      <c r="I1555" t="s"/>
      <c r="J1555" t="n">
        <v>-0.4767</v>
      </c>
      <c r="K1555" t="n">
        <v>0.22</v>
      </c>
      <c r="L1555" t="n">
        <v>0.78</v>
      </c>
      <c r="M1555" t="n">
        <v>0</v>
      </c>
    </row>
    <row r="1556" spans="1:13">
      <c r="A1556" s="1">
        <f>HYPERLINK("http://www.twitter.com/NathanBLawrence/status/985054413101281280", "985054413101281280")</f>
        <v/>
      </c>
      <c r="B1556" s="2" t="n">
        <v>43204.3037962963</v>
      </c>
      <c r="C1556" t="n">
        <v>0</v>
      </c>
      <c r="D1556" t="n">
        <v>396</v>
      </c>
      <c r="E1556" t="s">
        <v>1566</v>
      </c>
      <c r="F1556" t="s"/>
      <c r="G1556" t="s"/>
      <c r="H1556" t="s"/>
      <c r="I1556" t="s"/>
      <c r="J1556" t="n">
        <v>-0.5574</v>
      </c>
      <c r="K1556" t="n">
        <v>0.135</v>
      </c>
      <c r="L1556" t="n">
        <v>0.865</v>
      </c>
      <c r="M1556" t="n">
        <v>0</v>
      </c>
    </row>
    <row r="1557" spans="1:13">
      <c r="A1557" s="1">
        <f>HYPERLINK("http://www.twitter.com/NathanBLawrence/status/985054308994506753", "985054308994506753")</f>
        <v/>
      </c>
      <c r="B1557" s="2" t="n">
        <v>43204.30350694444</v>
      </c>
      <c r="C1557" t="n">
        <v>0</v>
      </c>
      <c r="D1557" t="n">
        <v>1877</v>
      </c>
      <c r="E1557" t="s">
        <v>1567</v>
      </c>
      <c r="F1557">
        <f>HYPERLINK("http://pbs.twimg.com/media/DauCtiyVQAE9xbJ.jpg", "http://pbs.twimg.com/media/DauCtiyVQAE9xbJ.jpg")</f>
        <v/>
      </c>
      <c r="G1557" t="s"/>
      <c r="H1557" t="s"/>
      <c r="I1557" t="s"/>
      <c r="J1557" t="n">
        <v>-0.5574</v>
      </c>
      <c r="K1557" t="n">
        <v>0.153</v>
      </c>
      <c r="L1557" t="n">
        <v>0.847</v>
      </c>
      <c r="M1557" t="n">
        <v>0</v>
      </c>
    </row>
    <row r="1558" spans="1:13">
      <c r="A1558" s="1">
        <f>HYPERLINK("http://www.twitter.com/NathanBLawrence/status/985054186134892544", "985054186134892544")</f>
        <v/>
      </c>
      <c r="B1558" s="2" t="n">
        <v>43204.3031712963</v>
      </c>
      <c r="C1558" t="n">
        <v>0</v>
      </c>
      <c r="D1558" t="n">
        <v>10</v>
      </c>
      <c r="E1558" t="s">
        <v>1568</v>
      </c>
      <c r="F1558">
        <f>HYPERLINK("http://pbs.twimg.com/media/Daub5x0WAAEQhBX.jpg", "http://pbs.twimg.com/media/Daub5x0WAAEQhBX.jpg")</f>
        <v/>
      </c>
      <c r="G1558" t="s"/>
      <c r="H1558" t="s"/>
      <c r="I1558" t="s"/>
      <c r="J1558" t="n">
        <v>0</v>
      </c>
      <c r="K1558" t="n">
        <v>0</v>
      </c>
      <c r="L1558" t="n">
        <v>1</v>
      </c>
      <c r="M1558" t="n">
        <v>0</v>
      </c>
    </row>
    <row r="1559" spans="1:13">
      <c r="A1559" s="1">
        <f>HYPERLINK("http://www.twitter.com/NathanBLawrence/status/985053969436237826", "985053969436237826")</f>
        <v/>
      </c>
      <c r="B1559" s="2" t="n">
        <v>43204.30256944444</v>
      </c>
      <c r="C1559" t="n">
        <v>0</v>
      </c>
      <c r="D1559" t="n">
        <v>192</v>
      </c>
      <c r="E1559" t="s">
        <v>1569</v>
      </c>
      <c r="F1559">
        <f>HYPERLINK("https://video.twimg.com/ext_tw_video/984845664939986944/pu/vid/1280x720/6O5pOR_b2acsEXsc.mp4?tag=2", "https://video.twimg.com/ext_tw_video/984845664939986944/pu/vid/1280x720/6O5pOR_b2acsEXsc.mp4?tag=2")</f>
        <v/>
      </c>
      <c r="G1559" t="s"/>
      <c r="H1559" t="s"/>
      <c r="I1559" t="s"/>
      <c r="J1559" t="n">
        <v>0.2444</v>
      </c>
      <c r="K1559" t="n">
        <v>0</v>
      </c>
      <c r="L1559" t="n">
        <v>0.868</v>
      </c>
      <c r="M1559" t="n">
        <v>0.132</v>
      </c>
    </row>
    <row r="1560" spans="1:13">
      <c r="A1560" s="1">
        <f>HYPERLINK("http://www.twitter.com/NathanBLawrence/status/985053596445061120", "985053596445061120")</f>
        <v/>
      </c>
      <c r="B1560" s="2" t="n">
        <v>43204.30153935185</v>
      </c>
      <c r="C1560" t="n">
        <v>0</v>
      </c>
      <c r="D1560" t="n">
        <v>1846</v>
      </c>
      <c r="E1560" t="s">
        <v>1570</v>
      </c>
      <c r="F1560" t="s"/>
      <c r="G1560" t="s"/>
      <c r="H1560" t="s"/>
      <c r="I1560" t="s"/>
      <c r="J1560" t="n">
        <v>0</v>
      </c>
      <c r="K1560" t="n">
        <v>0</v>
      </c>
      <c r="L1560" t="n">
        <v>1</v>
      </c>
      <c r="M1560" t="n">
        <v>0</v>
      </c>
    </row>
    <row r="1561" spans="1:13">
      <c r="A1561" s="1">
        <f>HYPERLINK("http://www.twitter.com/NathanBLawrence/status/985053519395696640", "985053519395696640")</f>
        <v/>
      </c>
      <c r="B1561" s="2" t="n">
        <v>43204.30133101852</v>
      </c>
      <c r="C1561" t="n">
        <v>0</v>
      </c>
      <c r="D1561" t="n">
        <v>197</v>
      </c>
      <c r="E1561" t="s">
        <v>1571</v>
      </c>
      <c r="F1561">
        <f>HYPERLINK("https://video.twimg.com/ext_tw_video/984847633083596800/pu/vid/720x720/DqzRUqwXCMpzX8eC.mp4?tag=2", "https://video.twimg.com/ext_tw_video/984847633083596800/pu/vid/720x720/DqzRUqwXCMpzX8eC.mp4?tag=2")</f>
        <v/>
      </c>
      <c r="G1561" t="s"/>
      <c r="H1561" t="s"/>
      <c r="I1561" t="s"/>
      <c r="J1561" t="n">
        <v>0</v>
      </c>
      <c r="K1561" t="n">
        <v>0</v>
      </c>
      <c r="L1561" t="n">
        <v>1</v>
      </c>
      <c r="M1561" t="n">
        <v>0</v>
      </c>
    </row>
    <row r="1562" spans="1:13">
      <c r="A1562" s="1">
        <f>HYPERLINK("http://www.twitter.com/NathanBLawrence/status/985052115771973632", "985052115771973632")</f>
        <v/>
      </c>
      <c r="B1562" s="2" t="n">
        <v>43204.2974537037</v>
      </c>
      <c r="C1562" t="n">
        <v>0</v>
      </c>
      <c r="D1562" t="n">
        <v>1115</v>
      </c>
      <c r="E1562" t="s">
        <v>1572</v>
      </c>
      <c r="F1562">
        <f>HYPERLINK("http://pbs.twimg.com/media/Datd56sUMAA0J7B.jpg", "http://pbs.twimg.com/media/Datd56sUMAA0J7B.jpg")</f>
        <v/>
      </c>
      <c r="G1562" t="s"/>
      <c r="H1562" t="s"/>
      <c r="I1562" t="s"/>
      <c r="J1562" t="n">
        <v>0.9337</v>
      </c>
      <c r="K1562" t="n">
        <v>0</v>
      </c>
      <c r="L1562" t="n">
        <v>0.598</v>
      </c>
      <c r="M1562" t="n">
        <v>0.402</v>
      </c>
    </row>
    <row r="1563" spans="1:13">
      <c r="A1563" s="1">
        <f>HYPERLINK("http://www.twitter.com/NathanBLawrence/status/985051879620034560", "985051879620034560")</f>
        <v/>
      </c>
      <c r="B1563" s="2" t="n">
        <v>43204.29680555555</v>
      </c>
      <c r="C1563" t="n">
        <v>0</v>
      </c>
      <c r="D1563" t="n">
        <v>11</v>
      </c>
      <c r="E1563" t="s">
        <v>1573</v>
      </c>
      <c r="F1563">
        <f>HYPERLINK("https://video.twimg.com/amplify_video/984826331643961345/vid/1280x720/M3AogiDEkOvy6Hfa.mp4?tag=2", "https://video.twimg.com/amplify_video/984826331643961345/vid/1280x720/M3AogiDEkOvy6Hfa.mp4?tag=2")</f>
        <v/>
      </c>
      <c r="G1563" t="s"/>
      <c r="H1563" t="s"/>
      <c r="I1563" t="s"/>
      <c r="J1563" t="n">
        <v>0</v>
      </c>
      <c r="K1563" t="n">
        <v>0</v>
      </c>
      <c r="L1563" t="n">
        <v>1</v>
      </c>
      <c r="M1563" t="n">
        <v>0</v>
      </c>
    </row>
    <row r="1564" spans="1:13">
      <c r="A1564" s="1">
        <f>HYPERLINK("http://www.twitter.com/NathanBLawrence/status/985051757871951872", "985051757871951872")</f>
        <v/>
      </c>
      <c r="B1564" s="2" t="n">
        <v>43204.29646990741</v>
      </c>
      <c r="C1564" t="n">
        <v>0</v>
      </c>
      <c r="D1564" t="n">
        <v>15</v>
      </c>
      <c r="E1564" t="s">
        <v>1574</v>
      </c>
      <c r="F1564">
        <f>HYPERLINK("http://pbs.twimg.com/media/DasDIvfU8AABQjC.jpg", "http://pbs.twimg.com/media/DasDIvfU8AABQjC.jpg")</f>
        <v/>
      </c>
      <c r="G1564" t="s"/>
      <c r="H1564" t="s"/>
      <c r="I1564" t="s"/>
      <c r="J1564" t="n">
        <v>0</v>
      </c>
      <c r="K1564" t="n">
        <v>0</v>
      </c>
      <c r="L1564" t="n">
        <v>1</v>
      </c>
      <c r="M1564" t="n">
        <v>0</v>
      </c>
    </row>
    <row r="1565" spans="1:13">
      <c r="A1565" s="1">
        <f>HYPERLINK("http://www.twitter.com/NathanBLawrence/status/985051643178713088", "985051643178713088")</f>
        <v/>
      </c>
      <c r="B1565" s="2" t="n">
        <v>43204.29614583333</v>
      </c>
      <c r="C1565" t="n">
        <v>0</v>
      </c>
      <c r="D1565" t="n">
        <v>200</v>
      </c>
      <c r="E1565" t="s">
        <v>1575</v>
      </c>
      <c r="F1565">
        <f>HYPERLINK("https://video.twimg.com/ext_tw_video/984851981071147009/pu/vid/480x360/_QHUL4Al9Jh1BvGf.mp4?tag=2", "https://video.twimg.com/ext_tw_video/984851981071147009/pu/vid/480x360/_QHUL4Al9Jh1BvGf.mp4?tag=2")</f>
        <v/>
      </c>
      <c r="G1565" t="s"/>
      <c r="H1565" t="s"/>
      <c r="I1565" t="s"/>
      <c r="J1565" t="n">
        <v>0.2235</v>
      </c>
      <c r="K1565" t="n">
        <v>0</v>
      </c>
      <c r="L1565" t="n">
        <v>0.9</v>
      </c>
      <c r="M1565" t="n">
        <v>0.1</v>
      </c>
    </row>
    <row r="1566" spans="1:13">
      <c r="A1566" s="1">
        <f>HYPERLINK("http://www.twitter.com/NathanBLawrence/status/985050186392125440", "985050186392125440")</f>
        <v/>
      </c>
      <c r="B1566" s="2" t="n">
        <v>43204.29212962963</v>
      </c>
      <c r="C1566" t="n">
        <v>0</v>
      </c>
      <c r="D1566" t="n">
        <v>967</v>
      </c>
      <c r="E1566" t="s">
        <v>1576</v>
      </c>
      <c r="F1566">
        <f>HYPERLINK("http://pbs.twimg.com/media/DatNQmOWAAIlF0k.jpg", "http://pbs.twimg.com/media/DatNQmOWAAIlF0k.jpg")</f>
        <v/>
      </c>
      <c r="G1566" t="s"/>
      <c r="H1566" t="s"/>
      <c r="I1566" t="s"/>
      <c r="J1566" t="n">
        <v>-0.6124000000000001</v>
      </c>
      <c r="K1566" t="n">
        <v>0.225</v>
      </c>
      <c r="L1566" t="n">
        <v>0.733</v>
      </c>
      <c r="M1566" t="n">
        <v>0.042</v>
      </c>
    </row>
    <row r="1567" spans="1:13">
      <c r="A1567" s="1">
        <f>HYPERLINK("http://www.twitter.com/NathanBLawrence/status/984647003672948737", "984647003672948737")</f>
        <v/>
      </c>
      <c r="B1567" s="2" t="n">
        <v>43203.17956018518</v>
      </c>
      <c r="C1567" t="n">
        <v>0</v>
      </c>
      <c r="D1567" t="n">
        <v>762</v>
      </c>
      <c r="E1567" t="s">
        <v>1577</v>
      </c>
      <c r="F1567" t="s"/>
      <c r="G1567" t="s"/>
      <c r="H1567" t="s"/>
      <c r="I1567" t="s"/>
      <c r="J1567" t="n">
        <v>-0.5994</v>
      </c>
      <c r="K1567" t="n">
        <v>0.358</v>
      </c>
      <c r="L1567" t="n">
        <v>0.642</v>
      </c>
      <c r="M1567" t="n">
        <v>0</v>
      </c>
    </row>
    <row r="1568" spans="1:13">
      <c r="A1568" s="1">
        <f>HYPERLINK("http://www.twitter.com/NathanBLawrence/status/984646948907921408", "984646948907921408")</f>
        <v/>
      </c>
      <c r="B1568" s="2" t="n">
        <v>43203.17940972222</v>
      </c>
      <c r="C1568" t="n">
        <v>0</v>
      </c>
      <c r="D1568" t="n">
        <v>916</v>
      </c>
      <c r="E1568" t="s">
        <v>1578</v>
      </c>
      <c r="F1568" t="s"/>
      <c r="G1568" t="s"/>
      <c r="H1568" t="s"/>
      <c r="I1568" t="s"/>
      <c r="J1568" t="n">
        <v>-0.8687</v>
      </c>
      <c r="K1568" t="n">
        <v>0.308</v>
      </c>
      <c r="L1568" t="n">
        <v>0.6919999999999999</v>
      </c>
      <c r="M1568" t="n">
        <v>0</v>
      </c>
    </row>
    <row r="1569" spans="1:13">
      <c r="A1569" s="1">
        <f>HYPERLINK("http://www.twitter.com/NathanBLawrence/status/984646891655725056", "984646891655725056")</f>
        <v/>
      </c>
      <c r="B1569" s="2" t="n">
        <v>43203.17924768518</v>
      </c>
      <c r="C1569" t="n">
        <v>0</v>
      </c>
      <c r="D1569" t="n">
        <v>1666</v>
      </c>
      <c r="E1569" t="s">
        <v>1579</v>
      </c>
      <c r="F1569" t="s"/>
      <c r="G1569" t="s"/>
      <c r="H1569" t="s"/>
      <c r="I1569" t="s"/>
      <c r="J1569" t="n">
        <v>-0.5859</v>
      </c>
      <c r="K1569" t="n">
        <v>0.153</v>
      </c>
      <c r="L1569" t="n">
        <v>0.847</v>
      </c>
      <c r="M1569" t="n">
        <v>0</v>
      </c>
    </row>
    <row r="1570" spans="1:13">
      <c r="A1570" s="1">
        <f>HYPERLINK("http://www.twitter.com/NathanBLawrence/status/984646574918676481", "984646574918676481")</f>
        <v/>
      </c>
      <c r="B1570" s="2" t="n">
        <v>43203.17836805555</v>
      </c>
      <c r="C1570" t="n">
        <v>0</v>
      </c>
      <c r="D1570" t="n">
        <v>7278</v>
      </c>
      <c r="E1570" t="s">
        <v>1580</v>
      </c>
      <c r="F1570">
        <f>HYPERLINK("https://video.twimg.com/ext_tw_video/983886086781972481/pu/vid/720x1280/hqoTZFdaRR3jUE7a.mp4?tag=2", "https://video.twimg.com/ext_tw_video/983886086781972481/pu/vid/720x1280/hqoTZFdaRR3jUE7a.mp4?tag=2")</f>
        <v/>
      </c>
      <c r="G1570" t="s"/>
      <c r="H1570" t="s"/>
      <c r="I1570" t="s"/>
      <c r="J1570" t="n">
        <v>0.8241000000000001</v>
      </c>
      <c r="K1570" t="n">
        <v>0</v>
      </c>
      <c r="L1570" t="n">
        <v>0.677</v>
      </c>
      <c r="M1570" t="n">
        <v>0.323</v>
      </c>
    </row>
    <row r="1571" spans="1:13">
      <c r="A1571" s="1">
        <f>HYPERLINK("http://www.twitter.com/NathanBLawrence/status/984645917641867264", "984645917641867264")</f>
        <v/>
      </c>
      <c r="B1571" s="2" t="n">
        <v>43203.1765625</v>
      </c>
      <c r="C1571" t="n">
        <v>0</v>
      </c>
      <c r="D1571" t="n">
        <v>34</v>
      </c>
      <c r="E1571" t="s">
        <v>1581</v>
      </c>
      <c r="F1571">
        <f>HYPERLINK("http://pbs.twimg.com/media/DaojSWzUwAAKl3c.jpg", "http://pbs.twimg.com/media/DaojSWzUwAAKl3c.jpg")</f>
        <v/>
      </c>
      <c r="G1571" t="s"/>
      <c r="H1571" t="s"/>
      <c r="I1571" t="s"/>
      <c r="J1571" t="n">
        <v>0</v>
      </c>
      <c r="K1571" t="n">
        <v>0</v>
      </c>
      <c r="L1571" t="n">
        <v>1</v>
      </c>
      <c r="M1571" t="n">
        <v>0</v>
      </c>
    </row>
    <row r="1572" spans="1:13">
      <c r="A1572" s="1">
        <f>HYPERLINK("http://www.twitter.com/NathanBLawrence/status/984645836565917696", "984645836565917696")</f>
        <v/>
      </c>
      <c r="B1572" s="2" t="n">
        <v>43203.17633101852</v>
      </c>
      <c r="C1572" t="n">
        <v>0</v>
      </c>
      <c r="D1572" t="n">
        <v>96</v>
      </c>
      <c r="E1572" t="s">
        <v>1582</v>
      </c>
      <c r="F1572" t="s"/>
      <c r="G1572" t="s"/>
      <c r="H1572" t="s"/>
      <c r="I1572" t="s"/>
      <c r="J1572" t="n">
        <v>-0.296</v>
      </c>
      <c r="K1572" t="n">
        <v>0.099</v>
      </c>
      <c r="L1572" t="n">
        <v>0.901</v>
      </c>
      <c r="M1572" t="n">
        <v>0</v>
      </c>
    </row>
    <row r="1573" spans="1:13">
      <c r="A1573" s="1">
        <f>HYPERLINK("http://www.twitter.com/NathanBLawrence/status/984645783071764481", "984645783071764481")</f>
        <v/>
      </c>
      <c r="B1573" s="2" t="n">
        <v>43203.17619212963</v>
      </c>
      <c r="C1573" t="n">
        <v>0</v>
      </c>
      <c r="D1573" t="n">
        <v>971</v>
      </c>
      <c r="E1573" t="s">
        <v>1583</v>
      </c>
      <c r="F1573">
        <f>HYPERLINK("http://pbs.twimg.com/media/Dan75VTV4AEN_27.jpg", "http://pbs.twimg.com/media/Dan75VTV4AEN_27.jpg")</f>
        <v/>
      </c>
      <c r="G1573" t="s"/>
      <c r="H1573" t="s"/>
      <c r="I1573" t="s"/>
      <c r="J1573" t="n">
        <v>0</v>
      </c>
      <c r="K1573" t="n">
        <v>0</v>
      </c>
      <c r="L1573" t="n">
        <v>1</v>
      </c>
      <c r="M1573" t="n">
        <v>0</v>
      </c>
    </row>
    <row r="1574" spans="1:13">
      <c r="A1574" s="1">
        <f>HYPERLINK("http://www.twitter.com/NathanBLawrence/status/984645688611897344", "984645688611897344")</f>
        <v/>
      </c>
      <c r="B1574" s="2" t="n">
        <v>43203.17592592593</v>
      </c>
      <c r="C1574" t="n">
        <v>0</v>
      </c>
      <c r="D1574" t="n">
        <v>800</v>
      </c>
      <c r="E1574" t="s">
        <v>1584</v>
      </c>
      <c r="F1574">
        <f>HYPERLINK("https://video.twimg.com/ext_tw_video/984598246394814464/pu/vid/288x180/jrPfw6yv2XEdtfXI.mp4?tag=2", "https://video.twimg.com/ext_tw_video/984598246394814464/pu/vid/288x180/jrPfw6yv2XEdtfXI.mp4?tag=2")</f>
        <v/>
      </c>
      <c r="G1574" t="s"/>
      <c r="H1574" t="s"/>
      <c r="I1574" t="s"/>
      <c r="J1574" t="n">
        <v>0.1931</v>
      </c>
      <c r="K1574" t="n">
        <v>0.129</v>
      </c>
      <c r="L1574" t="n">
        <v>0.714</v>
      </c>
      <c r="M1574" t="n">
        <v>0.156</v>
      </c>
    </row>
    <row r="1575" spans="1:13">
      <c r="A1575" s="1">
        <f>HYPERLINK("http://www.twitter.com/NathanBLawrence/status/984645544386547712", "984645544386547712")</f>
        <v/>
      </c>
      <c r="B1575" s="2" t="n">
        <v>43203.1755324074</v>
      </c>
      <c r="C1575" t="n">
        <v>0</v>
      </c>
      <c r="D1575" t="n">
        <v>176</v>
      </c>
      <c r="E1575" t="s">
        <v>1585</v>
      </c>
      <c r="F1575">
        <f>HYPERLINK("http://pbs.twimg.com/media/DaocmmkX0AAbuTx.jpg", "http://pbs.twimg.com/media/DaocmmkX0AAbuTx.jpg")</f>
        <v/>
      </c>
      <c r="G1575" t="s"/>
      <c r="H1575" t="s"/>
      <c r="I1575" t="s"/>
      <c r="J1575" t="n">
        <v>0.6476</v>
      </c>
      <c r="K1575" t="n">
        <v>0</v>
      </c>
      <c r="L1575" t="n">
        <v>0.694</v>
      </c>
      <c r="M1575" t="n">
        <v>0.306</v>
      </c>
    </row>
    <row r="1576" spans="1:13">
      <c r="A1576" s="1">
        <f>HYPERLINK("http://www.twitter.com/NathanBLawrence/status/984645432050499586", "984645432050499586")</f>
        <v/>
      </c>
      <c r="B1576" s="2" t="n">
        <v>43203.17521990741</v>
      </c>
      <c r="C1576" t="n">
        <v>0</v>
      </c>
      <c r="D1576" t="n">
        <v>453</v>
      </c>
      <c r="E1576" t="s">
        <v>1586</v>
      </c>
      <c r="F1576">
        <f>HYPERLINK("https://video.twimg.com/amplify_video/984633337800146944/vid/1280x720/tZgVvqYJEA8i3rY5.mp4?tag=2", "https://video.twimg.com/amplify_video/984633337800146944/vid/1280x720/tZgVvqYJEA8i3rY5.mp4?tag=2")</f>
        <v/>
      </c>
      <c r="G1576" t="s"/>
      <c r="H1576" t="s"/>
      <c r="I1576" t="s"/>
      <c r="J1576" t="n">
        <v>0.4939</v>
      </c>
      <c r="K1576" t="n">
        <v>0</v>
      </c>
      <c r="L1576" t="n">
        <v>0.833</v>
      </c>
      <c r="M1576" t="n">
        <v>0.167</v>
      </c>
    </row>
    <row r="1577" spans="1:13">
      <c r="A1577" s="1">
        <f>HYPERLINK("http://www.twitter.com/NathanBLawrence/status/984645329893994496", "984645329893994496")</f>
        <v/>
      </c>
      <c r="B1577" s="2" t="n">
        <v>43203.17494212963</v>
      </c>
      <c r="C1577" t="n">
        <v>0</v>
      </c>
      <c r="D1577" t="n">
        <v>31</v>
      </c>
      <c r="E1577" t="s">
        <v>1587</v>
      </c>
      <c r="F1577">
        <f>HYPERLINK("http://pbs.twimg.com/media/Daoj2f4XkAAfp_P.jpg", "http://pbs.twimg.com/media/Daoj2f4XkAAfp_P.jpg")</f>
        <v/>
      </c>
      <c r="G1577" t="s"/>
      <c r="H1577" t="s"/>
      <c r="I1577" t="s"/>
      <c r="J1577" t="n">
        <v>0</v>
      </c>
      <c r="K1577" t="n">
        <v>0</v>
      </c>
      <c r="L1577" t="n">
        <v>1</v>
      </c>
      <c r="M1577" t="n">
        <v>0</v>
      </c>
    </row>
    <row r="1578" spans="1:13">
      <c r="A1578" s="1">
        <f>HYPERLINK("http://www.twitter.com/NathanBLawrence/status/984645243164278785", "984645243164278785")</f>
        <v/>
      </c>
      <c r="B1578" s="2" t="n">
        <v>43203.17469907407</v>
      </c>
      <c r="C1578" t="n">
        <v>0</v>
      </c>
      <c r="D1578" t="n">
        <v>684</v>
      </c>
      <c r="E1578" t="s">
        <v>1588</v>
      </c>
      <c r="F1578">
        <f>HYPERLINK("https://video.twimg.com/ext_tw_video/738938652642803712/pu/vid/1280x720/CfitpzggNF6y_XL8.mp4", "https://video.twimg.com/ext_tw_video/738938652642803712/pu/vid/1280x720/CfitpzggNF6y_XL8.mp4")</f>
        <v/>
      </c>
      <c r="G1578" t="s"/>
      <c r="H1578" t="s"/>
      <c r="I1578" t="s"/>
      <c r="J1578" t="n">
        <v>0.6369</v>
      </c>
      <c r="K1578" t="n">
        <v>0</v>
      </c>
      <c r="L1578" t="n">
        <v>0.851</v>
      </c>
      <c r="M1578" t="n">
        <v>0.149</v>
      </c>
    </row>
    <row r="1579" spans="1:13">
      <c r="A1579" s="1">
        <f>HYPERLINK("http://www.twitter.com/NathanBLawrence/status/984645099584815105", "984645099584815105")</f>
        <v/>
      </c>
      <c r="B1579" s="2" t="n">
        <v>43203.17430555556</v>
      </c>
      <c r="C1579" t="n">
        <v>0</v>
      </c>
      <c r="D1579" t="n">
        <v>392</v>
      </c>
      <c r="E1579" t="s">
        <v>1589</v>
      </c>
      <c r="F1579">
        <f>HYPERLINK("http://pbs.twimg.com/media/Daojj-DWsAAzveS.jpg", "http://pbs.twimg.com/media/Daojj-DWsAAzveS.jpg")</f>
        <v/>
      </c>
      <c r="G1579" t="s"/>
      <c r="H1579" t="s"/>
      <c r="I1579" t="s"/>
      <c r="J1579" t="n">
        <v>0.3802</v>
      </c>
      <c r="K1579" t="n">
        <v>0</v>
      </c>
      <c r="L1579" t="n">
        <v>0.8090000000000001</v>
      </c>
      <c r="M1579" t="n">
        <v>0.191</v>
      </c>
    </row>
    <row r="1580" spans="1:13">
      <c r="A1580" s="1">
        <f>HYPERLINK("http://www.twitter.com/NathanBLawrence/status/984645038444494848", "984645038444494848")</f>
        <v/>
      </c>
      <c r="B1580" s="2" t="n">
        <v>43203.17413194444</v>
      </c>
      <c r="C1580" t="n">
        <v>0</v>
      </c>
      <c r="D1580" t="n">
        <v>709</v>
      </c>
      <c r="E1580" t="s">
        <v>1590</v>
      </c>
      <c r="F1580">
        <f>HYPERLINK("http://pbs.twimg.com/media/Daoj_EHWsAAJrKe.jpg", "http://pbs.twimg.com/media/Daoj_EHWsAAJrKe.jpg")</f>
        <v/>
      </c>
      <c r="G1580" t="s"/>
      <c r="H1580" t="s"/>
      <c r="I1580" t="s"/>
      <c r="J1580" t="n">
        <v>0.3612</v>
      </c>
      <c r="K1580" t="n">
        <v>0</v>
      </c>
      <c r="L1580" t="n">
        <v>0.839</v>
      </c>
      <c r="M1580" t="n">
        <v>0.161</v>
      </c>
    </row>
    <row r="1581" spans="1:13">
      <c r="A1581" s="1">
        <f>HYPERLINK("http://www.twitter.com/NathanBLawrence/status/984644898295984128", "984644898295984128")</f>
        <v/>
      </c>
      <c r="B1581" s="2" t="n">
        <v>43203.17375</v>
      </c>
      <c r="C1581" t="n">
        <v>0</v>
      </c>
      <c r="D1581" t="n">
        <v>398</v>
      </c>
      <c r="E1581" t="s">
        <v>1591</v>
      </c>
      <c r="F1581" t="s"/>
      <c r="G1581" t="s"/>
      <c r="H1581" t="s"/>
      <c r="I1581" t="s"/>
      <c r="J1581" t="n">
        <v>0.7243000000000001</v>
      </c>
      <c r="K1581" t="n">
        <v>0.073</v>
      </c>
      <c r="L1581" t="n">
        <v>0.6929999999999999</v>
      </c>
      <c r="M1581" t="n">
        <v>0.233</v>
      </c>
    </row>
    <row r="1582" spans="1:13">
      <c r="A1582" s="1">
        <f>HYPERLINK("http://www.twitter.com/NathanBLawrence/status/984644800400916480", "984644800400916480")</f>
        <v/>
      </c>
      <c r="B1582" s="2" t="n">
        <v>43203.17347222222</v>
      </c>
      <c r="C1582" t="n">
        <v>0</v>
      </c>
      <c r="D1582" t="n">
        <v>887</v>
      </c>
      <c r="E1582" t="s">
        <v>1592</v>
      </c>
      <c r="F1582" t="s"/>
      <c r="G1582" t="s"/>
      <c r="H1582" t="s"/>
      <c r="I1582" t="s"/>
      <c r="J1582" t="n">
        <v>0</v>
      </c>
      <c r="K1582" t="n">
        <v>0</v>
      </c>
      <c r="L1582" t="n">
        <v>1</v>
      </c>
      <c r="M1582" t="n">
        <v>0</v>
      </c>
    </row>
    <row r="1583" spans="1:13">
      <c r="A1583" s="1">
        <f>HYPERLINK("http://www.twitter.com/NathanBLawrence/status/984644680565452800", "984644680565452800")</f>
        <v/>
      </c>
      <c r="B1583" s="2" t="n">
        <v>43203.17314814815</v>
      </c>
      <c r="C1583" t="n">
        <v>0</v>
      </c>
      <c r="D1583" t="n">
        <v>840</v>
      </c>
      <c r="E1583" t="s">
        <v>1593</v>
      </c>
      <c r="F1583" t="s"/>
      <c r="G1583" t="s"/>
      <c r="H1583" t="s"/>
      <c r="I1583" t="s"/>
      <c r="J1583" t="n">
        <v>-0.4466</v>
      </c>
      <c r="K1583" t="n">
        <v>0.14</v>
      </c>
      <c r="L1583" t="n">
        <v>0.86</v>
      </c>
      <c r="M1583" t="n">
        <v>0</v>
      </c>
    </row>
    <row r="1584" spans="1:13">
      <c r="A1584" s="1">
        <f>HYPERLINK("http://www.twitter.com/NathanBLawrence/status/984161731269214208", "984161731269214208")</f>
        <v/>
      </c>
      <c r="B1584" s="2" t="n">
        <v>43201.84046296297</v>
      </c>
      <c r="C1584" t="n">
        <v>0</v>
      </c>
      <c r="D1584" t="n">
        <v>198</v>
      </c>
      <c r="E1584" t="s">
        <v>1594</v>
      </c>
      <c r="F1584" t="s"/>
      <c r="G1584" t="s"/>
      <c r="H1584" t="s"/>
      <c r="I1584" t="s"/>
      <c r="J1584" t="n">
        <v>-0.8192</v>
      </c>
      <c r="K1584" t="n">
        <v>0.32</v>
      </c>
      <c r="L1584" t="n">
        <v>0.68</v>
      </c>
      <c r="M1584" t="n">
        <v>0</v>
      </c>
    </row>
    <row r="1585" spans="1:13">
      <c r="A1585" s="1">
        <f>HYPERLINK("http://www.twitter.com/NathanBLawrence/status/984159696478064640", "984159696478064640")</f>
        <v/>
      </c>
      <c r="B1585" s="2" t="n">
        <v>43201.83484953704</v>
      </c>
      <c r="C1585" t="n">
        <v>0</v>
      </c>
      <c r="D1585" t="n">
        <v>302</v>
      </c>
      <c r="E1585" t="s">
        <v>1595</v>
      </c>
      <c r="F1585">
        <f>HYPERLINK("http://pbs.twimg.com/media/DahJ4xvV4AAhnMz.jpg", "http://pbs.twimg.com/media/DahJ4xvV4AAhnMz.jpg")</f>
        <v/>
      </c>
      <c r="G1585" t="s"/>
      <c r="H1585" t="s"/>
      <c r="I1585" t="s"/>
      <c r="J1585" t="n">
        <v>0</v>
      </c>
      <c r="K1585" t="n">
        <v>0</v>
      </c>
      <c r="L1585" t="n">
        <v>1</v>
      </c>
      <c r="M1585" t="n">
        <v>0</v>
      </c>
    </row>
    <row r="1586" spans="1:13">
      <c r="A1586" s="1">
        <f>HYPERLINK("http://www.twitter.com/NathanBLawrence/status/984159501208117248", "984159501208117248")</f>
        <v/>
      </c>
      <c r="B1586" s="2" t="n">
        <v>43201.83430555555</v>
      </c>
      <c r="C1586" t="n">
        <v>0</v>
      </c>
      <c r="D1586" t="n">
        <v>275</v>
      </c>
      <c r="E1586" t="s">
        <v>1596</v>
      </c>
      <c r="F1586">
        <f>HYPERLINK("http://pbs.twimg.com/media/DahpH6bW0AA5HNW.jpg", "http://pbs.twimg.com/media/DahpH6bW0AA5HNW.jpg")</f>
        <v/>
      </c>
      <c r="G1586" t="s"/>
      <c r="H1586" t="s"/>
      <c r="I1586" t="s"/>
      <c r="J1586" t="n">
        <v>-0.4767</v>
      </c>
      <c r="K1586" t="n">
        <v>0.147</v>
      </c>
      <c r="L1586" t="n">
        <v>0.853</v>
      </c>
      <c r="M1586" t="n">
        <v>0</v>
      </c>
    </row>
    <row r="1587" spans="1:13">
      <c r="A1587" s="1">
        <f>HYPERLINK("http://www.twitter.com/NathanBLawrence/status/984159353673363456", "984159353673363456")</f>
        <v/>
      </c>
      <c r="B1587" s="2" t="n">
        <v>43201.83390046296</v>
      </c>
      <c r="C1587" t="n">
        <v>0</v>
      </c>
      <c r="D1587" t="n">
        <v>70</v>
      </c>
      <c r="E1587" t="s">
        <v>1597</v>
      </c>
      <c r="F1587">
        <f>HYPERLINK("http://pbs.twimg.com/media/DahsRI-WkAI84Oi.jpg", "http://pbs.twimg.com/media/DahsRI-WkAI84Oi.jpg")</f>
        <v/>
      </c>
      <c r="G1587" t="s"/>
      <c r="H1587" t="s"/>
      <c r="I1587" t="s"/>
      <c r="J1587" t="n">
        <v>0</v>
      </c>
      <c r="K1587" t="n">
        <v>0</v>
      </c>
      <c r="L1587" t="n">
        <v>1</v>
      </c>
      <c r="M1587" t="n">
        <v>0</v>
      </c>
    </row>
    <row r="1588" spans="1:13">
      <c r="A1588" s="1">
        <f>HYPERLINK("http://www.twitter.com/NathanBLawrence/status/984158884263747584", "984158884263747584")</f>
        <v/>
      </c>
      <c r="B1588" s="2" t="n">
        <v>43201.83260416667</v>
      </c>
      <c r="C1588" t="n">
        <v>0</v>
      </c>
      <c r="D1588" t="n">
        <v>92</v>
      </c>
      <c r="E1588" t="s">
        <v>1598</v>
      </c>
      <c r="F1588" t="s"/>
      <c r="G1588" t="s"/>
      <c r="H1588" t="s"/>
      <c r="I1588" t="s"/>
      <c r="J1588" t="n">
        <v>0</v>
      </c>
      <c r="K1588" t="n">
        <v>0</v>
      </c>
      <c r="L1588" t="n">
        <v>1</v>
      </c>
      <c r="M1588" t="n">
        <v>0</v>
      </c>
    </row>
    <row r="1589" spans="1:13">
      <c r="A1589" s="1">
        <f>HYPERLINK("http://www.twitter.com/NathanBLawrence/status/984158718760599553", "984158718760599553")</f>
        <v/>
      </c>
      <c r="B1589" s="2" t="n">
        <v>43201.8321412037</v>
      </c>
      <c r="C1589" t="n">
        <v>0</v>
      </c>
      <c r="D1589" t="n">
        <v>279</v>
      </c>
      <c r="E1589" t="s">
        <v>1599</v>
      </c>
      <c r="F1589">
        <f>HYPERLINK("http://pbs.twimg.com/media/DahuazcU0AAhJXS.jpg", "http://pbs.twimg.com/media/DahuazcU0AAhJXS.jpg")</f>
        <v/>
      </c>
      <c r="G1589" t="s"/>
      <c r="H1589" t="s"/>
      <c r="I1589" t="s"/>
      <c r="J1589" t="n">
        <v>0</v>
      </c>
      <c r="K1589" t="n">
        <v>0</v>
      </c>
      <c r="L1589" t="n">
        <v>1</v>
      </c>
      <c r="M1589" t="n">
        <v>0</v>
      </c>
    </row>
    <row r="1590" spans="1:13">
      <c r="A1590" s="1">
        <f>HYPERLINK("http://www.twitter.com/NathanBLawrence/status/984151191054573568", "984151191054573568")</f>
        <v/>
      </c>
      <c r="B1590" s="2" t="n">
        <v>43201.81137731481</v>
      </c>
      <c r="C1590" t="n">
        <v>0</v>
      </c>
      <c r="D1590" t="n">
        <v>218</v>
      </c>
      <c r="E1590" t="s">
        <v>1600</v>
      </c>
      <c r="F1590">
        <f>HYPERLINK("http://pbs.twimg.com/media/DahA43lWkAEuSuW.jpg", "http://pbs.twimg.com/media/DahA43lWkAEuSuW.jpg")</f>
        <v/>
      </c>
      <c r="G1590" t="s"/>
      <c r="H1590" t="s"/>
      <c r="I1590" t="s"/>
      <c r="J1590" t="n">
        <v>0</v>
      </c>
      <c r="K1590" t="n">
        <v>0</v>
      </c>
      <c r="L1590" t="n">
        <v>1</v>
      </c>
      <c r="M1590" t="n">
        <v>0</v>
      </c>
    </row>
    <row r="1591" spans="1:13">
      <c r="A1591" s="1">
        <f>HYPERLINK("http://www.twitter.com/NathanBLawrence/status/984150423891136512", "984150423891136512")</f>
        <v/>
      </c>
      <c r="B1591" s="2" t="n">
        <v>43201.80925925926</v>
      </c>
      <c r="C1591" t="n">
        <v>0</v>
      </c>
      <c r="D1591" t="n">
        <v>409</v>
      </c>
      <c r="E1591" t="s">
        <v>1601</v>
      </c>
      <c r="F1591">
        <f>HYPERLINK("http://pbs.twimg.com/media/DahOjtUU0AEfhj5.jpg", "http://pbs.twimg.com/media/DahOjtUU0AEfhj5.jpg")</f>
        <v/>
      </c>
      <c r="G1591" t="s"/>
      <c r="H1591" t="s"/>
      <c r="I1591" t="s"/>
      <c r="J1591" t="n">
        <v>0.5266999999999999</v>
      </c>
      <c r="K1591" t="n">
        <v>0</v>
      </c>
      <c r="L1591" t="n">
        <v>0.793</v>
      </c>
      <c r="M1591" t="n">
        <v>0.207</v>
      </c>
    </row>
    <row r="1592" spans="1:13">
      <c r="A1592" s="1">
        <f>HYPERLINK("http://www.twitter.com/NathanBLawrence/status/984150363195392000", "984150363195392000")</f>
        <v/>
      </c>
      <c r="B1592" s="2" t="n">
        <v>43201.80908564815</v>
      </c>
      <c r="C1592" t="n">
        <v>0</v>
      </c>
      <c r="D1592" t="n">
        <v>1503</v>
      </c>
      <c r="E1592" t="s">
        <v>1602</v>
      </c>
      <c r="F1592">
        <f>HYPERLINK("http://pbs.twimg.com/media/DahlfLNV4AAlN0v.jpg", "http://pbs.twimg.com/media/DahlfLNV4AAlN0v.jpg")</f>
        <v/>
      </c>
      <c r="G1592" t="s"/>
      <c r="H1592" t="s"/>
      <c r="I1592" t="s"/>
      <c r="J1592" t="n">
        <v>0</v>
      </c>
      <c r="K1592" t="n">
        <v>0</v>
      </c>
      <c r="L1592" t="n">
        <v>1</v>
      </c>
      <c r="M1592" t="n">
        <v>0</v>
      </c>
    </row>
    <row r="1593" spans="1:13">
      <c r="A1593" s="1">
        <f>HYPERLINK("http://www.twitter.com/NathanBLawrence/status/984147438247145472", "984147438247145472")</f>
        <v/>
      </c>
      <c r="B1593" s="2" t="n">
        <v>43201.80101851852</v>
      </c>
      <c r="C1593" t="n">
        <v>6</v>
      </c>
      <c r="D1593" t="n">
        <v>2</v>
      </c>
      <c r="E1593" t="s">
        <v>1603</v>
      </c>
      <c r="F1593" t="s"/>
      <c r="G1593" t="s"/>
      <c r="H1593" t="s"/>
      <c r="I1593" t="s"/>
      <c r="J1593" t="n">
        <v>0</v>
      </c>
      <c r="K1593" t="n">
        <v>0</v>
      </c>
      <c r="L1593" t="n">
        <v>1</v>
      </c>
      <c r="M1593" t="n">
        <v>0</v>
      </c>
    </row>
    <row r="1594" spans="1:13">
      <c r="A1594" s="1">
        <f>HYPERLINK("http://www.twitter.com/NathanBLawrence/status/984147210647449600", "984147210647449600")</f>
        <v/>
      </c>
      <c r="B1594" s="2" t="n">
        <v>43201.80039351852</v>
      </c>
      <c r="C1594" t="n">
        <v>6</v>
      </c>
      <c r="D1594" t="n">
        <v>1</v>
      </c>
      <c r="E1594" t="s">
        <v>1604</v>
      </c>
      <c r="F1594" t="s"/>
      <c r="G1594" t="s"/>
      <c r="H1594" t="s"/>
      <c r="I1594" t="s"/>
      <c r="J1594" t="n">
        <v>0</v>
      </c>
      <c r="K1594" t="n">
        <v>0</v>
      </c>
      <c r="L1594" t="n">
        <v>1</v>
      </c>
      <c r="M1594" t="n">
        <v>0</v>
      </c>
    </row>
    <row r="1595" spans="1:13">
      <c r="A1595" s="1">
        <f>HYPERLINK("http://www.twitter.com/NathanBLawrence/status/984147119043854336", "984147119043854336")</f>
        <v/>
      </c>
      <c r="B1595" s="2" t="n">
        <v>43201.80013888889</v>
      </c>
      <c r="C1595" t="n">
        <v>21</v>
      </c>
      <c r="D1595" t="n">
        <v>20</v>
      </c>
      <c r="E1595" t="s">
        <v>1605</v>
      </c>
      <c r="F1595" t="s"/>
      <c r="G1595" t="s"/>
      <c r="H1595" t="s"/>
      <c r="I1595" t="s"/>
      <c r="J1595" t="n">
        <v>-0.7783</v>
      </c>
      <c r="K1595" t="n">
        <v>0.301</v>
      </c>
      <c r="L1595" t="n">
        <v>0.603</v>
      </c>
      <c r="M1595" t="n">
        <v>0.096</v>
      </c>
    </row>
    <row r="1596" spans="1:13">
      <c r="A1596" s="1">
        <f>HYPERLINK("http://www.twitter.com/NathanBLawrence/status/984146988546441216", "984146988546441216")</f>
        <v/>
      </c>
      <c r="B1596" s="2" t="n">
        <v>43201.7997800926</v>
      </c>
      <c r="C1596" t="n">
        <v>3</v>
      </c>
      <c r="D1596" t="n">
        <v>1</v>
      </c>
      <c r="E1596" t="s">
        <v>1606</v>
      </c>
      <c r="F1596" t="s"/>
      <c r="G1596" t="s"/>
      <c r="H1596" t="s"/>
      <c r="I1596" t="s"/>
      <c r="J1596" t="n">
        <v>-0.6771</v>
      </c>
      <c r="K1596" t="n">
        <v>0.246</v>
      </c>
      <c r="L1596" t="n">
        <v>0.754</v>
      </c>
      <c r="M1596" t="n">
        <v>0</v>
      </c>
    </row>
    <row r="1597" spans="1:13">
      <c r="A1597" s="1">
        <f>HYPERLINK("http://www.twitter.com/NathanBLawrence/status/984146739279028224", "984146739279028224")</f>
        <v/>
      </c>
      <c r="B1597" s="2" t="n">
        <v>43201.79908564815</v>
      </c>
      <c r="C1597" t="n">
        <v>0</v>
      </c>
      <c r="D1597" t="n">
        <v>11847</v>
      </c>
      <c r="E1597" t="s">
        <v>1607</v>
      </c>
      <c r="F1597">
        <f>HYPERLINK("http://pbs.twimg.com/media/DZEGdRJW4AwfZeq.jpg", "http://pbs.twimg.com/media/DZEGdRJW4AwfZeq.jpg")</f>
        <v/>
      </c>
      <c r="G1597" t="s"/>
      <c r="H1597" t="s"/>
      <c r="I1597" t="s"/>
      <c r="J1597" t="n">
        <v>0</v>
      </c>
      <c r="K1597" t="n">
        <v>0</v>
      </c>
      <c r="L1597" t="n">
        <v>1</v>
      </c>
      <c r="M1597" t="n">
        <v>0</v>
      </c>
    </row>
    <row r="1598" spans="1:13">
      <c r="A1598" s="1">
        <f>HYPERLINK("http://www.twitter.com/NathanBLawrence/status/984146541681102848", "984146541681102848")</f>
        <v/>
      </c>
      <c r="B1598" s="2" t="n">
        <v>43201.79854166666</v>
      </c>
      <c r="C1598" t="n">
        <v>0</v>
      </c>
      <c r="D1598" t="n">
        <v>1808</v>
      </c>
      <c r="E1598" t="s">
        <v>1608</v>
      </c>
      <c r="F1598" t="s"/>
      <c r="G1598" t="s"/>
      <c r="H1598" t="s"/>
      <c r="I1598" t="s"/>
      <c r="J1598" t="n">
        <v>0.7717000000000001</v>
      </c>
      <c r="K1598" t="n">
        <v>0</v>
      </c>
      <c r="L1598" t="n">
        <v>0.675</v>
      </c>
      <c r="M1598" t="n">
        <v>0.325</v>
      </c>
    </row>
    <row r="1599" spans="1:13">
      <c r="A1599" s="1">
        <f>HYPERLINK("http://www.twitter.com/NathanBLawrence/status/984146386085003264", "984146386085003264")</f>
        <v/>
      </c>
      <c r="B1599" s="2" t="n">
        <v>43201.79811342592</v>
      </c>
      <c r="C1599" t="n">
        <v>0</v>
      </c>
      <c r="D1599" t="n">
        <v>4587</v>
      </c>
      <c r="E1599" t="s">
        <v>1609</v>
      </c>
      <c r="F1599">
        <f>HYPERLINK("https://video.twimg.com/amplify_video/973590495258710017/vid/1280x720/gAM6mepWKaqh72za.mp4", "https://video.twimg.com/amplify_video/973590495258710017/vid/1280x720/gAM6mepWKaqh72za.mp4")</f>
        <v/>
      </c>
      <c r="G1599" t="s"/>
      <c r="H1599" t="s"/>
      <c r="I1599" t="s"/>
      <c r="J1599" t="n">
        <v>0.2235</v>
      </c>
      <c r="K1599" t="n">
        <v>0</v>
      </c>
      <c r="L1599" t="n">
        <v>0.9</v>
      </c>
      <c r="M1599" t="n">
        <v>0.1</v>
      </c>
    </row>
    <row r="1600" spans="1:13">
      <c r="A1600" s="1">
        <f>HYPERLINK("http://www.twitter.com/NathanBLawrence/status/984146198637436928", "984146198637436928")</f>
        <v/>
      </c>
      <c r="B1600" s="2" t="n">
        <v>43201.79759259259</v>
      </c>
      <c r="C1600" t="n">
        <v>0</v>
      </c>
      <c r="D1600" t="n">
        <v>287</v>
      </c>
      <c r="E1600" t="s">
        <v>1610</v>
      </c>
      <c r="F1600">
        <f>HYPERLINK("http://pbs.twimg.com/media/DacjgXcVAAAYBxh.jpg", "http://pbs.twimg.com/media/DacjgXcVAAAYBxh.jpg")</f>
        <v/>
      </c>
      <c r="G1600" t="s"/>
      <c r="H1600" t="s"/>
      <c r="I1600" t="s"/>
      <c r="J1600" t="n">
        <v>0.8478</v>
      </c>
      <c r="K1600" t="n">
        <v>0</v>
      </c>
      <c r="L1600" t="n">
        <v>0.594</v>
      </c>
      <c r="M1600" t="n">
        <v>0.406</v>
      </c>
    </row>
    <row r="1601" spans="1:13">
      <c r="A1601" s="1">
        <f>HYPERLINK("http://www.twitter.com/NathanBLawrence/status/984146099521777665", "984146099521777665")</f>
        <v/>
      </c>
      <c r="B1601" s="2" t="n">
        <v>43201.79732638889</v>
      </c>
      <c r="C1601" t="n">
        <v>0</v>
      </c>
      <c r="D1601" t="n">
        <v>382</v>
      </c>
      <c r="E1601" t="s">
        <v>1611</v>
      </c>
      <c r="F1601">
        <f>HYPERLINK("http://pbs.twimg.com/media/Dahe-K4VQAAG7TZ.jpg", "http://pbs.twimg.com/media/Dahe-K4VQAAG7TZ.jpg")</f>
        <v/>
      </c>
      <c r="G1601" t="s"/>
      <c r="H1601" t="s"/>
      <c r="I1601" t="s"/>
      <c r="J1601" t="n">
        <v>-0.2732</v>
      </c>
      <c r="K1601" t="n">
        <v>0.091</v>
      </c>
      <c r="L1601" t="n">
        <v>0.909</v>
      </c>
      <c r="M1601" t="n">
        <v>0</v>
      </c>
    </row>
    <row r="1602" spans="1:13">
      <c r="A1602" s="1">
        <f>HYPERLINK("http://www.twitter.com/NathanBLawrence/status/984145779865481216", "984145779865481216")</f>
        <v/>
      </c>
      <c r="B1602" s="2" t="n">
        <v>43201.79644675926</v>
      </c>
      <c r="C1602" t="n">
        <v>0</v>
      </c>
      <c r="D1602" t="n">
        <v>867</v>
      </c>
      <c r="E1602" t="s">
        <v>1612</v>
      </c>
      <c r="F1602">
        <f>HYPERLINK("https://video.twimg.com/ext_tw_video/984143437782855681/pu/vid/640x360/yNyenXppPMqTCu2b.mp4?tag=2", "https://video.twimg.com/ext_tw_video/984143437782855681/pu/vid/640x360/yNyenXppPMqTCu2b.mp4?tag=2")</f>
        <v/>
      </c>
      <c r="G1602" t="s"/>
      <c r="H1602" t="s"/>
      <c r="I1602" t="s"/>
      <c r="J1602" t="n">
        <v>-0.5859</v>
      </c>
      <c r="K1602" t="n">
        <v>0.174</v>
      </c>
      <c r="L1602" t="n">
        <v>0.826</v>
      </c>
      <c r="M1602" t="n">
        <v>0</v>
      </c>
    </row>
    <row r="1603" spans="1:13">
      <c r="A1603" s="1">
        <f>HYPERLINK("http://www.twitter.com/NathanBLawrence/status/984145734214664192", "984145734214664192")</f>
        <v/>
      </c>
      <c r="B1603" s="2" t="n">
        <v>43201.79631944445</v>
      </c>
      <c r="C1603" t="n">
        <v>0</v>
      </c>
      <c r="D1603" t="n">
        <v>32</v>
      </c>
      <c r="E1603" t="s">
        <v>1613</v>
      </c>
      <c r="F1603" t="s"/>
      <c r="G1603" t="s"/>
      <c r="H1603" t="s"/>
      <c r="I1603" t="s"/>
      <c r="J1603" t="n">
        <v>0</v>
      </c>
      <c r="K1603" t="n">
        <v>0</v>
      </c>
      <c r="L1603" t="n">
        <v>1</v>
      </c>
      <c r="M1603" t="n">
        <v>0</v>
      </c>
    </row>
    <row r="1604" spans="1:13">
      <c r="A1604" s="1">
        <f>HYPERLINK("http://www.twitter.com/NathanBLawrence/status/983973491266355201", "983973491266355201")</f>
        <v/>
      </c>
      <c r="B1604" s="2" t="n">
        <v>43201.32101851852</v>
      </c>
      <c r="C1604" t="n">
        <v>0</v>
      </c>
      <c r="D1604" t="n">
        <v>22182</v>
      </c>
      <c r="E1604" t="s">
        <v>1614</v>
      </c>
      <c r="F1604" t="s"/>
      <c r="G1604" t="s"/>
      <c r="H1604" t="s"/>
      <c r="I1604" t="s"/>
      <c r="J1604" t="n">
        <v>0.8122</v>
      </c>
      <c r="K1604" t="n">
        <v>0</v>
      </c>
      <c r="L1604" t="n">
        <v>0.709</v>
      </c>
      <c r="M1604" t="n">
        <v>0.291</v>
      </c>
    </row>
    <row r="1605" spans="1:13">
      <c r="A1605" s="1">
        <f>HYPERLINK("http://www.twitter.com/NathanBLawrence/status/983973308537307136", "983973308537307136")</f>
        <v/>
      </c>
      <c r="B1605" s="2" t="n">
        <v>43201.32050925926</v>
      </c>
      <c r="C1605" t="n">
        <v>0</v>
      </c>
      <c r="D1605" t="n">
        <v>485</v>
      </c>
      <c r="E1605" t="s">
        <v>1615</v>
      </c>
      <c r="F1605" t="s"/>
      <c r="G1605" t="s"/>
      <c r="H1605" t="s"/>
      <c r="I1605" t="s"/>
      <c r="J1605" t="n">
        <v>0.7717000000000001</v>
      </c>
      <c r="K1605" t="n">
        <v>0</v>
      </c>
      <c r="L1605" t="n">
        <v>0.66</v>
      </c>
      <c r="M1605" t="n">
        <v>0.34</v>
      </c>
    </row>
    <row r="1606" spans="1:13">
      <c r="A1606" s="1">
        <f>HYPERLINK("http://www.twitter.com/NathanBLawrence/status/983973232490332160", "983973232490332160")</f>
        <v/>
      </c>
      <c r="B1606" s="2" t="n">
        <v>43201.32030092592</v>
      </c>
      <c r="C1606" t="n">
        <v>0</v>
      </c>
      <c r="D1606" t="n">
        <v>304</v>
      </c>
      <c r="E1606" t="s">
        <v>1616</v>
      </c>
      <c r="F1606" t="s"/>
      <c r="G1606" t="s"/>
      <c r="H1606" t="s"/>
      <c r="I1606" t="s"/>
      <c r="J1606" t="n">
        <v>0.1511</v>
      </c>
      <c r="K1606" t="n">
        <v>0.08799999999999999</v>
      </c>
      <c r="L1606" t="n">
        <v>0.803</v>
      </c>
      <c r="M1606" t="n">
        <v>0.109</v>
      </c>
    </row>
    <row r="1607" spans="1:13">
      <c r="A1607" s="1">
        <f>HYPERLINK("http://www.twitter.com/NathanBLawrence/status/983973079729623040", "983973079729623040")</f>
        <v/>
      </c>
      <c r="B1607" s="2" t="n">
        <v>43201.31988425926</v>
      </c>
      <c r="C1607" t="n">
        <v>0</v>
      </c>
      <c r="D1607" t="n">
        <v>15157</v>
      </c>
      <c r="E1607" t="s">
        <v>1617</v>
      </c>
      <c r="F1607">
        <f>HYPERLINK("http://pbs.twimg.com/media/Dabey_WVwAEBTB4.jpg", "http://pbs.twimg.com/media/Dabey_WVwAEBTB4.jpg")</f>
        <v/>
      </c>
      <c r="G1607" t="s"/>
      <c r="H1607" t="s"/>
      <c r="I1607" t="s"/>
      <c r="J1607" t="n">
        <v>0</v>
      </c>
      <c r="K1607" t="n">
        <v>0</v>
      </c>
      <c r="L1607" t="n">
        <v>1</v>
      </c>
      <c r="M1607" t="n">
        <v>0</v>
      </c>
    </row>
    <row r="1608" spans="1:13">
      <c r="A1608" s="1">
        <f>HYPERLINK("http://www.twitter.com/NathanBLawrence/status/983972861290295296", "983972861290295296")</f>
        <v/>
      </c>
      <c r="B1608" s="2" t="n">
        <v>43201.31928240741</v>
      </c>
      <c r="C1608" t="n">
        <v>0</v>
      </c>
      <c r="D1608" t="n">
        <v>20</v>
      </c>
      <c r="E1608" t="s">
        <v>1618</v>
      </c>
      <c r="F1608">
        <f>HYPERLINK("https://video.twimg.com/ext_tw_video/983793282051342338/pu/vid/1280x720/LawTJLRrhbe31Tpa.mp4?tag=2", "https://video.twimg.com/ext_tw_video/983793282051342338/pu/vid/1280x720/LawTJLRrhbe31Tpa.mp4?tag=2")</f>
        <v/>
      </c>
      <c r="G1608" t="s"/>
      <c r="H1608" t="s"/>
      <c r="I1608" t="s"/>
      <c r="J1608" t="n">
        <v>0.4019</v>
      </c>
      <c r="K1608" t="n">
        <v>0</v>
      </c>
      <c r="L1608" t="n">
        <v>0.876</v>
      </c>
      <c r="M1608" t="n">
        <v>0.124</v>
      </c>
    </row>
    <row r="1609" spans="1:13">
      <c r="A1609" s="1">
        <f>HYPERLINK("http://www.twitter.com/NathanBLawrence/status/983812598314356746", "983812598314356746")</f>
        <v/>
      </c>
      <c r="B1609" s="2" t="n">
        <v>43200.87703703704</v>
      </c>
      <c r="C1609" t="n">
        <v>0</v>
      </c>
      <c r="D1609" t="n">
        <v>129</v>
      </c>
      <c r="E1609" t="s">
        <v>1619</v>
      </c>
      <c r="F1609">
        <f>HYPERLINK("https://video.twimg.com/ext_tw_video/983796746932359170/pu/vid/1280x720/smxHwW0oI8FaA9qE.mp4?tag=2", "https://video.twimg.com/ext_tw_video/983796746932359170/pu/vid/1280x720/smxHwW0oI8FaA9qE.mp4?tag=2")</f>
        <v/>
      </c>
      <c r="G1609" t="s"/>
      <c r="H1609" t="s"/>
      <c r="I1609" t="s"/>
      <c r="J1609" t="n">
        <v>-0.3597</v>
      </c>
      <c r="K1609" t="n">
        <v>0.122</v>
      </c>
      <c r="L1609" t="n">
        <v>0.878</v>
      </c>
      <c r="M1609" t="n">
        <v>0</v>
      </c>
    </row>
    <row r="1610" spans="1:13">
      <c r="A1610" s="1">
        <f>HYPERLINK("http://www.twitter.com/NathanBLawrence/status/983811956799778821", "983811956799778821")</f>
        <v/>
      </c>
      <c r="B1610" s="2" t="n">
        <v>43200.8752662037</v>
      </c>
      <c r="C1610" t="n">
        <v>0</v>
      </c>
      <c r="D1610" t="n">
        <v>69</v>
      </c>
      <c r="E1610" t="s">
        <v>1620</v>
      </c>
      <c r="F1610">
        <f>HYPERLINK("http://pbs.twimg.com/media/Dacxl7DWsAA_ktF.jpg", "http://pbs.twimg.com/media/Dacxl7DWsAA_ktF.jpg")</f>
        <v/>
      </c>
      <c r="G1610" t="s"/>
      <c r="H1610" t="s"/>
      <c r="I1610" t="s"/>
      <c r="J1610" t="n">
        <v>0.7184</v>
      </c>
      <c r="K1610" t="n">
        <v>0</v>
      </c>
      <c r="L1610" t="n">
        <v>0.8</v>
      </c>
      <c r="M1610" t="n">
        <v>0.2</v>
      </c>
    </row>
    <row r="1611" spans="1:13">
      <c r="A1611" s="1">
        <f>HYPERLINK("http://www.twitter.com/NathanBLawrence/status/983811284847157248", "983811284847157248")</f>
        <v/>
      </c>
      <c r="B1611" s="2" t="n">
        <v>43200.87341435185</v>
      </c>
      <c r="C1611" t="n">
        <v>0</v>
      </c>
      <c r="D1611" t="n">
        <v>746</v>
      </c>
      <c r="E1611" t="s">
        <v>1621</v>
      </c>
      <c r="F1611">
        <f>HYPERLINK("http://pbs.twimg.com/media/DacS-TPX0AcVZa7.jpg", "http://pbs.twimg.com/media/DacS-TPX0AcVZa7.jpg")</f>
        <v/>
      </c>
      <c r="G1611" t="s"/>
      <c r="H1611" t="s"/>
      <c r="I1611" t="s"/>
      <c r="J1611" t="n">
        <v>0</v>
      </c>
      <c r="K1611" t="n">
        <v>0</v>
      </c>
      <c r="L1611" t="n">
        <v>1</v>
      </c>
      <c r="M1611" t="n">
        <v>0</v>
      </c>
    </row>
    <row r="1612" spans="1:13">
      <c r="A1612" s="1">
        <f>HYPERLINK("http://www.twitter.com/NathanBLawrence/status/983811131423649794", "983811131423649794")</f>
        <v/>
      </c>
      <c r="B1612" s="2" t="n">
        <v>43200.87298611111</v>
      </c>
      <c r="C1612" t="n">
        <v>0</v>
      </c>
      <c r="D1612" t="n">
        <v>1374</v>
      </c>
      <c r="E1612" t="s">
        <v>1622</v>
      </c>
      <c r="F1612">
        <f>HYPERLINK("https://video.twimg.com/amplify_video/983764718497050624/vid/1280x720/t_nHyt3enjahkXF-.mp4?tag=2", "https://video.twimg.com/amplify_video/983764718497050624/vid/1280x720/t_nHyt3enjahkXF-.mp4?tag=2")</f>
        <v/>
      </c>
      <c r="G1612" t="s"/>
      <c r="H1612" t="s"/>
      <c r="I1612" t="s"/>
      <c r="J1612" t="n">
        <v>0.34</v>
      </c>
      <c r="K1612" t="n">
        <v>0</v>
      </c>
      <c r="L1612" t="n">
        <v>0.897</v>
      </c>
      <c r="M1612" t="n">
        <v>0.103</v>
      </c>
    </row>
    <row r="1613" spans="1:13">
      <c r="A1613" s="1">
        <f>HYPERLINK("http://www.twitter.com/NathanBLawrence/status/983810897196892160", "983810897196892160")</f>
        <v/>
      </c>
      <c r="B1613" s="2" t="n">
        <v>43200.87233796297</v>
      </c>
      <c r="C1613" t="n">
        <v>0</v>
      </c>
      <c r="D1613" t="n">
        <v>35</v>
      </c>
      <c r="E1613" t="s">
        <v>1623</v>
      </c>
      <c r="F1613" t="s"/>
      <c r="G1613" t="s"/>
      <c r="H1613" t="s"/>
      <c r="I1613" t="s"/>
      <c r="J1613" t="n">
        <v>0</v>
      </c>
      <c r="K1613" t="n">
        <v>0</v>
      </c>
      <c r="L1613" t="n">
        <v>1</v>
      </c>
      <c r="M1613" t="n">
        <v>0</v>
      </c>
    </row>
    <row r="1614" spans="1:13">
      <c r="A1614" s="1">
        <f>HYPERLINK("http://www.twitter.com/NathanBLawrence/status/983764458014064640", "983764458014064640")</f>
        <v/>
      </c>
      <c r="B1614" s="2" t="n">
        <v>43200.74418981482</v>
      </c>
      <c r="C1614" t="n">
        <v>0</v>
      </c>
      <c r="D1614" t="n">
        <v>75</v>
      </c>
      <c r="E1614" t="s">
        <v>1624</v>
      </c>
      <c r="F1614">
        <f>HYPERLINK("http://pbs.twimg.com/media/DabrmGeWAAEsH6c.jpg", "http://pbs.twimg.com/media/DabrmGeWAAEsH6c.jpg")</f>
        <v/>
      </c>
      <c r="G1614" t="s"/>
      <c r="H1614" t="s"/>
      <c r="I1614" t="s"/>
      <c r="J1614" t="n">
        <v>-0.802</v>
      </c>
      <c r="K1614" t="n">
        <v>0.339</v>
      </c>
      <c r="L1614" t="n">
        <v>0.661</v>
      </c>
      <c r="M1614" t="n">
        <v>0</v>
      </c>
    </row>
    <row r="1615" spans="1:13">
      <c r="A1615" s="1">
        <f>HYPERLINK("http://www.twitter.com/NathanBLawrence/status/983761077111435264", "983761077111435264")</f>
        <v/>
      </c>
      <c r="B1615" s="2" t="n">
        <v>43200.73486111111</v>
      </c>
      <c r="C1615" t="n">
        <v>0</v>
      </c>
      <c r="D1615" t="n">
        <v>708</v>
      </c>
      <c r="E1615" t="s">
        <v>1625</v>
      </c>
      <c r="F1615">
        <f>HYPERLINK("http://pbs.twimg.com/media/Dabu9kaWkAEmiIs.jpg", "http://pbs.twimg.com/media/Dabu9kaWkAEmiIs.jpg")</f>
        <v/>
      </c>
      <c r="G1615" t="s"/>
      <c r="H1615" t="s"/>
      <c r="I1615" t="s"/>
      <c r="J1615" t="n">
        <v>0</v>
      </c>
      <c r="K1615" t="n">
        <v>0</v>
      </c>
      <c r="L1615" t="n">
        <v>1</v>
      </c>
      <c r="M1615" t="n">
        <v>0</v>
      </c>
    </row>
    <row r="1616" spans="1:13">
      <c r="A1616" s="1">
        <f>HYPERLINK("http://www.twitter.com/NathanBLawrence/status/983760856495226881", "983760856495226881")</f>
        <v/>
      </c>
      <c r="B1616" s="2" t="n">
        <v>43200.73425925926</v>
      </c>
      <c r="C1616" t="n">
        <v>23</v>
      </c>
      <c r="D1616" t="n">
        <v>12</v>
      </c>
      <c r="E1616" t="s">
        <v>1626</v>
      </c>
      <c r="F1616" t="s"/>
      <c r="G1616" t="s"/>
      <c r="H1616" t="s"/>
      <c r="I1616" t="s"/>
      <c r="J1616" t="n">
        <v>0</v>
      </c>
      <c r="K1616" t="n">
        <v>0</v>
      </c>
      <c r="L1616" t="n">
        <v>1</v>
      </c>
      <c r="M1616" t="n">
        <v>0</v>
      </c>
    </row>
    <row r="1617" spans="1:13">
      <c r="A1617" s="1">
        <f>HYPERLINK("http://www.twitter.com/NathanBLawrence/status/983760140980506624", "983760140980506624")</f>
        <v/>
      </c>
      <c r="B1617" s="2" t="n">
        <v>43200.73228009259</v>
      </c>
      <c r="C1617" t="n">
        <v>0</v>
      </c>
      <c r="D1617" t="n">
        <v>840</v>
      </c>
      <c r="E1617" t="s">
        <v>1627</v>
      </c>
      <c r="F1617">
        <f>HYPERLINK("http://pbs.twimg.com/media/DabGpMbWsAA5Lt4.jpg", "http://pbs.twimg.com/media/DabGpMbWsAA5Lt4.jpg")</f>
        <v/>
      </c>
      <c r="G1617" t="s"/>
      <c r="H1617" t="s"/>
      <c r="I1617" t="s"/>
      <c r="J1617" t="n">
        <v>0</v>
      </c>
      <c r="K1617" t="n">
        <v>0</v>
      </c>
      <c r="L1617" t="n">
        <v>1</v>
      </c>
      <c r="M1617" t="n">
        <v>0</v>
      </c>
    </row>
    <row r="1618" spans="1:13">
      <c r="A1618" s="1">
        <f>HYPERLINK("http://www.twitter.com/NathanBLawrence/status/983605653275983872", "983605653275983872")</f>
        <v/>
      </c>
      <c r="B1618" s="2" t="n">
        <v>43200.30597222222</v>
      </c>
      <c r="C1618" t="n">
        <v>1</v>
      </c>
      <c r="D1618" t="n">
        <v>0</v>
      </c>
      <c r="E1618" t="s">
        <v>1628</v>
      </c>
      <c r="F1618" t="s"/>
      <c r="G1618" t="s"/>
      <c r="H1618" t="s"/>
      <c r="I1618" t="s"/>
      <c r="J1618" t="n">
        <v>0.4703</v>
      </c>
      <c r="K1618" t="n">
        <v>0</v>
      </c>
      <c r="L1618" t="n">
        <v>0.797</v>
      </c>
      <c r="M1618" t="n">
        <v>0.203</v>
      </c>
    </row>
    <row r="1619" spans="1:13">
      <c r="A1619" s="1">
        <f>HYPERLINK("http://www.twitter.com/NathanBLawrence/status/983604016016863232", "983604016016863232")</f>
        <v/>
      </c>
      <c r="B1619" s="2" t="n">
        <v>43200.30145833334</v>
      </c>
      <c r="C1619" t="n">
        <v>0</v>
      </c>
      <c r="D1619" t="n">
        <v>2149</v>
      </c>
      <c r="E1619" t="s">
        <v>1629</v>
      </c>
      <c r="F1619">
        <f>HYPERLINK("http://pbs.twimg.com/media/DaZR8YIU8AAf6TY.jpg", "http://pbs.twimg.com/media/DaZR8YIU8AAf6TY.jpg")</f>
        <v/>
      </c>
      <c r="G1619" t="s"/>
      <c r="H1619" t="s"/>
      <c r="I1619" t="s"/>
      <c r="J1619" t="n">
        <v>0</v>
      </c>
      <c r="K1619" t="n">
        <v>0</v>
      </c>
      <c r="L1619" t="n">
        <v>1</v>
      </c>
      <c r="M1619" t="n">
        <v>0</v>
      </c>
    </row>
    <row r="1620" spans="1:13">
      <c r="A1620" s="1">
        <f>HYPERLINK("http://www.twitter.com/NathanBLawrence/status/983603856004149248", "983603856004149248")</f>
        <v/>
      </c>
      <c r="B1620" s="2" t="n">
        <v>43200.30101851852</v>
      </c>
      <c r="C1620" t="n">
        <v>0</v>
      </c>
      <c r="D1620" t="n">
        <v>1006</v>
      </c>
      <c r="E1620" t="s">
        <v>1630</v>
      </c>
      <c r="F1620">
        <f>HYPERLINK("http://pbs.twimg.com/media/DaYHzAQWAAEcykR.jpg", "http://pbs.twimg.com/media/DaYHzAQWAAEcykR.jpg")</f>
        <v/>
      </c>
      <c r="G1620" t="s"/>
      <c r="H1620" t="s"/>
      <c r="I1620" t="s"/>
      <c r="J1620" t="n">
        <v>0</v>
      </c>
      <c r="K1620" t="n">
        <v>0</v>
      </c>
      <c r="L1620" t="n">
        <v>1</v>
      </c>
      <c r="M1620" t="n">
        <v>0</v>
      </c>
    </row>
    <row r="1621" spans="1:13">
      <c r="A1621" s="1">
        <f>HYPERLINK("http://www.twitter.com/NathanBLawrence/status/983603689460920320", "983603689460920320")</f>
        <v/>
      </c>
      <c r="B1621" s="2" t="n">
        <v>43200.30055555556</v>
      </c>
      <c r="C1621" t="n">
        <v>1</v>
      </c>
      <c r="D1621" t="n">
        <v>2</v>
      </c>
      <c r="E1621" t="s">
        <v>1631</v>
      </c>
      <c r="F1621" t="s"/>
      <c r="G1621" t="s"/>
      <c r="H1621" t="s"/>
      <c r="I1621" t="s"/>
      <c r="J1621" t="n">
        <v>0</v>
      </c>
      <c r="K1621" t="n">
        <v>0</v>
      </c>
      <c r="L1621" t="n">
        <v>1</v>
      </c>
      <c r="M1621" t="n">
        <v>0</v>
      </c>
    </row>
    <row r="1622" spans="1:13">
      <c r="A1622" s="1">
        <f>HYPERLINK("http://www.twitter.com/NathanBLawrence/status/983603497764470785", "983603497764470785")</f>
        <v/>
      </c>
      <c r="B1622" s="2" t="n">
        <v>43200.30002314815</v>
      </c>
      <c r="C1622" t="n">
        <v>7</v>
      </c>
      <c r="D1622" t="n">
        <v>2</v>
      </c>
      <c r="E1622" t="s">
        <v>1632</v>
      </c>
      <c r="F1622" t="s"/>
      <c r="G1622" t="s"/>
      <c r="H1622" t="s"/>
      <c r="I1622" t="s"/>
      <c r="J1622" t="n">
        <v>-0.7003</v>
      </c>
      <c r="K1622" t="n">
        <v>0.385</v>
      </c>
      <c r="L1622" t="n">
        <v>0.485</v>
      </c>
      <c r="M1622" t="n">
        <v>0.129</v>
      </c>
    </row>
    <row r="1623" spans="1:13">
      <c r="A1623" s="1">
        <f>HYPERLINK("http://www.twitter.com/NathanBLawrence/status/983602987871318016", "983602987871318016")</f>
        <v/>
      </c>
      <c r="B1623" s="2" t="n">
        <v>43200.29862268519</v>
      </c>
      <c r="C1623" t="n">
        <v>0</v>
      </c>
      <c r="D1623" t="n">
        <v>1</v>
      </c>
      <c r="E1623" t="s">
        <v>1633</v>
      </c>
      <c r="F1623">
        <f>HYPERLINK("http://pbs.twimg.com/media/DaWqZ9wUQAAuwFW.jpg", "http://pbs.twimg.com/media/DaWqZ9wUQAAuwFW.jpg")</f>
        <v/>
      </c>
      <c r="G1623" t="s"/>
      <c r="H1623" t="s"/>
      <c r="I1623" t="s"/>
      <c r="J1623" t="n">
        <v>0</v>
      </c>
      <c r="K1623" t="n">
        <v>0</v>
      </c>
      <c r="L1623" t="n">
        <v>1</v>
      </c>
      <c r="M1623" t="n">
        <v>0</v>
      </c>
    </row>
    <row r="1624" spans="1:13">
      <c r="A1624" s="1">
        <f>HYPERLINK("http://www.twitter.com/NathanBLawrence/status/983602478091390976", "983602478091390976")</f>
        <v/>
      </c>
      <c r="B1624" s="2" t="n">
        <v>43200.29721064815</v>
      </c>
      <c r="C1624" t="n">
        <v>3</v>
      </c>
      <c r="D1624" t="n">
        <v>2</v>
      </c>
      <c r="E1624" t="s">
        <v>1634</v>
      </c>
      <c r="F1624" t="s"/>
      <c r="G1624" t="s"/>
      <c r="H1624" t="s"/>
      <c r="I1624" t="s"/>
      <c r="J1624" t="n">
        <v>0</v>
      </c>
      <c r="K1624" t="n">
        <v>0</v>
      </c>
      <c r="L1624" t="n">
        <v>1</v>
      </c>
      <c r="M1624" t="n">
        <v>0</v>
      </c>
    </row>
    <row r="1625" spans="1:13">
      <c r="A1625" s="1">
        <f>HYPERLINK("http://www.twitter.com/NathanBLawrence/status/983602410886127616", "983602410886127616")</f>
        <v/>
      </c>
      <c r="B1625" s="2" t="n">
        <v>43200.29702546296</v>
      </c>
      <c r="C1625" t="n">
        <v>0</v>
      </c>
      <c r="D1625" t="n">
        <v>1878</v>
      </c>
      <c r="E1625" t="s">
        <v>1635</v>
      </c>
      <c r="F1625">
        <f>HYPERLINK("https://video.twimg.com/ext_tw_video/952654858909245440/pu/vid/1280x720/Y1RuvMOnpD37GhpV.mp4", "https://video.twimg.com/ext_tw_video/952654858909245440/pu/vid/1280x720/Y1RuvMOnpD37GhpV.mp4")</f>
        <v/>
      </c>
      <c r="G1625" t="s"/>
      <c r="H1625" t="s"/>
      <c r="I1625" t="s"/>
      <c r="J1625" t="n">
        <v>0.6124000000000001</v>
      </c>
      <c r="K1625" t="n">
        <v>0</v>
      </c>
      <c r="L1625" t="n">
        <v>0.737</v>
      </c>
      <c r="M1625" t="n">
        <v>0.263</v>
      </c>
    </row>
    <row r="1626" spans="1:13">
      <c r="A1626" s="1">
        <f>HYPERLINK("http://www.twitter.com/NathanBLawrence/status/983602292468342784", "983602292468342784")</f>
        <v/>
      </c>
      <c r="B1626" s="2" t="n">
        <v>43200.29670138889</v>
      </c>
      <c r="C1626" t="n">
        <v>0</v>
      </c>
      <c r="D1626" t="n">
        <v>906</v>
      </c>
      <c r="E1626" t="s">
        <v>1636</v>
      </c>
      <c r="F1626">
        <f>HYPERLINK("http://pbs.twimg.com/media/DaOvajPXkAAPRBB.jpg", "http://pbs.twimg.com/media/DaOvajPXkAAPRBB.jpg")</f>
        <v/>
      </c>
      <c r="G1626" t="s"/>
      <c r="H1626" t="s"/>
      <c r="I1626" t="s"/>
      <c r="J1626" t="n">
        <v>-0.6369</v>
      </c>
      <c r="K1626" t="n">
        <v>0.248</v>
      </c>
      <c r="L1626" t="n">
        <v>0.669</v>
      </c>
      <c r="M1626" t="n">
        <v>0.083</v>
      </c>
    </row>
    <row r="1627" spans="1:13">
      <c r="A1627" s="1">
        <f>HYPERLINK("http://www.twitter.com/NathanBLawrence/status/983601333386100737", "983601333386100737")</f>
        <v/>
      </c>
      <c r="B1627" s="2" t="n">
        <v>43200.29405092593</v>
      </c>
      <c r="C1627" t="n">
        <v>0</v>
      </c>
      <c r="D1627" t="n">
        <v>4321</v>
      </c>
      <c r="E1627" t="s">
        <v>1637</v>
      </c>
      <c r="F1627">
        <f>HYPERLINK("http://pbs.twimg.com/media/DaYdxUsW4AIIeTG.jpg", "http://pbs.twimg.com/media/DaYdxUsW4AIIeTG.jpg")</f>
        <v/>
      </c>
      <c r="G1627" t="s"/>
      <c r="H1627" t="s"/>
      <c r="I1627" t="s"/>
      <c r="J1627" t="n">
        <v>0.1779</v>
      </c>
      <c r="K1627" t="n">
        <v>0.183</v>
      </c>
      <c r="L1627" t="n">
        <v>0.609</v>
      </c>
      <c r="M1627" t="n">
        <v>0.208</v>
      </c>
    </row>
    <row r="1628" spans="1:13">
      <c r="A1628" s="1">
        <f>HYPERLINK("http://www.twitter.com/NathanBLawrence/status/983601236149547008", "983601236149547008")</f>
        <v/>
      </c>
      <c r="B1628" s="2" t="n">
        <v>43200.29378472222</v>
      </c>
      <c r="C1628" t="n">
        <v>0</v>
      </c>
      <c r="D1628" t="n">
        <v>19</v>
      </c>
      <c r="E1628" t="s">
        <v>1638</v>
      </c>
      <c r="F1628">
        <f>HYPERLINK("https://video.twimg.com/amplify_video/983477821568897025/vid/1280x720/AZ1s7FuOaAxspOdy.mp4?tag=2", "https://video.twimg.com/amplify_video/983477821568897025/vid/1280x720/AZ1s7FuOaAxspOdy.mp4?tag=2")</f>
        <v/>
      </c>
      <c r="G1628" t="s"/>
      <c r="H1628" t="s"/>
      <c r="I1628" t="s"/>
      <c r="J1628" t="n">
        <v>-0.0173</v>
      </c>
      <c r="K1628" t="n">
        <v>0.137</v>
      </c>
      <c r="L1628" t="n">
        <v>0.728</v>
      </c>
      <c r="M1628" t="n">
        <v>0.135</v>
      </c>
    </row>
    <row r="1629" spans="1:13">
      <c r="A1629" s="1">
        <f>HYPERLINK("http://www.twitter.com/NathanBLawrence/status/983601048672616448", "983601048672616448")</f>
        <v/>
      </c>
      <c r="B1629" s="2" t="n">
        <v>43200.29327546297</v>
      </c>
      <c r="C1629" t="n">
        <v>0</v>
      </c>
      <c r="D1629" t="n">
        <v>888</v>
      </c>
      <c r="E1629" t="s">
        <v>1639</v>
      </c>
      <c r="F1629">
        <f>HYPERLINK("http://pbs.twimg.com/media/DaYz_PMVQAAyC9b.jpg", "http://pbs.twimg.com/media/DaYz_PMVQAAyC9b.jpg")</f>
        <v/>
      </c>
      <c r="G1629" t="s"/>
      <c r="H1629" t="s"/>
      <c r="I1629" t="s"/>
      <c r="J1629" t="n">
        <v>-0.3182</v>
      </c>
      <c r="K1629" t="n">
        <v>0.173</v>
      </c>
      <c r="L1629" t="n">
        <v>0.827</v>
      </c>
      <c r="M1629" t="n">
        <v>0</v>
      </c>
    </row>
    <row r="1630" spans="1:13">
      <c r="A1630" s="1">
        <f>HYPERLINK("http://www.twitter.com/NathanBLawrence/status/983594671711576065", "983594671711576065")</f>
        <v/>
      </c>
      <c r="B1630" s="2" t="n">
        <v>43200.27567129629</v>
      </c>
      <c r="C1630" t="n">
        <v>4</v>
      </c>
      <c r="D1630" t="n">
        <v>5</v>
      </c>
      <c r="E1630" t="s">
        <v>1640</v>
      </c>
      <c r="F1630" t="s"/>
      <c r="G1630" t="s"/>
      <c r="H1630" t="s"/>
      <c r="I1630" t="s"/>
      <c r="J1630" t="n">
        <v>0.296</v>
      </c>
      <c r="K1630" t="n">
        <v>0</v>
      </c>
      <c r="L1630" t="n">
        <v>0.885</v>
      </c>
      <c r="M1630" t="n">
        <v>0.115</v>
      </c>
    </row>
    <row r="1631" spans="1:13">
      <c r="A1631" s="1">
        <f>HYPERLINK("http://www.twitter.com/NathanBLawrence/status/983583412928860160", "983583412928860160")</f>
        <v/>
      </c>
      <c r="B1631" s="2" t="n">
        <v>43200.24460648148</v>
      </c>
      <c r="C1631" t="n">
        <v>0</v>
      </c>
      <c r="D1631" t="n">
        <v>0</v>
      </c>
      <c r="E1631" t="s">
        <v>1641</v>
      </c>
      <c r="F1631" t="s"/>
      <c r="G1631" t="s"/>
      <c r="H1631" t="s"/>
      <c r="I1631" t="s"/>
      <c r="J1631" t="n">
        <v>0</v>
      </c>
      <c r="K1631" t="n">
        <v>0</v>
      </c>
      <c r="L1631" t="n">
        <v>1</v>
      </c>
      <c r="M1631" t="n">
        <v>0</v>
      </c>
    </row>
    <row r="1632" spans="1:13">
      <c r="A1632" s="1">
        <f>HYPERLINK("http://www.twitter.com/NathanBLawrence/status/983582598055256064", "983582598055256064")</f>
        <v/>
      </c>
      <c r="B1632" s="2" t="n">
        <v>43200.24236111111</v>
      </c>
      <c r="C1632" t="n">
        <v>2</v>
      </c>
      <c r="D1632" t="n">
        <v>0</v>
      </c>
      <c r="E1632" t="s">
        <v>1642</v>
      </c>
      <c r="F1632" t="s"/>
      <c r="G1632" t="s"/>
      <c r="H1632" t="s"/>
      <c r="I1632" t="s"/>
      <c r="J1632" t="n">
        <v>0</v>
      </c>
      <c r="K1632" t="n">
        <v>0</v>
      </c>
      <c r="L1632" t="n">
        <v>1</v>
      </c>
      <c r="M1632" t="n">
        <v>0</v>
      </c>
    </row>
    <row r="1633" spans="1:13">
      <c r="A1633" s="1">
        <f>HYPERLINK("http://www.twitter.com/NathanBLawrence/status/983564026146832386", "983564026146832386")</f>
        <v/>
      </c>
      <c r="B1633" s="2" t="n">
        <v>43200.19111111111</v>
      </c>
      <c r="C1633" t="n">
        <v>0</v>
      </c>
      <c r="D1633" t="n">
        <v>8</v>
      </c>
      <c r="E1633" t="s">
        <v>1643</v>
      </c>
      <c r="F1633">
        <f>HYPERLINK("http://pbs.twimg.com/media/DaZQ8KwU0AAWGYm.jpg", "http://pbs.twimg.com/media/DaZQ8KwU0AAWGYm.jpg")</f>
        <v/>
      </c>
      <c r="G1633" t="s"/>
      <c r="H1633" t="s"/>
      <c r="I1633" t="s"/>
      <c r="J1633" t="n">
        <v>0</v>
      </c>
      <c r="K1633" t="n">
        <v>0</v>
      </c>
      <c r="L1633" t="n">
        <v>1</v>
      </c>
      <c r="M1633" t="n">
        <v>0</v>
      </c>
    </row>
    <row r="1634" spans="1:13">
      <c r="A1634" s="1">
        <f>HYPERLINK("http://www.twitter.com/NathanBLawrence/status/983563505159647232", "983563505159647232")</f>
        <v/>
      </c>
      <c r="B1634" s="2" t="n">
        <v>43200.18967592593</v>
      </c>
      <c r="C1634" t="n">
        <v>0</v>
      </c>
      <c r="D1634" t="n">
        <v>1</v>
      </c>
      <c r="E1634" t="s">
        <v>1644</v>
      </c>
      <c r="F1634" t="s"/>
      <c r="G1634" t="s"/>
      <c r="H1634" t="s"/>
      <c r="I1634" t="s"/>
      <c r="J1634" t="n">
        <v>0.6705</v>
      </c>
      <c r="K1634" t="n">
        <v>0</v>
      </c>
      <c r="L1634" t="n">
        <v>0.764</v>
      </c>
      <c r="M1634" t="n">
        <v>0.236</v>
      </c>
    </row>
    <row r="1635" spans="1:13">
      <c r="A1635" s="1">
        <f>HYPERLINK("http://www.twitter.com/NathanBLawrence/status/983563172366790657", "983563172366790657")</f>
        <v/>
      </c>
      <c r="B1635" s="2" t="n">
        <v>43200.18875</v>
      </c>
      <c r="C1635" t="n">
        <v>0</v>
      </c>
      <c r="D1635" t="n">
        <v>1746</v>
      </c>
      <c r="E1635" t="s">
        <v>1645</v>
      </c>
      <c r="F1635" t="s"/>
      <c r="G1635" t="s"/>
      <c r="H1635" t="s"/>
      <c r="I1635" t="s"/>
      <c r="J1635" t="n">
        <v>0</v>
      </c>
      <c r="K1635" t="n">
        <v>0</v>
      </c>
      <c r="L1635" t="n">
        <v>1</v>
      </c>
      <c r="M1635" t="n">
        <v>0</v>
      </c>
    </row>
    <row r="1636" spans="1:13">
      <c r="A1636" s="1">
        <f>HYPERLINK("http://www.twitter.com/NathanBLawrence/status/983563038744764416", "983563038744764416")</f>
        <v/>
      </c>
      <c r="B1636" s="2" t="n">
        <v>43200.18837962963</v>
      </c>
      <c r="C1636" t="n">
        <v>0</v>
      </c>
      <c r="D1636" t="n">
        <v>3633</v>
      </c>
      <c r="E1636" t="s">
        <v>1646</v>
      </c>
      <c r="F1636" t="s"/>
      <c r="G1636" t="s"/>
      <c r="H1636" t="s"/>
      <c r="I1636" t="s"/>
      <c r="J1636" t="n">
        <v>-0.6705</v>
      </c>
      <c r="K1636" t="n">
        <v>0.22</v>
      </c>
      <c r="L1636" t="n">
        <v>0.78</v>
      </c>
      <c r="M1636" t="n">
        <v>0</v>
      </c>
    </row>
    <row r="1637" spans="1:13">
      <c r="A1637" s="1">
        <f>HYPERLINK("http://www.twitter.com/NathanBLawrence/status/983562403706167296", "983562403706167296")</f>
        <v/>
      </c>
      <c r="B1637" s="2" t="n">
        <v>43200.18663194445</v>
      </c>
      <c r="C1637" t="n">
        <v>0</v>
      </c>
      <c r="D1637" t="n">
        <v>134</v>
      </c>
      <c r="E1637" t="s">
        <v>1647</v>
      </c>
      <c r="F1637" t="s"/>
      <c r="G1637" t="s"/>
      <c r="H1637" t="s"/>
      <c r="I1637" t="s"/>
      <c r="J1637" t="n">
        <v>-0.3612</v>
      </c>
      <c r="K1637" t="n">
        <v>0.122</v>
      </c>
      <c r="L1637" t="n">
        <v>0.878</v>
      </c>
      <c r="M1637" t="n">
        <v>0</v>
      </c>
    </row>
    <row r="1638" spans="1:13">
      <c r="A1638" s="1">
        <f>HYPERLINK("http://www.twitter.com/NathanBLawrence/status/983562124285771776", "983562124285771776")</f>
        <v/>
      </c>
      <c r="B1638" s="2" t="n">
        <v>43200.18585648148</v>
      </c>
      <c r="C1638" t="n">
        <v>0</v>
      </c>
      <c r="D1638" t="n">
        <v>1613</v>
      </c>
      <c r="E1638" t="s">
        <v>1648</v>
      </c>
      <c r="F1638" t="s"/>
      <c r="G1638" t="s"/>
      <c r="H1638" t="s"/>
      <c r="I1638" t="s"/>
      <c r="J1638" t="n">
        <v>-0.7371</v>
      </c>
      <c r="K1638" t="n">
        <v>0.237</v>
      </c>
      <c r="L1638" t="n">
        <v>0.763</v>
      </c>
      <c r="M1638" t="n">
        <v>0</v>
      </c>
    </row>
    <row r="1639" spans="1:13">
      <c r="A1639" s="1">
        <f>HYPERLINK("http://www.twitter.com/NathanBLawrence/status/983561581391855617", "983561581391855617")</f>
        <v/>
      </c>
      <c r="B1639" s="2" t="n">
        <v>43200.18436342593</v>
      </c>
      <c r="C1639" t="n">
        <v>0</v>
      </c>
      <c r="D1639" t="n">
        <v>37</v>
      </c>
      <c r="E1639" t="s">
        <v>1649</v>
      </c>
      <c r="F1639">
        <f>HYPERLINK("http://pbs.twimg.com/media/DaX_k8vVMAAUNG2.jpg", "http://pbs.twimg.com/media/DaX_k8vVMAAUNG2.jpg")</f>
        <v/>
      </c>
      <c r="G1639" t="s"/>
      <c r="H1639" t="s"/>
      <c r="I1639" t="s"/>
      <c r="J1639" t="n">
        <v>0</v>
      </c>
      <c r="K1639" t="n">
        <v>0</v>
      </c>
      <c r="L1639" t="n">
        <v>1</v>
      </c>
      <c r="M1639" t="n">
        <v>0</v>
      </c>
    </row>
    <row r="1640" spans="1:13">
      <c r="A1640" s="1">
        <f>HYPERLINK("http://www.twitter.com/NathanBLawrence/status/983474474711330817", "983474474711330817")</f>
        <v/>
      </c>
      <c r="B1640" s="2" t="n">
        <v>43199.94399305555</v>
      </c>
      <c r="C1640" t="n">
        <v>0</v>
      </c>
      <c r="D1640" t="n">
        <v>738</v>
      </c>
      <c r="E1640" t="s">
        <v>1650</v>
      </c>
      <c r="F1640" t="s"/>
      <c r="G1640" t="s"/>
      <c r="H1640" t="s"/>
      <c r="I1640" t="s"/>
      <c r="J1640" t="n">
        <v>-0.6506</v>
      </c>
      <c r="K1640" t="n">
        <v>0.213</v>
      </c>
      <c r="L1640" t="n">
        <v>0.787</v>
      </c>
      <c r="M1640" t="n">
        <v>0</v>
      </c>
    </row>
    <row r="1641" spans="1:13">
      <c r="A1641" s="1">
        <f>HYPERLINK("http://www.twitter.com/NathanBLawrence/status/983474385473257472", "983474385473257472")</f>
        <v/>
      </c>
      <c r="B1641" s="2" t="n">
        <v>43199.94375</v>
      </c>
      <c r="C1641" t="n">
        <v>0</v>
      </c>
      <c r="D1641" t="n">
        <v>271</v>
      </c>
      <c r="E1641" t="s">
        <v>1651</v>
      </c>
      <c r="F1641" t="s"/>
      <c r="G1641" t="s"/>
      <c r="H1641" t="s"/>
      <c r="I1641" t="s"/>
      <c r="J1641" t="n">
        <v>-0.144</v>
      </c>
      <c r="K1641" t="n">
        <v>0.14</v>
      </c>
      <c r="L1641" t="n">
        <v>0.702</v>
      </c>
      <c r="M1641" t="n">
        <v>0.157</v>
      </c>
    </row>
    <row r="1642" spans="1:13">
      <c r="A1642" s="1">
        <f>HYPERLINK("http://www.twitter.com/NathanBLawrence/status/983474114164764672", "983474114164764672")</f>
        <v/>
      </c>
      <c r="B1642" s="2" t="n">
        <v>43199.94299768518</v>
      </c>
      <c r="C1642" t="n">
        <v>0</v>
      </c>
      <c r="D1642" t="n">
        <v>2</v>
      </c>
      <c r="E1642" t="s">
        <v>1652</v>
      </c>
      <c r="F1642" t="s"/>
      <c r="G1642" t="s"/>
      <c r="H1642" t="s"/>
      <c r="I1642" t="s"/>
      <c r="J1642" t="n">
        <v>0</v>
      </c>
      <c r="K1642" t="n">
        <v>0</v>
      </c>
      <c r="L1642" t="n">
        <v>1</v>
      </c>
      <c r="M1642" t="n">
        <v>0</v>
      </c>
    </row>
    <row r="1643" spans="1:13">
      <c r="A1643" s="1">
        <f>HYPERLINK("http://www.twitter.com/NathanBLawrence/status/983474072465031170", "983474072465031170")</f>
        <v/>
      </c>
      <c r="B1643" s="2" t="n">
        <v>43199.94288194444</v>
      </c>
      <c r="C1643" t="n">
        <v>0</v>
      </c>
      <c r="D1643" t="n">
        <v>12194</v>
      </c>
      <c r="E1643" t="s">
        <v>1653</v>
      </c>
      <c r="F1643" t="s"/>
      <c r="G1643" t="s"/>
      <c r="H1643" t="s"/>
      <c r="I1643" t="s"/>
      <c r="J1643" t="n">
        <v>0.3818</v>
      </c>
      <c r="K1643" t="n">
        <v>0</v>
      </c>
      <c r="L1643" t="n">
        <v>0.89</v>
      </c>
      <c r="M1643" t="n">
        <v>0.11</v>
      </c>
    </row>
    <row r="1644" spans="1:13">
      <c r="A1644" s="1">
        <f>HYPERLINK("http://www.twitter.com/NathanBLawrence/status/983473796181995520", "983473796181995520")</f>
        <v/>
      </c>
      <c r="B1644" s="2" t="n">
        <v>43199.94211805556</v>
      </c>
      <c r="C1644" t="n">
        <v>0</v>
      </c>
      <c r="D1644" t="n">
        <v>50</v>
      </c>
      <c r="E1644" t="s">
        <v>1654</v>
      </c>
      <c r="F1644" t="s"/>
      <c r="G1644" t="s"/>
      <c r="H1644" t="s"/>
      <c r="I1644" t="s"/>
      <c r="J1644" t="n">
        <v>0</v>
      </c>
      <c r="K1644" t="n">
        <v>0</v>
      </c>
      <c r="L1644" t="n">
        <v>1</v>
      </c>
      <c r="M1644" t="n">
        <v>0</v>
      </c>
    </row>
    <row r="1645" spans="1:13">
      <c r="A1645" s="1">
        <f>HYPERLINK("http://www.twitter.com/NathanBLawrence/status/983473640367796224", "983473640367796224")</f>
        <v/>
      </c>
      <c r="B1645" s="2" t="n">
        <v>43199.94168981481</v>
      </c>
      <c r="C1645" t="n">
        <v>0</v>
      </c>
      <c r="D1645" t="n">
        <v>197</v>
      </c>
      <c r="E1645" t="s">
        <v>1655</v>
      </c>
      <c r="F1645" t="s"/>
      <c r="G1645" t="s"/>
      <c r="H1645" t="s"/>
      <c r="I1645" t="s"/>
      <c r="J1645" t="n">
        <v>-0.1984</v>
      </c>
      <c r="K1645" t="n">
        <v>0.175</v>
      </c>
      <c r="L1645" t="n">
        <v>0.713</v>
      </c>
      <c r="M1645" t="n">
        <v>0.112</v>
      </c>
    </row>
    <row r="1646" spans="1:13">
      <c r="A1646" s="1">
        <f>HYPERLINK("http://www.twitter.com/NathanBLawrence/status/983473060710727680", "983473060710727680")</f>
        <v/>
      </c>
      <c r="B1646" s="2" t="n">
        <v>43199.94009259259</v>
      </c>
      <c r="C1646" t="n">
        <v>0</v>
      </c>
      <c r="D1646" t="n">
        <v>3</v>
      </c>
      <c r="E1646" t="s">
        <v>1656</v>
      </c>
      <c r="F1646">
        <f>HYPERLINK("http://pbs.twimg.com/media/DaS14jOUQAAPaJg.jpg", "http://pbs.twimg.com/media/DaS14jOUQAAPaJg.jpg")</f>
        <v/>
      </c>
      <c r="G1646" t="s"/>
      <c r="H1646" t="s"/>
      <c r="I1646" t="s"/>
      <c r="J1646" t="n">
        <v>-0.3182</v>
      </c>
      <c r="K1646" t="n">
        <v>0.159</v>
      </c>
      <c r="L1646" t="n">
        <v>0.735</v>
      </c>
      <c r="M1646" t="n">
        <v>0.106</v>
      </c>
    </row>
    <row r="1647" spans="1:13">
      <c r="A1647" s="1">
        <f>HYPERLINK("http://www.twitter.com/NathanBLawrence/status/983470983813120001", "983470983813120001")</f>
        <v/>
      </c>
      <c r="B1647" s="2" t="n">
        <v>43199.93436342593</v>
      </c>
      <c r="C1647" t="n">
        <v>0</v>
      </c>
      <c r="D1647" t="n">
        <v>11064</v>
      </c>
      <c r="E1647" t="s">
        <v>1657</v>
      </c>
      <c r="F1647" t="s"/>
      <c r="G1647" t="s"/>
      <c r="H1647" t="s"/>
      <c r="I1647" t="s"/>
      <c r="J1647" t="n">
        <v>-0.0516</v>
      </c>
      <c r="K1647" t="n">
        <v>0.165</v>
      </c>
      <c r="L1647" t="n">
        <v>0.677</v>
      </c>
      <c r="M1647" t="n">
        <v>0.158</v>
      </c>
    </row>
    <row r="1648" spans="1:13">
      <c r="A1648" s="1">
        <f>HYPERLINK("http://www.twitter.com/NathanBLawrence/status/983421033506947072", "983421033506947072")</f>
        <v/>
      </c>
      <c r="B1648" s="2" t="n">
        <v>43199.79652777778</v>
      </c>
      <c r="C1648" t="n">
        <v>2</v>
      </c>
      <c r="D1648" t="n">
        <v>0</v>
      </c>
      <c r="E1648" t="s">
        <v>1658</v>
      </c>
      <c r="F1648" t="s"/>
      <c r="G1648" t="s"/>
      <c r="H1648" t="s"/>
      <c r="I1648" t="s"/>
      <c r="J1648" t="n">
        <v>0.6209</v>
      </c>
      <c r="K1648" t="n">
        <v>0</v>
      </c>
      <c r="L1648" t="n">
        <v>0.906</v>
      </c>
      <c r="M1648" t="n">
        <v>0.094</v>
      </c>
    </row>
    <row r="1649" spans="1:13">
      <c r="A1649" s="1">
        <f>HYPERLINK("http://www.twitter.com/NathanBLawrence/status/983419472181477376", "983419472181477376")</f>
        <v/>
      </c>
      <c r="B1649" s="2" t="n">
        <v>43199.79221064815</v>
      </c>
      <c r="C1649" t="n">
        <v>0</v>
      </c>
      <c r="D1649" t="n">
        <v>105</v>
      </c>
      <c r="E1649" t="s">
        <v>1659</v>
      </c>
      <c r="F1649">
        <f>HYPERLINK("http://pbs.twimg.com/media/DaWu_5NW4AAP6sZ.jpg", "http://pbs.twimg.com/media/DaWu_5NW4AAP6sZ.jpg")</f>
        <v/>
      </c>
      <c r="G1649" t="s"/>
      <c r="H1649" t="s"/>
      <c r="I1649" t="s"/>
      <c r="J1649" t="n">
        <v>0</v>
      </c>
      <c r="K1649" t="n">
        <v>0</v>
      </c>
      <c r="L1649" t="n">
        <v>1</v>
      </c>
      <c r="M1649" t="n">
        <v>0</v>
      </c>
    </row>
    <row r="1650" spans="1:13">
      <c r="A1650" s="1">
        <f>HYPERLINK("http://www.twitter.com/NathanBLawrence/status/983418062572404736", "983418062572404736")</f>
        <v/>
      </c>
      <c r="B1650" s="2" t="n">
        <v>43199.78832175926</v>
      </c>
      <c r="C1650" t="n">
        <v>0</v>
      </c>
      <c r="D1650" t="n">
        <v>4</v>
      </c>
      <c r="E1650" t="s">
        <v>1660</v>
      </c>
      <c r="F1650">
        <f>HYPERLINK("http://pbs.twimg.com/media/DaXFvesW4AIA-IB.jpg", "http://pbs.twimg.com/media/DaXFvesW4AIA-IB.jpg")</f>
        <v/>
      </c>
      <c r="G1650" t="s"/>
      <c r="H1650" t="s"/>
      <c r="I1650" t="s"/>
      <c r="J1650" t="n">
        <v>0</v>
      </c>
      <c r="K1650" t="n">
        <v>0</v>
      </c>
      <c r="L1650" t="n">
        <v>1</v>
      </c>
      <c r="M1650" t="n">
        <v>0</v>
      </c>
    </row>
    <row r="1651" spans="1:13">
      <c r="A1651" s="1">
        <f>HYPERLINK("http://www.twitter.com/NathanBLawrence/status/983417909031518208", "983417909031518208")</f>
        <v/>
      </c>
      <c r="B1651" s="2" t="n">
        <v>43199.78790509259</v>
      </c>
      <c r="C1651" t="n">
        <v>0</v>
      </c>
      <c r="D1651" t="n">
        <v>325</v>
      </c>
      <c r="E1651" t="s">
        <v>1661</v>
      </c>
      <c r="F1651">
        <f>HYPERLINK("http://pbs.twimg.com/media/DaT3Gr8VMAEdYaG.jpg", "http://pbs.twimg.com/media/DaT3Gr8VMAEdYaG.jpg")</f>
        <v/>
      </c>
      <c r="G1651" t="s"/>
      <c r="H1651" t="s"/>
      <c r="I1651" t="s"/>
      <c r="J1651" t="n">
        <v>0</v>
      </c>
      <c r="K1651" t="n">
        <v>0</v>
      </c>
      <c r="L1651" t="n">
        <v>1</v>
      </c>
      <c r="M1651" t="n">
        <v>0</v>
      </c>
    </row>
    <row r="1652" spans="1:13">
      <c r="A1652" s="1">
        <f>HYPERLINK("http://www.twitter.com/NathanBLawrence/status/983417736305913857", "983417736305913857")</f>
        <v/>
      </c>
      <c r="B1652" s="2" t="n">
        <v>43199.78743055555</v>
      </c>
      <c r="C1652" t="n">
        <v>0</v>
      </c>
      <c r="D1652" t="n">
        <v>7515</v>
      </c>
      <c r="E1652" t="s">
        <v>1662</v>
      </c>
      <c r="F1652" t="s"/>
      <c r="G1652" t="s"/>
      <c r="H1652" t="s"/>
      <c r="I1652" t="s"/>
      <c r="J1652" t="n">
        <v>-0.6361</v>
      </c>
      <c r="K1652" t="n">
        <v>0.206</v>
      </c>
      <c r="L1652" t="n">
        <v>0.794</v>
      </c>
      <c r="M1652" t="n">
        <v>0</v>
      </c>
    </row>
    <row r="1653" spans="1:13">
      <c r="A1653" s="1">
        <f>HYPERLINK("http://www.twitter.com/NathanBLawrence/status/983417662054195200", "983417662054195200")</f>
        <v/>
      </c>
      <c r="B1653" s="2" t="n">
        <v>43199.78722222222</v>
      </c>
      <c r="C1653" t="n">
        <v>0</v>
      </c>
      <c r="D1653" t="n">
        <v>2615</v>
      </c>
      <c r="E1653" t="s">
        <v>1663</v>
      </c>
      <c r="F1653" t="s"/>
      <c r="G1653" t="s"/>
      <c r="H1653" t="s"/>
      <c r="I1653" t="s"/>
      <c r="J1653" t="n">
        <v>0.0601</v>
      </c>
      <c r="K1653" t="n">
        <v>0.169</v>
      </c>
      <c r="L1653" t="n">
        <v>0.653</v>
      </c>
      <c r="M1653" t="n">
        <v>0.178</v>
      </c>
    </row>
    <row r="1654" spans="1:13">
      <c r="A1654" s="1">
        <f>HYPERLINK("http://www.twitter.com/NathanBLawrence/status/983417574489636864", "983417574489636864")</f>
        <v/>
      </c>
      <c r="B1654" s="2" t="n">
        <v>43199.78697916667</v>
      </c>
      <c r="C1654" t="n">
        <v>0</v>
      </c>
      <c r="D1654" t="n">
        <v>13</v>
      </c>
      <c r="E1654" t="s">
        <v>1664</v>
      </c>
      <c r="F1654">
        <f>HYPERLINK("http://pbs.twimg.com/media/DaWF0s2U0AAeSIH.jpg", "http://pbs.twimg.com/media/DaWF0s2U0AAeSIH.jpg")</f>
        <v/>
      </c>
      <c r="G1654" t="s"/>
      <c r="H1654" t="s"/>
      <c r="I1654" t="s"/>
      <c r="J1654" t="n">
        <v>0</v>
      </c>
      <c r="K1654" t="n">
        <v>0</v>
      </c>
      <c r="L1654" t="n">
        <v>1</v>
      </c>
      <c r="M1654" t="n">
        <v>0</v>
      </c>
    </row>
    <row r="1655" spans="1:13">
      <c r="A1655" s="1">
        <f>HYPERLINK("http://www.twitter.com/NathanBLawrence/status/983417445925830657", "983417445925830657")</f>
        <v/>
      </c>
      <c r="B1655" s="2" t="n">
        <v>43199.78662037037</v>
      </c>
      <c r="C1655" t="n">
        <v>0</v>
      </c>
      <c r="D1655" t="n">
        <v>85</v>
      </c>
      <c r="E1655" t="s">
        <v>1665</v>
      </c>
      <c r="F1655">
        <f>HYPERLINK("http://pbs.twimg.com/media/DaXMzy5VQAAw9I_.jpg", "http://pbs.twimg.com/media/DaXMzy5VQAAw9I_.jpg")</f>
        <v/>
      </c>
      <c r="G1655" t="s"/>
      <c r="H1655" t="s"/>
      <c r="I1655" t="s"/>
      <c r="J1655" t="n">
        <v>0</v>
      </c>
      <c r="K1655" t="n">
        <v>0</v>
      </c>
      <c r="L1655" t="n">
        <v>1</v>
      </c>
      <c r="M1655" t="n">
        <v>0</v>
      </c>
    </row>
    <row r="1656" spans="1:13">
      <c r="A1656" s="1">
        <f>HYPERLINK("http://www.twitter.com/NathanBLawrence/status/983417372508749825", "983417372508749825")</f>
        <v/>
      </c>
      <c r="B1656" s="2" t="n">
        <v>43199.78642361111</v>
      </c>
      <c r="C1656" t="n">
        <v>0</v>
      </c>
      <c r="D1656" t="n">
        <v>586</v>
      </c>
      <c r="E1656" t="s">
        <v>1666</v>
      </c>
      <c r="F1656">
        <f>HYPERLINK("http://pbs.twimg.com/media/DaWl_aJU8AASFqi.jpg", "http://pbs.twimg.com/media/DaWl_aJU8AASFqi.jpg")</f>
        <v/>
      </c>
      <c r="G1656">
        <f>HYPERLINK("http://pbs.twimg.com/media/DaWl_Z2VQAA94Hf.jpg", "http://pbs.twimg.com/media/DaWl_Z2VQAA94Hf.jpg")</f>
        <v/>
      </c>
      <c r="H1656" t="s"/>
      <c r="I1656" t="s"/>
      <c r="J1656" t="n">
        <v>0</v>
      </c>
      <c r="K1656" t="n">
        <v>0</v>
      </c>
      <c r="L1656" t="n">
        <v>1</v>
      </c>
      <c r="M1656" t="n">
        <v>0</v>
      </c>
    </row>
    <row r="1657" spans="1:13">
      <c r="A1657" s="1">
        <f>HYPERLINK("http://www.twitter.com/NathanBLawrence/status/983417152613924869", "983417152613924869")</f>
        <v/>
      </c>
      <c r="B1657" s="2" t="n">
        <v>43199.78581018518</v>
      </c>
      <c r="C1657" t="n">
        <v>0</v>
      </c>
      <c r="D1657" t="n">
        <v>958</v>
      </c>
      <c r="E1657" t="s">
        <v>1667</v>
      </c>
      <c r="F1657">
        <f>HYPERLINK("http://pbs.twimg.com/media/DaXIemaVwAA-Fyz.jpg", "http://pbs.twimg.com/media/DaXIemaVwAA-Fyz.jpg")</f>
        <v/>
      </c>
      <c r="G1657" t="s"/>
      <c r="H1657" t="s"/>
      <c r="I1657" t="s"/>
      <c r="J1657" t="n">
        <v>0.4404</v>
      </c>
      <c r="K1657" t="n">
        <v>0</v>
      </c>
      <c r="L1657" t="n">
        <v>0.888</v>
      </c>
      <c r="M1657" t="n">
        <v>0.112</v>
      </c>
    </row>
    <row r="1658" spans="1:13">
      <c r="A1658" s="1">
        <f>HYPERLINK("http://www.twitter.com/NathanBLawrence/status/983417052340760576", "983417052340760576")</f>
        <v/>
      </c>
      <c r="B1658" s="2" t="n">
        <v>43199.7855324074</v>
      </c>
      <c r="C1658" t="n">
        <v>0</v>
      </c>
      <c r="D1658" t="n">
        <v>10</v>
      </c>
      <c r="E1658" t="s">
        <v>1668</v>
      </c>
      <c r="F1658" t="s"/>
      <c r="G1658" t="s"/>
      <c r="H1658" t="s"/>
      <c r="I1658" t="s"/>
      <c r="J1658" t="n">
        <v>-0.3818</v>
      </c>
      <c r="K1658" t="n">
        <v>0.117</v>
      </c>
      <c r="L1658" t="n">
        <v>0.827</v>
      </c>
      <c r="M1658" t="n">
        <v>0.056</v>
      </c>
    </row>
    <row r="1659" spans="1:13">
      <c r="A1659" s="1">
        <f>HYPERLINK("http://www.twitter.com/NathanBLawrence/status/983416979741491201", "983416979741491201")</f>
        <v/>
      </c>
      <c r="B1659" s="2" t="n">
        <v>43199.78533564815</v>
      </c>
      <c r="C1659" t="n">
        <v>0</v>
      </c>
      <c r="D1659" t="n">
        <v>410</v>
      </c>
      <c r="E1659" t="s">
        <v>1669</v>
      </c>
      <c r="F1659" t="s"/>
      <c r="G1659" t="s"/>
      <c r="H1659" t="s"/>
      <c r="I1659" t="s"/>
      <c r="J1659" t="n">
        <v>0.4019</v>
      </c>
      <c r="K1659" t="n">
        <v>0</v>
      </c>
      <c r="L1659" t="n">
        <v>0.6899999999999999</v>
      </c>
      <c r="M1659" t="n">
        <v>0.31</v>
      </c>
    </row>
    <row r="1660" spans="1:13">
      <c r="A1660" s="1">
        <f>HYPERLINK("http://www.twitter.com/NathanBLawrence/status/983416819414257664", "983416819414257664")</f>
        <v/>
      </c>
      <c r="B1660" s="2" t="n">
        <v>43199.78489583333</v>
      </c>
      <c r="C1660" t="n">
        <v>0</v>
      </c>
      <c r="D1660" t="n">
        <v>6</v>
      </c>
      <c r="E1660" t="s">
        <v>1670</v>
      </c>
      <c r="F1660">
        <f>HYPERLINK("http://pbs.twimg.com/media/DaXKmU1W0AE7QaQ.jpg", "http://pbs.twimg.com/media/DaXKmU1W0AE7QaQ.jpg")</f>
        <v/>
      </c>
      <c r="G1660" t="s"/>
      <c r="H1660" t="s"/>
      <c r="I1660" t="s"/>
      <c r="J1660" t="n">
        <v>0</v>
      </c>
      <c r="K1660" t="n">
        <v>0</v>
      </c>
      <c r="L1660" t="n">
        <v>1</v>
      </c>
      <c r="M1660" t="n">
        <v>0</v>
      </c>
    </row>
    <row r="1661" spans="1:13">
      <c r="A1661" s="1">
        <f>HYPERLINK("http://www.twitter.com/NathanBLawrence/status/983416445680861184", "983416445680861184")</f>
        <v/>
      </c>
      <c r="B1661" s="2" t="n">
        <v>43199.78386574074</v>
      </c>
      <c r="C1661" t="n">
        <v>0</v>
      </c>
      <c r="D1661" t="n">
        <v>22</v>
      </c>
      <c r="E1661" t="s">
        <v>1671</v>
      </c>
      <c r="F1661">
        <f>HYPERLINK("http://pbs.twimg.com/media/DaXLb7kU8AAAls_.jpg", "http://pbs.twimg.com/media/DaXLb7kU8AAAls_.jpg")</f>
        <v/>
      </c>
      <c r="G1661" t="s"/>
      <c r="H1661" t="s"/>
      <c r="I1661" t="s"/>
      <c r="J1661" t="n">
        <v>0.4404</v>
      </c>
      <c r="K1661" t="n">
        <v>0</v>
      </c>
      <c r="L1661" t="n">
        <v>0.805</v>
      </c>
      <c r="M1661" t="n">
        <v>0.195</v>
      </c>
    </row>
    <row r="1662" spans="1:13">
      <c r="A1662" s="1">
        <f>HYPERLINK("http://www.twitter.com/NathanBLawrence/status/983416333327941632", "983416333327941632")</f>
        <v/>
      </c>
      <c r="B1662" s="2" t="n">
        <v>43199.78355324074</v>
      </c>
      <c r="C1662" t="n">
        <v>0</v>
      </c>
      <c r="D1662" t="n">
        <v>413</v>
      </c>
      <c r="E1662" t="s">
        <v>1672</v>
      </c>
      <c r="F1662" t="s"/>
      <c r="G1662" t="s"/>
      <c r="H1662" t="s"/>
      <c r="I1662" t="s"/>
      <c r="J1662" t="n">
        <v>-0.4939</v>
      </c>
      <c r="K1662" t="n">
        <v>0.29</v>
      </c>
      <c r="L1662" t="n">
        <v>0.591</v>
      </c>
      <c r="M1662" t="n">
        <v>0.118</v>
      </c>
    </row>
    <row r="1663" spans="1:13">
      <c r="A1663" s="1">
        <f>HYPERLINK("http://www.twitter.com/NathanBLawrence/status/983413379640377344", "983413379640377344")</f>
        <v/>
      </c>
      <c r="B1663" s="2" t="n">
        <v>43199.77540509259</v>
      </c>
      <c r="C1663" t="n">
        <v>0</v>
      </c>
      <c r="D1663" t="n">
        <v>260</v>
      </c>
      <c r="E1663" t="s">
        <v>1673</v>
      </c>
      <c r="F1663">
        <f>HYPERLINK("http://pbs.twimg.com/media/DaWh-IOUMAAlX85.jpg", "http://pbs.twimg.com/media/DaWh-IOUMAAlX85.jpg")</f>
        <v/>
      </c>
      <c r="G1663" t="s"/>
      <c r="H1663" t="s"/>
      <c r="I1663" t="s"/>
      <c r="J1663" t="n">
        <v>0.6239</v>
      </c>
      <c r="K1663" t="n">
        <v>0</v>
      </c>
      <c r="L1663" t="n">
        <v>0.859</v>
      </c>
      <c r="M1663" t="n">
        <v>0.141</v>
      </c>
    </row>
    <row r="1664" spans="1:13">
      <c r="A1664" s="1">
        <f>HYPERLINK("http://www.twitter.com/NathanBLawrence/status/983413332752285696", "983413332752285696")</f>
        <v/>
      </c>
      <c r="B1664" s="2" t="n">
        <v>43199.77527777778</v>
      </c>
      <c r="C1664" t="n">
        <v>0</v>
      </c>
      <c r="D1664" t="n">
        <v>1590</v>
      </c>
      <c r="E1664" t="s">
        <v>1674</v>
      </c>
      <c r="F1664">
        <f>HYPERLINK("http://pbs.twimg.com/media/DaWHuT1VAAAQet4.jpg", "http://pbs.twimg.com/media/DaWHuT1VAAAQet4.jpg")</f>
        <v/>
      </c>
      <c r="G1664">
        <f>HYPERLINK("http://pbs.twimg.com/media/DaWHuT1U8AAEr2k.jpg", "http://pbs.twimg.com/media/DaWHuT1U8AAEr2k.jpg")</f>
        <v/>
      </c>
      <c r="H1664">
        <f>HYPERLINK("http://pbs.twimg.com/media/DaWHuT3VMAA-zt4.jpg", "http://pbs.twimg.com/media/DaWHuT3VMAA-zt4.jpg")</f>
        <v/>
      </c>
      <c r="I1664" t="s"/>
      <c r="J1664" t="n">
        <v>-0.68</v>
      </c>
      <c r="K1664" t="n">
        <v>0.209</v>
      </c>
      <c r="L1664" t="n">
        <v>0.745</v>
      </c>
      <c r="M1664" t="n">
        <v>0.046</v>
      </c>
    </row>
    <row r="1665" spans="1:13">
      <c r="A1665" s="1">
        <f>HYPERLINK("http://www.twitter.com/NathanBLawrence/status/983413272832458752", "983413272832458752")</f>
        <v/>
      </c>
      <c r="B1665" s="2" t="n">
        <v>43199.77510416666</v>
      </c>
      <c r="C1665" t="n">
        <v>0</v>
      </c>
      <c r="D1665" t="n">
        <v>1045</v>
      </c>
      <c r="E1665" t="s">
        <v>1675</v>
      </c>
      <c r="F1665">
        <f>HYPERLINK("https://video.twimg.com/amplify_video/983077944468934657/vid/1280x720/KspgOFrN9Kotcy9V.mp4?tag=2", "https://video.twimg.com/amplify_video/983077944468934657/vid/1280x720/KspgOFrN9Kotcy9V.mp4?tag=2")</f>
        <v/>
      </c>
      <c r="G1665" t="s"/>
      <c r="H1665" t="s"/>
      <c r="I1665" t="s"/>
      <c r="J1665" t="n">
        <v>0.3612</v>
      </c>
      <c r="K1665" t="n">
        <v>0</v>
      </c>
      <c r="L1665" t="n">
        <v>0.878</v>
      </c>
      <c r="M1665" t="n">
        <v>0.122</v>
      </c>
    </row>
    <row r="1666" spans="1:13">
      <c r="A1666" s="1">
        <f>HYPERLINK("http://www.twitter.com/NathanBLawrence/status/983413188069810177", "983413188069810177")</f>
        <v/>
      </c>
      <c r="B1666" s="2" t="n">
        <v>43199.77487268519</v>
      </c>
      <c r="C1666" t="n">
        <v>15</v>
      </c>
      <c r="D1666" t="n">
        <v>10</v>
      </c>
      <c r="E1666" t="s">
        <v>1676</v>
      </c>
      <c r="F1666" t="s"/>
      <c r="G1666" t="s"/>
      <c r="H1666" t="s"/>
      <c r="I1666" t="s"/>
      <c r="J1666" t="n">
        <v>0.6458</v>
      </c>
      <c r="K1666" t="n">
        <v>0</v>
      </c>
      <c r="L1666" t="n">
        <v>0.858</v>
      </c>
      <c r="M1666" t="n">
        <v>0.142</v>
      </c>
    </row>
    <row r="1667" spans="1:13">
      <c r="A1667" s="1">
        <f>HYPERLINK("http://www.twitter.com/NathanBLawrence/status/983412381836431360", "983412381836431360")</f>
        <v/>
      </c>
      <c r="B1667" s="2" t="n">
        <v>43199.77265046296</v>
      </c>
      <c r="C1667" t="n">
        <v>0</v>
      </c>
      <c r="D1667" t="n">
        <v>17</v>
      </c>
      <c r="E1667" t="s">
        <v>1677</v>
      </c>
      <c r="F1667">
        <f>HYPERLINK("http://pbs.twimg.com/media/DaXH4sdVMAAKsXk.jpg", "http://pbs.twimg.com/media/DaXH4sdVMAAKsXk.jpg")</f>
        <v/>
      </c>
      <c r="G1667" t="s"/>
      <c r="H1667" t="s"/>
      <c r="I1667" t="s"/>
      <c r="J1667" t="n">
        <v>0</v>
      </c>
      <c r="K1667" t="n">
        <v>0</v>
      </c>
      <c r="L1667" t="n">
        <v>1</v>
      </c>
      <c r="M1667" t="n">
        <v>0</v>
      </c>
    </row>
    <row r="1668" spans="1:13">
      <c r="A1668" s="1">
        <f>HYPERLINK("http://www.twitter.com/NathanBLawrence/status/983412153561399296", "983412153561399296")</f>
        <v/>
      </c>
      <c r="B1668" s="2" t="n">
        <v>43199.77201388889</v>
      </c>
      <c r="C1668" t="n">
        <v>0</v>
      </c>
      <c r="D1668" t="n">
        <v>317</v>
      </c>
      <c r="E1668" t="s">
        <v>1678</v>
      </c>
      <c r="F1668">
        <f>HYPERLINK("http://pbs.twimg.com/media/DaWfpjVUwAAz42d.jpg", "http://pbs.twimg.com/media/DaWfpjVUwAAz42d.jpg")</f>
        <v/>
      </c>
      <c r="G1668" t="s"/>
      <c r="H1668" t="s"/>
      <c r="I1668" t="s"/>
      <c r="J1668" t="n">
        <v>0</v>
      </c>
      <c r="K1668" t="n">
        <v>0</v>
      </c>
      <c r="L1668" t="n">
        <v>1</v>
      </c>
      <c r="M1668" t="n">
        <v>0</v>
      </c>
    </row>
    <row r="1669" spans="1:13">
      <c r="A1669" s="1">
        <f>HYPERLINK("http://www.twitter.com/NathanBLawrence/status/983412068530323457", "983412068530323457")</f>
        <v/>
      </c>
      <c r="B1669" s="2" t="n">
        <v>43199.77178240741</v>
      </c>
      <c r="C1669" t="n">
        <v>0</v>
      </c>
      <c r="D1669" t="n">
        <v>1277</v>
      </c>
      <c r="E1669" t="s">
        <v>1679</v>
      </c>
      <c r="F1669" t="s"/>
      <c r="G1669" t="s"/>
      <c r="H1669" t="s"/>
      <c r="I1669" t="s"/>
      <c r="J1669" t="n">
        <v>0.4404</v>
      </c>
      <c r="K1669" t="n">
        <v>0.092</v>
      </c>
      <c r="L1669" t="n">
        <v>0.676</v>
      </c>
      <c r="M1669" t="n">
        <v>0.232</v>
      </c>
    </row>
    <row r="1670" spans="1:13">
      <c r="A1670" s="1">
        <f>HYPERLINK("http://www.twitter.com/NathanBLawrence/status/983412010946772992", "983412010946772992")</f>
        <v/>
      </c>
      <c r="B1670" s="2" t="n">
        <v>43199.77162037037</v>
      </c>
      <c r="C1670" t="n">
        <v>0</v>
      </c>
      <c r="D1670" t="n">
        <v>187</v>
      </c>
      <c r="E1670" t="s">
        <v>1680</v>
      </c>
      <c r="F1670">
        <f>HYPERLINK("http://pbs.twimg.com/media/DaV_eZ2UMAEXiUy.jpg", "http://pbs.twimg.com/media/DaV_eZ2UMAEXiUy.jpg")</f>
        <v/>
      </c>
      <c r="G1670" t="s"/>
      <c r="H1670" t="s"/>
      <c r="I1670" t="s"/>
      <c r="J1670" t="n">
        <v>0.5319</v>
      </c>
      <c r="K1670" t="n">
        <v>0</v>
      </c>
      <c r="L1670" t="n">
        <v>0.84</v>
      </c>
      <c r="M1670" t="n">
        <v>0.16</v>
      </c>
    </row>
    <row r="1671" spans="1:13">
      <c r="A1671" s="1">
        <f>HYPERLINK("http://www.twitter.com/NathanBLawrence/status/983409817296367616", "983409817296367616")</f>
        <v/>
      </c>
      <c r="B1671" s="2" t="n">
        <v>43199.76556712963</v>
      </c>
      <c r="C1671" t="n">
        <v>0</v>
      </c>
      <c r="D1671" t="n">
        <v>741</v>
      </c>
      <c r="E1671" t="s">
        <v>1681</v>
      </c>
      <c r="F1671">
        <f>HYPERLINK("http://pbs.twimg.com/media/DaXDwAoU0AAwYwj.jpg", "http://pbs.twimg.com/media/DaXDwAoU0AAwYwj.jpg")</f>
        <v/>
      </c>
      <c r="G1671" t="s"/>
      <c r="H1671" t="s"/>
      <c r="I1671" t="s"/>
      <c r="J1671" t="n">
        <v>-0.6625</v>
      </c>
      <c r="K1671" t="n">
        <v>0.217</v>
      </c>
      <c r="L1671" t="n">
        <v>0.783</v>
      </c>
      <c r="M1671" t="n">
        <v>0</v>
      </c>
    </row>
    <row r="1672" spans="1:13">
      <c r="A1672" s="1">
        <f>HYPERLINK("http://www.twitter.com/NathanBLawrence/status/983262663332347905", "983262663332347905")</f>
        <v/>
      </c>
      <c r="B1672" s="2" t="n">
        <v>43199.35950231482</v>
      </c>
      <c r="C1672" t="n">
        <v>0</v>
      </c>
      <c r="D1672" t="n">
        <v>266</v>
      </c>
      <c r="E1672" t="s">
        <v>1682</v>
      </c>
      <c r="F1672">
        <f>HYPERLINK("http://pbs.twimg.com/media/DaT76pEVAAAt17W.jpg", "http://pbs.twimg.com/media/DaT76pEVAAAt17W.jpg")</f>
        <v/>
      </c>
      <c r="G1672" t="s"/>
      <c r="H1672" t="s"/>
      <c r="I1672" t="s"/>
      <c r="J1672" t="n">
        <v>0.7964</v>
      </c>
      <c r="K1672" t="n">
        <v>0</v>
      </c>
      <c r="L1672" t="n">
        <v>0.664</v>
      </c>
      <c r="M1672" t="n">
        <v>0.336</v>
      </c>
    </row>
    <row r="1673" spans="1:13">
      <c r="A1673" s="1">
        <f>HYPERLINK("http://www.twitter.com/NathanBLawrence/status/983258293463207937", "983258293463207937")</f>
        <v/>
      </c>
      <c r="B1673" s="2" t="n">
        <v>43199.34744212963</v>
      </c>
      <c r="C1673" t="n">
        <v>0</v>
      </c>
      <c r="D1673" t="n">
        <v>301</v>
      </c>
      <c r="E1673" t="s">
        <v>1683</v>
      </c>
      <c r="F1673">
        <f>HYPERLINK("http://pbs.twimg.com/media/DaTA1PwWsAEQEMF.jpg", "http://pbs.twimg.com/media/DaTA1PwWsAEQEMF.jpg")</f>
        <v/>
      </c>
      <c r="G1673" t="s"/>
      <c r="H1673" t="s"/>
      <c r="I1673" t="s"/>
      <c r="J1673" t="n">
        <v>0</v>
      </c>
      <c r="K1673" t="n">
        <v>0</v>
      </c>
      <c r="L1673" t="n">
        <v>1</v>
      </c>
      <c r="M1673" t="n">
        <v>0</v>
      </c>
    </row>
    <row r="1674" spans="1:13">
      <c r="A1674" s="1">
        <f>HYPERLINK("http://www.twitter.com/NathanBLawrence/status/983257669338189824", "983257669338189824")</f>
        <v/>
      </c>
      <c r="B1674" s="2" t="n">
        <v>43199.34572916666</v>
      </c>
      <c r="C1674" t="n">
        <v>0</v>
      </c>
      <c r="D1674" t="n">
        <v>221</v>
      </c>
      <c r="E1674" t="s">
        <v>1684</v>
      </c>
      <c r="F1674">
        <f>HYPERLINK("http://pbs.twimg.com/media/DaT2nyuWsAAuwOe.jpg", "http://pbs.twimg.com/media/DaT2nyuWsAAuwOe.jpg")</f>
        <v/>
      </c>
      <c r="G1674" t="s"/>
      <c r="H1674" t="s"/>
      <c r="I1674" t="s"/>
      <c r="J1674" t="n">
        <v>-0.8126</v>
      </c>
      <c r="K1674" t="n">
        <v>0.236</v>
      </c>
      <c r="L1674" t="n">
        <v>0.764</v>
      </c>
      <c r="M1674" t="n">
        <v>0</v>
      </c>
    </row>
    <row r="1675" spans="1:13">
      <c r="A1675" s="1">
        <f>HYPERLINK("http://www.twitter.com/NathanBLawrence/status/983257249551343617", "983257249551343617")</f>
        <v/>
      </c>
      <c r="B1675" s="2" t="n">
        <v>43199.34456018519</v>
      </c>
      <c r="C1675" t="n">
        <v>34</v>
      </c>
      <c r="D1675" t="n">
        <v>19</v>
      </c>
      <c r="E1675" t="s">
        <v>1685</v>
      </c>
      <c r="F1675" t="s"/>
      <c r="G1675" t="s"/>
      <c r="H1675" t="s"/>
      <c r="I1675" t="s"/>
      <c r="J1675" t="n">
        <v>-0.7177</v>
      </c>
      <c r="K1675" t="n">
        <v>0.461</v>
      </c>
      <c r="L1675" t="n">
        <v>0.539</v>
      </c>
      <c r="M1675" t="n">
        <v>0</v>
      </c>
    </row>
    <row r="1676" spans="1:13">
      <c r="A1676" s="1">
        <f>HYPERLINK("http://www.twitter.com/NathanBLawrence/status/983256854175219712", "983256854175219712")</f>
        <v/>
      </c>
      <c r="B1676" s="2" t="n">
        <v>43199.34347222222</v>
      </c>
      <c r="C1676" t="n">
        <v>0</v>
      </c>
      <c r="D1676" t="n">
        <v>1869</v>
      </c>
      <c r="E1676" t="s">
        <v>1686</v>
      </c>
      <c r="F1676">
        <f>HYPERLINK("http://pbs.twimg.com/media/DaOof21U0AA7fMx.jpg", "http://pbs.twimg.com/media/DaOof21U0AA7fMx.jpg")</f>
        <v/>
      </c>
      <c r="G1676" t="s"/>
      <c r="H1676" t="s"/>
      <c r="I1676" t="s"/>
      <c r="J1676" t="n">
        <v>-0.6597</v>
      </c>
      <c r="K1676" t="n">
        <v>0.244</v>
      </c>
      <c r="L1676" t="n">
        <v>0.677</v>
      </c>
      <c r="M1676" t="n">
        <v>0.079</v>
      </c>
    </row>
    <row r="1677" spans="1:13">
      <c r="A1677" s="1">
        <f>HYPERLINK("http://www.twitter.com/NathanBLawrence/status/983256760692555781", "983256760692555781")</f>
        <v/>
      </c>
      <c r="B1677" s="2" t="n">
        <v>43199.34321759259</v>
      </c>
      <c r="C1677" t="n">
        <v>0</v>
      </c>
      <c r="D1677" t="n">
        <v>123</v>
      </c>
      <c r="E1677" t="s">
        <v>1687</v>
      </c>
      <c r="F1677">
        <f>HYPERLINK("http://pbs.twimg.com/media/DaQwfOyXkAEWrOF.jpg", "http://pbs.twimg.com/media/DaQwfOyXkAEWrOF.jpg")</f>
        <v/>
      </c>
      <c r="G1677" t="s"/>
      <c r="H1677" t="s"/>
      <c r="I1677" t="s"/>
      <c r="J1677" t="n">
        <v>0.4404</v>
      </c>
      <c r="K1677" t="n">
        <v>0</v>
      </c>
      <c r="L1677" t="n">
        <v>0.888</v>
      </c>
      <c r="M1677" t="n">
        <v>0.112</v>
      </c>
    </row>
    <row r="1678" spans="1:13">
      <c r="A1678" s="1">
        <f>HYPERLINK("http://www.twitter.com/NathanBLawrence/status/983255688469086208", "983255688469086208")</f>
        <v/>
      </c>
      <c r="B1678" s="2" t="n">
        <v>43199.34025462963</v>
      </c>
      <c r="C1678" t="n">
        <v>0</v>
      </c>
      <c r="D1678" t="n">
        <v>391</v>
      </c>
      <c r="E1678" t="s">
        <v>1688</v>
      </c>
      <c r="F1678">
        <f>HYPERLINK("http://pbs.twimg.com/media/DaQ3nBOVMAEn8t6.jpg", "http://pbs.twimg.com/media/DaQ3nBOVMAEn8t6.jpg")</f>
        <v/>
      </c>
      <c r="G1678" t="s"/>
      <c r="H1678" t="s"/>
      <c r="I1678" t="s"/>
      <c r="J1678" t="n">
        <v>-0.4767</v>
      </c>
      <c r="K1678" t="n">
        <v>0.134</v>
      </c>
      <c r="L1678" t="n">
        <v>0.866</v>
      </c>
      <c r="M1678" t="n">
        <v>0</v>
      </c>
    </row>
    <row r="1679" spans="1:13">
      <c r="A1679" s="1">
        <f>HYPERLINK("http://www.twitter.com/NathanBLawrence/status/983243217414995968", "983243217414995968")</f>
        <v/>
      </c>
      <c r="B1679" s="2" t="n">
        <v>43199.30584490741</v>
      </c>
      <c r="C1679" t="n">
        <v>0</v>
      </c>
      <c r="D1679" t="n">
        <v>304</v>
      </c>
      <c r="E1679" t="s">
        <v>1689</v>
      </c>
      <c r="F1679">
        <f>HYPERLINK("http://pbs.twimg.com/media/DaR9GzrW0AEyXQW.jpg", "http://pbs.twimg.com/media/DaR9GzrW0AEyXQW.jpg")</f>
        <v/>
      </c>
      <c r="G1679" t="s"/>
      <c r="H1679" t="s"/>
      <c r="I1679" t="s"/>
      <c r="J1679" t="n">
        <v>-0.6476</v>
      </c>
      <c r="K1679" t="n">
        <v>0.262</v>
      </c>
      <c r="L1679" t="n">
        <v>0.647</v>
      </c>
      <c r="M1679" t="n">
        <v>0.091</v>
      </c>
    </row>
    <row r="1680" spans="1:13">
      <c r="A1680" s="1">
        <f>HYPERLINK("http://www.twitter.com/NathanBLawrence/status/983243140734664704", "983243140734664704")</f>
        <v/>
      </c>
      <c r="B1680" s="2" t="n">
        <v>43199.30563657408</v>
      </c>
      <c r="C1680" t="n">
        <v>0</v>
      </c>
      <c r="D1680" t="n">
        <v>209</v>
      </c>
      <c r="E1680" t="s">
        <v>1690</v>
      </c>
      <c r="F1680">
        <f>HYPERLINK("http://pbs.twimg.com/media/DaTjl37U0AAoKeI.jpg", "http://pbs.twimg.com/media/DaTjl37U0AAoKeI.jpg")</f>
        <v/>
      </c>
      <c r="G1680" t="s"/>
      <c r="H1680" t="s"/>
      <c r="I1680" t="s"/>
      <c r="J1680" t="n">
        <v>0</v>
      </c>
      <c r="K1680" t="n">
        <v>0</v>
      </c>
      <c r="L1680" t="n">
        <v>1</v>
      </c>
      <c r="M1680" t="n">
        <v>0</v>
      </c>
    </row>
    <row r="1681" spans="1:13">
      <c r="A1681" s="1">
        <f>HYPERLINK("http://www.twitter.com/NathanBLawrence/status/983242102816456704", "983242102816456704")</f>
        <v/>
      </c>
      <c r="B1681" s="2" t="n">
        <v>43199.30276620371</v>
      </c>
      <c r="C1681" t="n">
        <v>0</v>
      </c>
      <c r="D1681" t="n">
        <v>1701</v>
      </c>
      <c r="E1681" t="s">
        <v>1691</v>
      </c>
      <c r="F1681" t="s"/>
      <c r="G1681" t="s"/>
      <c r="H1681" t="s"/>
      <c r="I1681" t="s"/>
      <c r="J1681" t="n">
        <v>0.5994</v>
      </c>
      <c r="K1681" t="n">
        <v>0</v>
      </c>
      <c r="L1681" t="n">
        <v>0.83</v>
      </c>
      <c r="M1681" t="n">
        <v>0.17</v>
      </c>
    </row>
    <row r="1682" spans="1:13">
      <c r="A1682" s="1">
        <f>HYPERLINK("http://www.twitter.com/NathanBLawrence/status/983241904513957889", "983241904513957889")</f>
        <v/>
      </c>
      <c r="B1682" s="2" t="n">
        <v>43199.30222222222</v>
      </c>
      <c r="C1682" t="n">
        <v>0</v>
      </c>
      <c r="D1682" t="n">
        <v>25</v>
      </c>
      <c r="E1682" t="s">
        <v>1692</v>
      </c>
      <c r="F1682">
        <f>HYPERLINK("http://pbs.twimg.com/media/DaRtrjuVAAA4aFH.jpg", "http://pbs.twimg.com/media/DaRtrjuVAAA4aFH.jpg")</f>
        <v/>
      </c>
      <c r="G1682" t="s"/>
      <c r="H1682" t="s"/>
      <c r="I1682" t="s"/>
      <c r="J1682" t="n">
        <v>0</v>
      </c>
      <c r="K1682" t="n">
        <v>0</v>
      </c>
      <c r="L1682" t="n">
        <v>1</v>
      </c>
      <c r="M1682" t="n">
        <v>0</v>
      </c>
    </row>
    <row r="1683" spans="1:13">
      <c r="A1683" s="1">
        <f>HYPERLINK("http://www.twitter.com/NathanBLawrence/status/983241415797784576", "983241415797784576")</f>
        <v/>
      </c>
      <c r="B1683" s="2" t="n">
        <v>43199.30086805556</v>
      </c>
      <c r="C1683" t="n">
        <v>0</v>
      </c>
      <c r="D1683" t="n">
        <v>61</v>
      </c>
      <c r="E1683" t="s">
        <v>1693</v>
      </c>
      <c r="F1683">
        <f>HYPERLINK("http://pbs.twimg.com/media/DVHHbHMXUAAS-Jy.jpg", "http://pbs.twimg.com/media/DVHHbHMXUAAS-Jy.jpg")</f>
        <v/>
      </c>
      <c r="G1683" t="s"/>
      <c r="H1683" t="s"/>
      <c r="I1683" t="s"/>
      <c r="J1683" t="n">
        <v>0</v>
      </c>
      <c r="K1683" t="n">
        <v>0</v>
      </c>
      <c r="L1683" t="n">
        <v>1</v>
      </c>
      <c r="M1683" t="n">
        <v>0</v>
      </c>
    </row>
    <row r="1684" spans="1:13">
      <c r="A1684" s="1">
        <f>HYPERLINK("http://www.twitter.com/NathanBLawrence/status/983240906416439297", "983240906416439297")</f>
        <v/>
      </c>
      <c r="B1684" s="2" t="n">
        <v>43199.29946759259</v>
      </c>
      <c r="C1684" t="n">
        <v>0</v>
      </c>
      <c r="D1684" t="n">
        <v>10</v>
      </c>
      <c r="E1684" t="s">
        <v>1694</v>
      </c>
      <c r="F1684">
        <f>HYPERLINK("http://pbs.twimg.com/media/DaUO67aU8AAzElp.jpg", "http://pbs.twimg.com/media/DaUO67aU8AAzElp.jpg")</f>
        <v/>
      </c>
      <c r="G1684" t="s"/>
      <c r="H1684" t="s"/>
      <c r="I1684" t="s"/>
      <c r="J1684" t="n">
        <v>0</v>
      </c>
      <c r="K1684" t="n">
        <v>0</v>
      </c>
      <c r="L1684" t="n">
        <v>1</v>
      </c>
      <c r="M1684" t="n">
        <v>0</v>
      </c>
    </row>
    <row r="1685" spans="1:13">
      <c r="A1685" s="1">
        <f>HYPERLINK("http://www.twitter.com/NathanBLawrence/status/983240209071456257", "983240209071456257")</f>
        <v/>
      </c>
      <c r="B1685" s="2" t="n">
        <v>43199.29754629629</v>
      </c>
      <c r="C1685" t="n">
        <v>0</v>
      </c>
      <c r="D1685" t="n">
        <v>1</v>
      </c>
      <c r="E1685" t="s">
        <v>1695</v>
      </c>
      <c r="F1685">
        <f>HYPERLINK("http://pbs.twimg.com/media/DaUrbavWsAAWXnJ.png", "http://pbs.twimg.com/media/DaUrbavWsAAWXnJ.png")</f>
        <v/>
      </c>
      <c r="G1685" t="s"/>
      <c r="H1685" t="s"/>
      <c r="I1685" t="s"/>
      <c r="J1685" t="n">
        <v>0.5399</v>
      </c>
      <c r="K1685" t="n">
        <v>0</v>
      </c>
      <c r="L1685" t="n">
        <v>0.8120000000000001</v>
      </c>
      <c r="M1685" t="n">
        <v>0.188</v>
      </c>
    </row>
    <row r="1686" spans="1:13">
      <c r="A1686" s="1">
        <f>HYPERLINK("http://www.twitter.com/NathanBLawrence/status/983235949646700544", "983235949646700544")</f>
        <v/>
      </c>
      <c r="B1686" s="2" t="n">
        <v>43199.28578703704</v>
      </c>
      <c r="C1686" t="n">
        <v>0</v>
      </c>
      <c r="D1686" t="n">
        <v>2</v>
      </c>
      <c r="E1686" t="s">
        <v>1696</v>
      </c>
      <c r="F1686">
        <f>HYPERLINK("http://pbs.twimg.com/media/DaUnhf9UMAAQzwu.jpg", "http://pbs.twimg.com/media/DaUnhf9UMAAQzwu.jpg")</f>
        <v/>
      </c>
      <c r="G1686" t="s"/>
      <c r="H1686" t="s"/>
      <c r="I1686" t="s"/>
      <c r="J1686" t="n">
        <v>0</v>
      </c>
      <c r="K1686" t="n">
        <v>0</v>
      </c>
      <c r="L1686" t="n">
        <v>1</v>
      </c>
      <c r="M1686" t="n">
        <v>0</v>
      </c>
    </row>
    <row r="1687" spans="1:13">
      <c r="A1687" s="1">
        <f>HYPERLINK("http://www.twitter.com/NathanBLawrence/status/983227939234824193", "983227939234824193")</f>
        <v/>
      </c>
      <c r="B1687" s="2" t="n">
        <v>43199.26368055555</v>
      </c>
      <c r="C1687" t="n">
        <v>8</v>
      </c>
      <c r="D1687" t="n">
        <v>7</v>
      </c>
      <c r="E1687" t="s">
        <v>1697</v>
      </c>
      <c r="F1687" t="s"/>
      <c r="G1687" t="s"/>
      <c r="H1687" t="s"/>
      <c r="I1687" t="s"/>
      <c r="J1687" t="n">
        <v>0.1779</v>
      </c>
      <c r="K1687" t="n">
        <v>0</v>
      </c>
      <c r="L1687" t="n">
        <v>0.884</v>
      </c>
      <c r="M1687" t="n">
        <v>0.116</v>
      </c>
    </row>
    <row r="1688" spans="1:13">
      <c r="A1688" s="1">
        <f>HYPERLINK("http://www.twitter.com/NathanBLawrence/status/983227658086498304", "983227658086498304")</f>
        <v/>
      </c>
      <c r="B1688" s="2" t="n">
        <v>43199.26290509259</v>
      </c>
      <c r="C1688" t="n">
        <v>1</v>
      </c>
      <c r="D1688" t="n">
        <v>1</v>
      </c>
      <c r="E1688" t="s">
        <v>1698</v>
      </c>
      <c r="F1688" t="s"/>
      <c r="G1688" t="s"/>
      <c r="H1688" t="s"/>
      <c r="I1688" t="s"/>
      <c r="J1688" t="n">
        <v>-0.2732</v>
      </c>
      <c r="K1688" t="n">
        <v>0.189</v>
      </c>
      <c r="L1688" t="n">
        <v>0.8110000000000001</v>
      </c>
      <c r="M1688" t="n">
        <v>0</v>
      </c>
    </row>
    <row r="1689" spans="1:13">
      <c r="A1689" s="1">
        <f>HYPERLINK("http://www.twitter.com/NathanBLawrence/status/983227034137542658", "983227034137542658")</f>
        <v/>
      </c>
      <c r="B1689" s="2" t="n">
        <v>43199.26119212963</v>
      </c>
      <c r="C1689" t="n">
        <v>26</v>
      </c>
      <c r="D1689" t="n">
        <v>12</v>
      </c>
      <c r="E1689" t="s">
        <v>1699</v>
      </c>
      <c r="F1689" t="s"/>
      <c r="G1689" t="s"/>
      <c r="H1689" t="s"/>
      <c r="I1689" t="s"/>
      <c r="J1689" t="n">
        <v>0</v>
      </c>
      <c r="K1689" t="n">
        <v>0</v>
      </c>
      <c r="L1689" t="n">
        <v>1</v>
      </c>
      <c r="M1689" t="n">
        <v>0</v>
      </c>
    </row>
    <row r="1690" spans="1:13">
      <c r="A1690" s="1">
        <f>HYPERLINK("http://www.twitter.com/NathanBLawrence/status/983225643050528768", "983225643050528768")</f>
        <v/>
      </c>
      <c r="B1690" s="2" t="n">
        <v>43199.25734953704</v>
      </c>
      <c r="C1690" t="n">
        <v>2</v>
      </c>
      <c r="D1690" t="n">
        <v>1</v>
      </c>
      <c r="E1690" t="s">
        <v>1700</v>
      </c>
      <c r="F1690" t="s"/>
      <c r="G1690" t="s"/>
      <c r="H1690" t="s"/>
      <c r="I1690" t="s"/>
      <c r="J1690" t="n">
        <v>-0.4767</v>
      </c>
      <c r="K1690" t="n">
        <v>0.256</v>
      </c>
      <c r="L1690" t="n">
        <v>0.744</v>
      </c>
      <c r="M1690" t="n">
        <v>0</v>
      </c>
    </row>
    <row r="1691" spans="1:13">
      <c r="A1691" s="1">
        <f>HYPERLINK("http://www.twitter.com/NathanBLawrence/status/983225537966391296", "983225537966391296")</f>
        <v/>
      </c>
      <c r="B1691" s="2" t="n">
        <v>43199.25706018518</v>
      </c>
      <c r="C1691" t="n">
        <v>0</v>
      </c>
      <c r="D1691" t="n">
        <v>2</v>
      </c>
      <c r="E1691" t="s">
        <v>1701</v>
      </c>
      <c r="F1691" t="s"/>
      <c r="G1691" t="s"/>
      <c r="H1691" t="s"/>
      <c r="I1691" t="s"/>
      <c r="J1691" t="n">
        <v>-0.296</v>
      </c>
      <c r="K1691" t="n">
        <v>0.137</v>
      </c>
      <c r="L1691" t="n">
        <v>0.784</v>
      </c>
      <c r="M1691" t="n">
        <v>0.078</v>
      </c>
    </row>
    <row r="1692" spans="1:13">
      <c r="A1692" s="1">
        <f>HYPERLINK("http://www.twitter.com/NathanBLawrence/status/983224757259677696", "983224757259677696")</f>
        <v/>
      </c>
      <c r="B1692" s="2" t="n">
        <v>43199.2549074074</v>
      </c>
      <c r="C1692" t="n">
        <v>0</v>
      </c>
      <c r="D1692" t="n">
        <v>2357</v>
      </c>
      <c r="E1692" t="s">
        <v>1702</v>
      </c>
      <c r="F1692">
        <f>HYPERLINK("http://pbs.twimg.com/media/DaTWajkXUAEaRT5.jpg", "http://pbs.twimg.com/media/DaTWajkXUAEaRT5.jpg")</f>
        <v/>
      </c>
      <c r="G1692" t="s"/>
      <c r="H1692" t="s"/>
      <c r="I1692" t="s"/>
      <c r="J1692" t="n">
        <v>0.5673</v>
      </c>
      <c r="K1692" t="n">
        <v>0</v>
      </c>
      <c r="L1692" t="n">
        <v>0.8139999999999999</v>
      </c>
      <c r="M1692" t="n">
        <v>0.186</v>
      </c>
    </row>
    <row r="1693" spans="1:13">
      <c r="A1693" s="1">
        <f>HYPERLINK("http://www.twitter.com/NathanBLawrence/status/983224666360696833", "983224666360696833")</f>
        <v/>
      </c>
      <c r="B1693" s="2" t="n">
        <v>43199.25465277778</v>
      </c>
      <c r="C1693" t="n">
        <v>0</v>
      </c>
      <c r="D1693" t="n">
        <v>2858</v>
      </c>
      <c r="E1693" t="s">
        <v>1703</v>
      </c>
      <c r="F1693">
        <f>HYPERLINK("https://video.twimg.com/amplify_video/982979115459469312/vid/1280x720/tnIw82PQn0GGB0fr.mp4?tag=2", "https://video.twimg.com/amplify_video/982979115459469312/vid/1280x720/tnIw82PQn0GGB0fr.mp4?tag=2")</f>
        <v/>
      </c>
      <c r="G1693" t="s"/>
      <c r="H1693" t="s"/>
      <c r="I1693" t="s"/>
      <c r="J1693" t="n">
        <v>0.4019</v>
      </c>
      <c r="K1693" t="n">
        <v>0</v>
      </c>
      <c r="L1693" t="n">
        <v>0.881</v>
      </c>
      <c r="M1693" t="n">
        <v>0.119</v>
      </c>
    </row>
    <row r="1694" spans="1:13">
      <c r="A1694" s="1">
        <f>HYPERLINK("http://www.twitter.com/NathanBLawrence/status/983224630608408576", "983224630608408576")</f>
        <v/>
      </c>
      <c r="B1694" s="2" t="n">
        <v>43199.25456018518</v>
      </c>
      <c r="C1694" t="n">
        <v>0</v>
      </c>
      <c r="D1694" t="n">
        <v>1041</v>
      </c>
      <c r="E1694" t="s">
        <v>1704</v>
      </c>
      <c r="F1694">
        <f>HYPERLINK("http://pbs.twimg.com/media/DaTOZsVUwAEkpow.jpg", "http://pbs.twimg.com/media/DaTOZsVUwAEkpow.jpg")</f>
        <v/>
      </c>
      <c r="G1694" t="s"/>
      <c r="H1694" t="s"/>
      <c r="I1694" t="s"/>
      <c r="J1694" t="n">
        <v>0</v>
      </c>
      <c r="K1694" t="n">
        <v>0</v>
      </c>
      <c r="L1694" t="n">
        <v>1</v>
      </c>
      <c r="M1694" t="n">
        <v>0</v>
      </c>
    </row>
    <row r="1695" spans="1:13">
      <c r="A1695" s="1">
        <f>HYPERLINK("http://www.twitter.com/NathanBLawrence/status/983224489784762373", "983224489784762373")</f>
        <v/>
      </c>
      <c r="B1695" s="2" t="n">
        <v>43199.25416666667</v>
      </c>
      <c r="C1695" t="n">
        <v>0</v>
      </c>
      <c r="D1695" t="n">
        <v>57</v>
      </c>
      <c r="E1695" t="s">
        <v>1705</v>
      </c>
      <c r="F1695">
        <f>HYPERLINK("http://pbs.twimg.com/media/DaT4xUmWkAE6VYs.jpg", "http://pbs.twimg.com/media/DaT4xUmWkAE6VYs.jpg")</f>
        <v/>
      </c>
      <c r="G1695" t="s"/>
      <c r="H1695" t="s"/>
      <c r="I1695" t="s"/>
      <c r="J1695" t="n">
        <v>-0.1531</v>
      </c>
      <c r="K1695" t="n">
        <v>0.137</v>
      </c>
      <c r="L1695" t="n">
        <v>0.752</v>
      </c>
      <c r="M1695" t="n">
        <v>0.111</v>
      </c>
    </row>
    <row r="1696" spans="1:13">
      <c r="A1696" s="1">
        <f>HYPERLINK("http://www.twitter.com/NathanBLawrence/status/983224334511521792", "983224334511521792")</f>
        <v/>
      </c>
      <c r="B1696" s="2" t="n">
        <v>43199.25373842593</v>
      </c>
      <c r="C1696" t="n">
        <v>6</v>
      </c>
      <c r="D1696" t="n">
        <v>2</v>
      </c>
      <c r="E1696" t="s">
        <v>1706</v>
      </c>
      <c r="F1696" t="s"/>
      <c r="G1696" t="s"/>
      <c r="H1696" t="s"/>
      <c r="I1696" t="s"/>
      <c r="J1696" t="n">
        <v>-0.128</v>
      </c>
      <c r="K1696" t="n">
        <v>0.13</v>
      </c>
      <c r="L1696" t="n">
        <v>0.87</v>
      </c>
      <c r="M1696" t="n">
        <v>0</v>
      </c>
    </row>
    <row r="1697" spans="1:13">
      <c r="A1697" s="1">
        <f>HYPERLINK("http://www.twitter.com/NathanBLawrence/status/983220720070086657", "983220720070086657")</f>
        <v/>
      </c>
      <c r="B1697" s="2" t="n">
        <v>43199.24376157407</v>
      </c>
      <c r="C1697" t="n">
        <v>0</v>
      </c>
      <c r="D1697" t="n">
        <v>1536</v>
      </c>
      <c r="E1697" t="s">
        <v>1707</v>
      </c>
      <c r="F1697">
        <f>HYPERLINK("http://pbs.twimg.com/media/DaUSXacW0AAC9S0.jpg", "http://pbs.twimg.com/media/DaUSXacW0AAC9S0.jpg")</f>
        <v/>
      </c>
      <c r="G1697" t="s"/>
      <c r="H1697" t="s"/>
      <c r="I1697" t="s"/>
      <c r="J1697" t="n">
        <v>-0.296</v>
      </c>
      <c r="K1697" t="n">
        <v>0.08400000000000001</v>
      </c>
      <c r="L1697" t="n">
        <v>0.916</v>
      </c>
      <c r="M1697" t="n">
        <v>0</v>
      </c>
    </row>
    <row r="1698" spans="1:13">
      <c r="A1698" s="1">
        <f>HYPERLINK("http://www.twitter.com/NathanBLawrence/status/983165917520687104", "983165917520687104")</f>
        <v/>
      </c>
      <c r="B1698" s="2" t="n">
        <v>43199.09253472222</v>
      </c>
      <c r="C1698" t="n">
        <v>14</v>
      </c>
      <c r="D1698" t="n">
        <v>1</v>
      </c>
      <c r="E1698" t="s">
        <v>1708</v>
      </c>
      <c r="F1698">
        <f>HYPERLINK("http://pbs.twimg.com/media/DaToMNiW0AAtgu_.jpg", "http://pbs.twimg.com/media/DaToMNiW0AAtgu_.jpg")</f>
        <v/>
      </c>
      <c r="G1698" t="s"/>
      <c r="H1698" t="s"/>
      <c r="I1698" t="s"/>
      <c r="J1698" t="n">
        <v>0</v>
      </c>
      <c r="K1698" t="n">
        <v>0</v>
      </c>
      <c r="L1698" t="n">
        <v>1</v>
      </c>
      <c r="M1698" t="n">
        <v>0</v>
      </c>
    </row>
    <row r="1699" spans="1:13">
      <c r="A1699" s="1">
        <f>HYPERLINK("http://www.twitter.com/NathanBLawrence/status/983160302425358336", "983160302425358336")</f>
        <v/>
      </c>
      <c r="B1699" s="2" t="n">
        <v>43199.07703703704</v>
      </c>
      <c r="C1699" t="n">
        <v>8</v>
      </c>
      <c r="D1699" t="n">
        <v>2</v>
      </c>
      <c r="E1699" t="s">
        <v>1709</v>
      </c>
      <c r="F1699" t="s"/>
      <c r="G1699" t="s"/>
      <c r="H1699" t="s"/>
      <c r="I1699" t="s"/>
      <c r="J1699" t="n">
        <v>-0.872</v>
      </c>
      <c r="K1699" t="n">
        <v>0.586</v>
      </c>
      <c r="L1699" t="n">
        <v>0.414</v>
      </c>
      <c r="M1699" t="n">
        <v>0</v>
      </c>
    </row>
    <row r="1700" spans="1:13">
      <c r="A1700" s="1">
        <f>HYPERLINK("http://www.twitter.com/NathanBLawrence/status/983147184810934272", "983147184810934272")</f>
        <v/>
      </c>
      <c r="B1700" s="2" t="n">
        <v>43199.04084490741</v>
      </c>
      <c r="C1700" t="n">
        <v>5</v>
      </c>
      <c r="D1700" t="n">
        <v>2</v>
      </c>
      <c r="E1700" t="s">
        <v>1710</v>
      </c>
      <c r="F1700" t="s"/>
      <c r="G1700" t="s"/>
      <c r="H1700" t="s"/>
      <c r="I1700" t="s"/>
      <c r="J1700" t="n">
        <v>0.5266999999999999</v>
      </c>
      <c r="K1700" t="n">
        <v>0</v>
      </c>
      <c r="L1700" t="n">
        <v>0.779</v>
      </c>
      <c r="M1700" t="n">
        <v>0.221</v>
      </c>
    </row>
    <row r="1701" spans="1:13">
      <c r="A1701" s="1">
        <f>HYPERLINK("http://www.twitter.com/NathanBLawrence/status/983128230176612352", "983128230176612352")</f>
        <v/>
      </c>
      <c r="B1701" s="2" t="n">
        <v>43198.98854166667</v>
      </c>
      <c r="C1701" t="n">
        <v>9</v>
      </c>
      <c r="D1701" t="n">
        <v>6</v>
      </c>
      <c r="E1701" t="s">
        <v>1711</v>
      </c>
      <c r="F1701" t="s"/>
      <c r="G1701" t="s"/>
      <c r="H1701" t="s"/>
      <c r="I1701" t="s"/>
      <c r="J1701" t="n">
        <v>0.34</v>
      </c>
      <c r="K1701" t="n">
        <v>0</v>
      </c>
      <c r="L1701" t="n">
        <v>0.844</v>
      </c>
      <c r="M1701" t="n">
        <v>0.156</v>
      </c>
    </row>
    <row r="1702" spans="1:13">
      <c r="A1702" s="1">
        <f>HYPERLINK("http://www.twitter.com/NathanBLawrence/status/983109481809629184", "983109481809629184")</f>
        <v/>
      </c>
      <c r="B1702" s="2" t="n">
        <v>43198.93680555555</v>
      </c>
      <c r="C1702" t="n">
        <v>0</v>
      </c>
      <c r="D1702" t="n">
        <v>1292</v>
      </c>
      <c r="E1702" t="s">
        <v>1712</v>
      </c>
      <c r="F1702">
        <f>HYPERLINK("http://pbs.twimg.com/media/DaR-IJZXUAESd33.jpg", "http://pbs.twimg.com/media/DaR-IJZXUAESd33.jpg")</f>
        <v/>
      </c>
      <c r="G1702" t="s"/>
      <c r="H1702" t="s"/>
      <c r="I1702" t="s"/>
      <c r="J1702" t="n">
        <v>0</v>
      </c>
      <c r="K1702" t="n">
        <v>0</v>
      </c>
      <c r="L1702" t="n">
        <v>1</v>
      </c>
      <c r="M1702" t="n">
        <v>0</v>
      </c>
    </row>
    <row r="1703" spans="1:13">
      <c r="A1703" s="1">
        <f>HYPERLINK("http://www.twitter.com/NathanBLawrence/status/983109387953651712", "983109387953651712")</f>
        <v/>
      </c>
      <c r="B1703" s="2" t="n">
        <v>43198.93655092592</v>
      </c>
      <c r="C1703" t="n">
        <v>0</v>
      </c>
      <c r="D1703" t="n">
        <v>1568</v>
      </c>
      <c r="E1703" t="s">
        <v>1713</v>
      </c>
      <c r="F1703">
        <f>HYPERLINK("http://pbs.twimg.com/media/DaSpQDUVMAAWA_4.jpg", "http://pbs.twimg.com/media/DaSpQDUVMAAWA_4.jpg")</f>
        <v/>
      </c>
      <c r="G1703" t="s"/>
      <c r="H1703" t="s"/>
      <c r="I1703" t="s"/>
      <c r="J1703" t="n">
        <v>-0.5106000000000001</v>
      </c>
      <c r="K1703" t="n">
        <v>0.248</v>
      </c>
      <c r="L1703" t="n">
        <v>0.752</v>
      </c>
      <c r="M1703" t="n">
        <v>0</v>
      </c>
    </row>
    <row r="1704" spans="1:13">
      <c r="A1704" s="1">
        <f>HYPERLINK("http://www.twitter.com/NathanBLawrence/status/983109267560349696", "983109267560349696")</f>
        <v/>
      </c>
      <c r="B1704" s="2" t="n">
        <v>43198.93621527778</v>
      </c>
      <c r="C1704" t="n">
        <v>0</v>
      </c>
      <c r="D1704" t="n">
        <v>1030</v>
      </c>
      <c r="E1704" t="s">
        <v>1714</v>
      </c>
      <c r="F1704">
        <f>HYPERLINK("http://pbs.twimg.com/media/DaJfkTBVMAsANcY.jpg", "http://pbs.twimg.com/media/DaJfkTBVMAsANcY.jpg")</f>
        <v/>
      </c>
      <c r="G1704" t="s"/>
      <c r="H1704" t="s"/>
      <c r="I1704" t="s"/>
      <c r="J1704" t="n">
        <v>-0.5766</v>
      </c>
      <c r="K1704" t="n">
        <v>0.199</v>
      </c>
      <c r="L1704" t="n">
        <v>0.801</v>
      </c>
      <c r="M1704" t="n">
        <v>0</v>
      </c>
    </row>
    <row r="1705" spans="1:13">
      <c r="A1705" s="1">
        <f>HYPERLINK("http://www.twitter.com/NathanBLawrence/status/983109224493232128", "983109224493232128")</f>
        <v/>
      </c>
      <c r="B1705" s="2" t="n">
        <v>43198.93609953704</v>
      </c>
      <c r="C1705" t="n">
        <v>0</v>
      </c>
      <c r="D1705" t="n">
        <v>347</v>
      </c>
      <c r="E1705" t="s">
        <v>1715</v>
      </c>
      <c r="F1705" t="s"/>
      <c r="G1705" t="s"/>
      <c r="H1705" t="s"/>
      <c r="I1705" t="s"/>
      <c r="J1705" t="n">
        <v>0.0516</v>
      </c>
      <c r="K1705" t="n">
        <v>0.115</v>
      </c>
      <c r="L1705" t="n">
        <v>0.729</v>
      </c>
      <c r="M1705" t="n">
        <v>0.156</v>
      </c>
    </row>
    <row r="1706" spans="1:13">
      <c r="A1706" s="1">
        <f>HYPERLINK("http://www.twitter.com/NathanBLawrence/status/983109094004289537", "983109094004289537")</f>
        <v/>
      </c>
      <c r="B1706" s="2" t="n">
        <v>43198.93572916667</v>
      </c>
      <c r="C1706" t="n">
        <v>0</v>
      </c>
      <c r="D1706" t="n">
        <v>17</v>
      </c>
      <c r="E1706" t="s">
        <v>1716</v>
      </c>
      <c r="F1706">
        <f>HYPERLINK("http://pbs.twimg.com/media/DaS0IG7VAAAXdTS.jpg", "http://pbs.twimg.com/media/DaS0IG7VAAAXdTS.jpg")</f>
        <v/>
      </c>
      <c r="G1706" t="s"/>
      <c r="H1706" t="s"/>
      <c r="I1706" t="s"/>
      <c r="J1706" t="n">
        <v>0</v>
      </c>
      <c r="K1706" t="n">
        <v>0</v>
      </c>
      <c r="L1706" t="n">
        <v>1</v>
      </c>
      <c r="M1706" t="n">
        <v>0</v>
      </c>
    </row>
    <row r="1707" spans="1:13">
      <c r="A1707" s="1">
        <f>HYPERLINK("http://www.twitter.com/NathanBLawrence/status/983109028774461440", "983109028774461440")</f>
        <v/>
      </c>
      <c r="B1707" s="2" t="n">
        <v>43198.93555555555</v>
      </c>
      <c r="C1707" t="n">
        <v>0</v>
      </c>
      <c r="D1707" t="n">
        <v>850</v>
      </c>
      <c r="E1707" t="s">
        <v>1717</v>
      </c>
      <c r="F1707" t="s"/>
      <c r="G1707" t="s"/>
      <c r="H1707" t="s"/>
      <c r="I1707" t="s"/>
      <c r="J1707" t="n">
        <v>0.1779</v>
      </c>
      <c r="K1707" t="n">
        <v>0.192</v>
      </c>
      <c r="L1707" t="n">
        <v>0.586</v>
      </c>
      <c r="M1707" t="n">
        <v>0.222</v>
      </c>
    </row>
    <row r="1708" spans="1:13">
      <c r="A1708" s="1">
        <f>HYPERLINK("http://www.twitter.com/NathanBLawrence/status/983108960331776001", "983108960331776001")</f>
        <v/>
      </c>
      <c r="B1708" s="2" t="n">
        <v>43198.93537037037</v>
      </c>
      <c r="C1708" t="n">
        <v>0</v>
      </c>
      <c r="D1708" t="n">
        <v>9784</v>
      </c>
      <c r="E1708" t="s">
        <v>1718</v>
      </c>
      <c r="F1708" t="s"/>
      <c r="G1708" t="s"/>
      <c r="H1708" t="s"/>
      <c r="I1708" t="s"/>
      <c r="J1708" t="n">
        <v>0</v>
      </c>
      <c r="K1708" t="n">
        <v>0</v>
      </c>
      <c r="L1708" t="n">
        <v>1</v>
      </c>
      <c r="M1708" t="n">
        <v>0</v>
      </c>
    </row>
    <row r="1709" spans="1:13">
      <c r="A1709" s="1">
        <f>HYPERLINK("http://www.twitter.com/NathanBLawrence/status/983108432768069632", "983108432768069632")</f>
        <v/>
      </c>
      <c r="B1709" s="2" t="n">
        <v>43198.93391203704</v>
      </c>
      <c r="C1709" t="n">
        <v>0</v>
      </c>
      <c r="D1709" t="n">
        <v>9</v>
      </c>
      <c r="E1709" t="s">
        <v>1719</v>
      </c>
      <c r="F1709" t="s"/>
      <c r="G1709" t="s"/>
      <c r="H1709" t="s"/>
      <c r="I1709" t="s"/>
      <c r="J1709" t="n">
        <v>0</v>
      </c>
      <c r="K1709" t="n">
        <v>0</v>
      </c>
      <c r="L1709" t="n">
        <v>1</v>
      </c>
      <c r="M1709" t="n">
        <v>0</v>
      </c>
    </row>
    <row r="1710" spans="1:13">
      <c r="A1710" s="1">
        <f>HYPERLINK("http://www.twitter.com/NathanBLawrence/status/983108118606262272", "983108118606262272")</f>
        <v/>
      </c>
      <c r="B1710" s="2" t="n">
        <v>43198.93304398148</v>
      </c>
      <c r="C1710" t="n">
        <v>0</v>
      </c>
      <c r="D1710" t="n">
        <v>409</v>
      </c>
      <c r="E1710" t="s">
        <v>1720</v>
      </c>
      <c r="F1710">
        <f>HYPERLINK("https://video.twimg.com/ext_tw_video/981025941353738240/pu/vid/640x360/qxgFJS4-EXQD5sJj.mp4?tag=2", "https://video.twimg.com/ext_tw_video/981025941353738240/pu/vid/640x360/qxgFJS4-EXQD5sJj.mp4?tag=2")</f>
        <v/>
      </c>
      <c r="G1710" t="s"/>
      <c r="H1710" t="s"/>
      <c r="I1710" t="s"/>
      <c r="J1710" t="n">
        <v>-0.8934</v>
      </c>
      <c r="K1710" t="n">
        <v>0.373</v>
      </c>
      <c r="L1710" t="n">
        <v>0.627</v>
      </c>
      <c r="M1710" t="n">
        <v>0</v>
      </c>
    </row>
    <row r="1711" spans="1:13">
      <c r="A1711" s="1">
        <f>HYPERLINK("http://www.twitter.com/NathanBLawrence/status/983007937059672069", "983007937059672069")</f>
        <v/>
      </c>
      <c r="B1711" s="2" t="n">
        <v>43198.65659722222</v>
      </c>
      <c r="C1711" t="n">
        <v>13</v>
      </c>
      <c r="D1711" t="n">
        <v>4</v>
      </c>
      <c r="E1711" t="s">
        <v>1721</v>
      </c>
      <c r="F1711">
        <f>HYPERLINK("http://pbs.twimg.com/media/DaRYVTwU0AAAg6J.jpg", "http://pbs.twimg.com/media/DaRYVTwU0AAAg6J.jpg")</f>
        <v/>
      </c>
      <c r="G1711" t="s"/>
      <c r="H1711" t="s"/>
      <c r="I1711" t="s"/>
      <c r="J1711" t="n">
        <v>0</v>
      </c>
      <c r="K1711" t="n">
        <v>0</v>
      </c>
      <c r="L1711" t="n">
        <v>1</v>
      </c>
      <c r="M1711" t="n">
        <v>0</v>
      </c>
    </row>
    <row r="1712" spans="1:13">
      <c r="A1712" s="1">
        <f>HYPERLINK("http://www.twitter.com/NathanBLawrence/status/983007020067405825", "983007020067405825")</f>
        <v/>
      </c>
      <c r="B1712" s="2" t="n">
        <v>43198.6540625</v>
      </c>
      <c r="C1712" t="n">
        <v>0</v>
      </c>
      <c r="D1712" t="n">
        <v>6</v>
      </c>
      <c r="E1712" t="s">
        <v>1722</v>
      </c>
      <c r="F1712" t="s"/>
      <c r="G1712" t="s"/>
      <c r="H1712" t="s"/>
      <c r="I1712" t="s"/>
      <c r="J1712" t="n">
        <v>-0.8957000000000001</v>
      </c>
      <c r="K1712" t="n">
        <v>0.663</v>
      </c>
      <c r="L1712" t="n">
        <v>0.337</v>
      </c>
      <c r="M1712" t="n">
        <v>0</v>
      </c>
    </row>
    <row r="1713" spans="1:13">
      <c r="A1713" s="1">
        <f>HYPERLINK("http://www.twitter.com/NathanBLawrence/status/983006807621648384", "983006807621648384")</f>
        <v/>
      </c>
      <c r="B1713" s="2" t="n">
        <v>43198.65347222222</v>
      </c>
      <c r="C1713" t="n">
        <v>0</v>
      </c>
      <c r="D1713" t="n">
        <v>230</v>
      </c>
      <c r="E1713" t="s">
        <v>1723</v>
      </c>
      <c r="F1713" t="s"/>
      <c r="G1713" t="s"/>
      <c r="H1713" t="s"/>
      <c r="I1713" t="s"/>
      <c r="J1713" t="n">
        <v>0</v>
      </c>
      <c r="K1713" t="n">
        <v>0</v>
      </c>
      <c r="L1713" t="n">
        <v>1</v>
      </c>
      <c r="M1713" t="n">
        <v>0</v>
      </c>
    </row>
    <row r="1714" spans="1:13">
      <c r="A1714" s="1">
        <f>HYPERLINK("http://www.twitter.com/NathanBLawrence/status/983006441366667264", "983006441366667264")</f>
        <v/>
      </c>
      <c r="B1714" s="2" t="n">
        <v>43198.65246527778</v>
      </c>
      <c r="C1714" t="n">
        <v>0</v>
      </c>
      <c r="D1714" t="n">
        <v>271</v>
      </c>
      <c r="E1714" t="s">
        <v>1724</v>
      </c>
      <c r="F1714">
        <f>HYPERLINK("http://pbs.twimg.com/media/DaGX0Q2VMAAQasd.jpg", "http://pbs.twimg.com/media/DaGX0Q2VMAAQasd.jpg")</f>
        <v/>
      </c>
      <c r="G1714" t="s"/>
      <c r="H1714" t="s"/>
      <c r="I1714" t="s"/>
      <c r="J1714" t="n">
        <v>0</v>
      </c>
      <c r="K1714" t="n">
        <v>0</v>
      </c>
      <c r="L1714" t="n">
        <v>1</v>
      </c>
      <c r="M1714" t="n">
        <v>0</v>
      </c>
    </row>
    <row r="1715" spans="1:13">
      <c r="A1715" s="1">
        <f>HYPERLINK("http://www.twitter.com/NathanBLawrence/status/983005395206590464", "983005395206590464")</f>
        <v/>
      </c>
      <c r="B1715" s="2" t="n">
        <v>43198.64958333333</v>
      </c>
      <c r="C1715" t="n">
        <v>31</v>
      </c>
      <c r="D1715" t="n">
        <v>12</v>
      </c>
      <c r="E1715" t="s">
        <v>1725</v>
      </c>
      <c r="F1715">
        <f>HYPERLINK("http://pbs.twimg.com/media/DaRWC_OU8AUNJ2_.jpg", "http://pbs.twimg.com/media/DaRWC_OU8AUNJ2_.jpg")</f>
        <v/>
      </c>
      <c r="G1715" t="s"/>
      <c r="H1715" t="s"/>
      <c r="I1715" t="s"/>
      <c r="J1715" t="n">
        <v>0</v>
      </c>
      <c r="K1715" t="n">
        <v>0</v>
      </c>
      <c r="L1715" t="n">
        <v>1</v>
      </c>
      <c r="M1715" t="n">
        <v>0</v>
      </c>
    </row>
    <row r="1716" spans="1:13">
      <c r="A1716" s="1">
        <f>HYPERLINK("http://www.twitter.com/NathanBLawrence/status/983004998270312454", "983004998270312454")</f>
        <v/>
      </c>
      <c r="B1716" s="2" t="n">
        <v>43198.6484837963</v>
      </c>
      <c r="C1716" t="n">
        <v>13</v>
      </c>
      <c r="D1716" t="n">
        <v>5</v>
      </c>
      <c r="E1716" t="s">
        <v>1726</v>
      </c>
      <c r="F1716">
        <f>HYPERLINK("http://pbs.twimg.com/media/DaRVrBFV4AIjDJI.jpg", "http://pbs.twimg.com/media/DaRVrBFV4AIjDJI.jpg")</f>
        <v/>
      </c>
      <c r="G1716" t="s"/>
      <c r="H1716" t="s"/>
      <c r="I1716" t="s"/>
      <c r="J1716" t="n">
        <v>0</v>
      </c>
      <c r="K1716" t="n">
        <v>0</v>
      </c>
      <c r="L1716" t="n">
        <v>1</v>
      </c>
      <c r="M1716" t="n">
        <v>0</v>
      </c>
    </row>
    <row r="1717" spans="1:13">
      <c r="A1717" s="1">
        <f>HYPERLINK("http://www.twitter.com/NathanBLawrence/status/983004571369799680", "983004571369799680")</f>
        <v/>
      </c>
      <c r="B1717" s="2" t="n">
        <v>43198.64730324074</v>
      </c>
      <c r="C1717" t="n">
        <v>28</v>
      </c>
      <c r="D1717" t="n">
        <v>16</v>
      </c>
      <c r="E1717" t="s">
        <v>1727</v>
      </c>
      <c r="F1717">
        <f>HYPERLINK("http://pbs.twimg.com/media/DaRVY7EUQAEFnas.jpg", "http://pbs.twimg.com/media/DaRVY7EUQAEFnas.jpg")</f>
        <v/>
      </c>
      <c r="G1717" t="s"/>
      <c r="H1717" t="s"/>
      <c r="I1717" t="s"/>
      <c r="J1717" t="n">
        <v>0</v>
      </c>
      <c r="K1717" t="n">
        <v>0</v>
      </c>
      <c r="L1717" t="n">
        <v>1</v>
      </c>
      <c r="M1717" t="n">
        <v>0</v>
      </c>
    </row>
    <row r="1718" spans="1:13">
      <c r="A1718" s="1">
        <f>HYPERLINK("http://www.twitter.com/NathanBLawrence/status/983004167374385152", "983004167374385152")</f>
        <v/>
      </c>
      <c r="B1718" s="2" t="n">
        <v>43198.64619212963</v>
      </c>
      <c r="C1718" t="n">
        <v>0</v>
      </c>
      <c r="D1718" t="n">
        <v>16</v>
      </c>
      <c r="E1718" t="s">
        <v>1728</v>
      </c>
      <c r="F1718">
        <f>HYPERLINK("http://pbs.twimg.com/media/DaROeKsU0AALbaW.jpg", "http://pbs.twimg.com/media/DaROeKsU0AALbaW.jpg")</f>
        <v/>
      </c>
      <c r="G1718" t="s"/>
      <c r="H1718" t="s"/>
      <c r="I1718" t="s"/>
      <c r="J1718" t="n">
        <v>0.5859</v>
      </c>
      <c r="K1718" t="n">
        <v>0</v>
      </c>
      <c r="L1718" t="n">
        <v>0.745</v>
      </c>
      <c r="M1718" t="n">
        <v>0.255</v>
      </c>
    </row>
    <row r="1719" spans="1:13">
      <c r="A1719" s="1">
        <f>HYPERLINK("http://www.twitter.com/NathanBLawrence/status/983003906484551681", "983003906484551681")</f>
        <v/>
      </c>
      <c r="B1719" s="2" t="n">
        <v>43198.64547453704</v>
      </c>
      <c r="C1719" t="n">
        <v>0</v>
      </c>
      <c r="D1719" t="n">
        <v>73</v>
      </c>
      <c r="E1719" t="s">
        <v>1729</v>
      </c>
      <c r="F1719">
        <f>HYPERLINK("http://pbs.twimg.com/media/DaQwBDmU8AAAXjq.jpg", "http://pbs.twimg.com/media/DaQwBDmU8AAAXjq.jpg")</f>
        <v/>
      </c>
      <c r="G1719" t="s"/>
      <c r="H1719" t="s"/>
      <c r="I1719" t="s"/>
      <c r="J1719" t="n">
        <v>0</v>
      </c>
      <c r="K1719" t="n">
        <v>0</v>
      </c>
      <c r="L1719" t="n">
        <v>1</v>
      </c>
      <c r="M1719" t="n">
        <v>0</v>
      </c>
    </row>
    <row r="1720" spans="1:13">
      <c r="A1720" s="1">
        <f>HYPERLINK("http://www.twitter.com/NathanBLawrence/status/983003705678049288", "983003705678049288")</f>
        <v/>
      </c>
      <c r="B1720" s="2" t="n">
        <v>43198.64491898148</v>
      </c>
      <c r="C1720" t="n">
        <v>14</v>
      </c>
      <c r="D1720" t="n">
        <v>6</v>
      </c>
      <c r="E1720" t="s">
        <v>1730</v>
      </c>
      <c r="F1720">
        <f>HYPERLINK("http://pbs.twimg.com/media/DaRUkOYVwAUnY3g.jpg", "http://pbs.twimg.com/media/DaRUkOYVwAUnY3g.jpg")</f>
        <v/>
      </c>
      <c r="G1720" t="s"/>
      <c r="H1720" t="s"/>
      <c r="I1720" t="s"/>
      <c r="J1720" t="n">
        <v>0</v>
      </c>
      <c r="K1720" t="n">
        <v>0</v>
      </c>
      <c r="L1720" t="n">
        <v>1</v>
      </c>
      <c r="M1720" t="n">
        <v>0</v>
      </c>
    </row>
    <row r="1721" spans="1:13">
      <c r="A1721" s="1">
        <f>HYPERLINK("http://www.twitter.com/NathanBLawrence/status/983003462559399938", "983003462559399938")</f>
        <v/>
      </c>
      <c r="B1721" s="2" t="n">
        <v>43198.64424768519</v>
      </c>
      <c r="C1721" t="n">
        <v>42</v>
      </c>
      <c r="D1721" t="n">
        <v>17</v>
      </c>
      <c r="E1721" t="s">
        <v>1731</v>
      </c>
      <c r="F1721">
        <f>HYPERLINK("http://pbs.twimg.com/media/DaRUUhsUMAAl6Rg.jpg", "http://pbs.twimg.com/media/DaRUUhsUMAAl6Rg.jpg")</f>
        <v/>
      </c>
      <c r="G1721" t="s"/>
      <c r="H1721" t="s"/>
      <c r="I1721" t="s"/>
      <c r="J1721" t="n">
        <v>0</v>
      </c>
      <c r="K1721" t="n">
        <v>0</v>
      </c>
      <c r="L1721" t="n">
        <v>1</v>
      </c>
      <c r="M1721" t="n">
        <v>0</v>
      </c>
    </row>
    <row r="1722" spans="1:13">
      <c r="A1722" s="1">
        <f>HYPERLINK("http://www.twitter.com/NathanBLawrence/status/983003244724039682", "983003244724039682")</f>
        <v/>
      </c>
      <c r="B1722" s="2" t="n">
        <v>43198.64364583333</v>
      </c>
      <c r="C1722" t="n">
        <v>8</v>
      </c>
      <c r="D1722" t="n">
        <v>4</v>
      </c>
      <c r="E1722" t="s">
        <v>1732</v>
      </c>
      <c r="F1722">
        <f>HYPERLINK("http://pbs.twimg.com/media/DaRUJZoU0AAuoIN.jpg", "http://pbs.twimg.com/media/DaRUJZoU0AAuoIN.jpg")</f>
        <v/>
      </c>
      <c r="G1722" t="s"/>
      <c r="H1722" t="s"/>
      <c r="I1722" t="s"/>
      <c r="J1722" t="n">
        <v>0</v>
      </c>
      <c r="K1722" t="n">
        <v>0</v>
      </c>
      <c r="L1722" t="n">
        <v>1</v>
      </c>
      <c r="M1722" t="n">
        <v>0</v>
      </c>
    </row>
    <row r="1723" spans="1:13">
      <c r="A1723" s="1">
        <f>HYPERLINK("http://www.twitter.com/NathanBLawrence/status/983003037194059776", "983003037194059776")</f>
        <v/>
      </c>
      <c r="B1723" s="2" t="n">
        <v>43198.6430787037</v>
      </c>
      <c r="C1723" t="n">
        <v>32</v>
      </c>
      <c r="D1723" t="n">
        <v>19</v>
      </c>
      <c r="E1723" t="s">
        <v>1733</v>
      </c>
      <c r="F1723">
        <f>HYPERLINK("http://pbs.twimg.com/media/DaRT9dbV4AA2Tj8.jpg", "http://pbs.twimg.com/media/DaRT9dbV4AA2Tj8.jpg")</f>
        <v/>
      </c>
      <c r="G1723" t="s"/>
      <c r="H1723" t="s"/>
      <c r="I1723" t="s"/>
      <c r="J1723" t="n">
        <v>0</v>
      </c>
      <c r="K1723" t="n">
        <v>0</v>
      </c>
      <c r="L1723" t="n">
        <v>1</v>
      </c>
      <c r="M1723" t="n">
        <v>0</v>
      </c>
    </row>
    <row r="1724" spans="1:13">
      <c r="A1724" s="1">
        <f>HYPERLINK("http://www.twitter.com/NathanBLawrence/status/983002806469607424", "983002806469607424")</f>
        <v/>
      </c>
      <c r="B1724" s="2" t="n">
        <v>43198.64244212963</v>
      </c>
      <c r="C1724" t="n">
        <v>0</v>
      </c>
      <c r="D1724" t="n">
        <v>19</v>
      </c>
      <c r="E1724" t="s">
        <v>1734</v>
      </c>
      <c r="F1724">
        <f>HYPERLINK("http://pbs.twimg.com/media/DaRO4xcVQAEaiMJ.jpg", "http://pbs.twimg.com/media/DaRO4xcVQAEaiMJ.jpg")</f>
        <v/>
      </c>
      <c r="G1724" t="s"/>
      <c r="H1724" t="s"/>
      <c r="I1724" t="s"/>
      <c r="J1724" t="n">
        <v>0</v>
      </c>
      <c r="K1724" t="n">
        <v>0</v>
      </c>
      <c r="L1724" t="n">
        <v>1</v>
      </c>
      <c r="M1724" t="n">
        <v>0</v>
      </c>
    </row>
    <row r="1725" spans="1:13">
      <c r="A1725" s="1">
        <f>HYPERLINK("http://www.twitter.com/NathanBLawrence/status/983002673053032448", "983002673053032448")</f>
        <v/>
      </c>
      <c r="B1725" s="2" t="n">
        <v>43198.64207175926</v>
      </c>
      <c r="C1725" t="n">
        <v>0</v>
      </c>
      <c r="D1725" t="n">
        <v>769</v>
      </c>
      <c r="E1725" t="s">
        <v>1735</v>
      </c>
      <c r="F1725">
        <f>HYPERLINK("http://pbs.twimg.com/media/DZmBnUSX4AEft5E.jpg", "http://pbs.twimg.com/media/DZmBnUSX4AEft5E.jpg")</f>
        <v/>
      </c>
      <c r="G1725" t="s"/>
      <c r="H1725" t="s"/>
      <c r="I1725" t="s"/>
      <c r="J1725" t="n">
        <v>0</v>
      </c>
      <c r="K1725" t="n">
        <v>0</v>
      </c>
      <c r="L1725" t="n">
        <v>1</v>
      </c>
      <c r="M1725" t="n">
        <v>0</v>
      </c>
    </row>
    <row r="1726" spans="1:13">
      <c r="A1726" s="1">
        <f>HYPERLINK("http://www.twitter.com/NathanBLawrence/status/983001948847616000", "983001948847616000")</f>
        <v/>
      </c>
      <c r="B1726" s="2" t="n">
        <v>43198.64006944445</v>
      </c>
      <c r="C1726" t="n">
        <v>11</v>
      </c>
      <c r="D1726" t="n">
        <v>8</v>
      </c>
      <c r="E1726" t="s">
        <v>1736</v>
      </c>
      <c r="F1726">
        <f>HYPERLINK("http://pbs.twimg.com/media/DaRTBiUUwAE453c.jpg", "http://pbs.twimg.com/media/DaRTBiUUwAE453c.jpg")</f>
        <v/>
      </c>
      <c r="G1726" t="s"/>
      <c r="H1726" t="s"/>
      <c r="I1726" t="s"/>
      <c r="J1726" t="n">
        <v>0</v>
      </c>
      <c r="K1726" t="n">
        <v>0</v>
      </c>
      <c r="L1726" t="n">
        <v>1</v>
      </c>
      <c r="M1726" t="n">
        <v>0</v>
      </c>
    </row>
    <row r="1727" spans="1:13">
      <c r="A1727" s="1">
        <f>HYPERLINK("http://www.twitter.com/NathanBLawrence/status/983001802760110081", "983001802760110081")</f>
        <v/>
      </c>
      <c r="B1727" s="2" t="n">
        <v>43198.63966435185</v>
      </c>
      <c r="C1727" t="n">
        <v>14</v>
      </c>
      <c r="D1727" t="n">
        <v>5</v>
      </c>
      <c r="E1727" t="s">
        <v>1737</v>
      </c>
      <c r="F1727">
        <f>HYPERLINK("http://pbs.twimg.com/media/DaRS42WUMAAVDx8.jpg", "http://pbs.twimg.com/media/DaRS42WUMAAVDx8.jpg")</f>
        <v/>
      </c>
      <c r="G1727" t="s"/>
      <c r="H1727" t="s"/>
      <c r="I1727" t="s"/>
      <c r="J1727" t="n">
        <v>0</v>
      </c>
      <c r="K1727" t="n">
        <v>0</v>
      </c>
      <c r="L1727" t="n">
        <v>1</v>
      </c>
      <c r="M1727" t="n">
        <v>0</v>
      </c>
    </row>
    <row r="1728" spans="1:13">
      <c r="A1728" s="1">
        <f>HYPERLINK("http://www.twitter.com/NathanBLawrence/status/983001532646830083", "983001532646830083")</f>
        <v/>
      </c>
      <c r="B1728" s="2" t="n">
        <v>43198.63892361111</v>
      </c>
      <c r="C1728" t="n">
        <v>0</v>
      </c>
      <c r="D1728" t="n">
        <v>175</v>
      </c>
      <c r="E1728" t="s">
        <v>1738</v>
      </c>
      <c r="F1728">
        <f>HYPERLINK("http://pbs.twimg.com/media/DaRL9AeUMAAtSbM.jpg", "http://pbs.twimg.com/media/DaRL9AeUMAAtSbM.jpg")</f>
        <v/>
      </c>
      <c r="G1728" t="s"/>
      <c r="H1728" t="s"/>
      <c r="I1728" t="s"/>
      <c r="J1728" t="n">
        <v>-0.9042</v>
      </c>
      <c r="K1728" t="n">
        <v>0.371</v>
      </c>
      <c r="L1728" t="n">
        <v>0.629</v>
      </c>
      <c r="M1728" t="n">
        <v>0</v>
      </c>
    </row>
    <row r="1729" spans="1:13">
      <c r="A1729" s="1">
        <f>HYPERLINK("http://www.twitter.com/NathanBLawrence/status/983001225229516806", "983001225229516806")</f>
        <v/>
      </c>
      <c r="B1729" s="2" t="n">
        <v>43198.63807870371</v>
      </c>
      <c r="C1729" t="n">
        <v>0</v>
      </c>
      <c r="D1729" t="n">
        <v>360</v>
      </c>
      <c r="E1729" t="s">
        <v>1739</v>
      </c>
      <c r="F1729" t="s"/>
      <c r="G1729" t="s"/>
      <c r="H1729" t="s"/>
      <c r="I1729" t="s"/>
      <c r="J1729" t="n">
        <v>-0.1295</v>
      </c>
      <c r="K1729" t="n">
        <v>0.118</v>
      </c>
      <c r="L1729" t="n">
        <v>0.788</v>
      </c>
      <c r="M1729" t="n">
        <v>0.094</v>
      </c>
    </row>
    <row r="1730" spans="1:13">
      <c r="A1730" s="1">
        <f>HYPERLINK("http://www.twitter.com/NathanBLawrence/status/983000423517716487", "983000423517716487")</f>
        <v/>
      </c>
      <c r="B1730" s="2" t="n">
        <v>43198.63585648148</v>
      </c>
      <c r="C1730" t="n">
        <v>0</v>
      </c>
      <c r="D1730" t="n">
        <v>144</v>
      </c>
      <c r="E1730" t="s">
        <v>1740</v>
      </c>
      <c r="F1730">
        <f>HYPERLINK("http://pbs.twimg.com/media/DaL-wD8VAAA2LHO.jpg", "http://pbs.twimg.com/media/DaL-wD8VAAA2LHO.jpg")</f>
        <v/>
      </c>
      <c r="G1730" t="s"/>
      <c r="H1730" t="s"/>
      <c r="I1730" t="s"/>
      <c r="J1730" t="n">
        <v>0</v>
      </c>
      <c r="K1730" t="n">
        <v>0</v>
      </c>
      <c r="L1730" t="n">
        <v>1</v>
      </c>
      <c r="M1730" t="n">
        <v>0</v>
      </c>
    </row>
    <row r="1731" spans="1:13">
      <c r="A1731" s="1">
        <f>HYPERLINK("http://www.twitter.com/NathanBLawrence/status/982999943907393541", "982999943907393541")</f>
        <v/>
      </c>
      <c r="B1731" s="2" t="n">
        <v>43198.63453703704</v>
      </c>
      <c r="C1731" t="n">
        <v>7</v>
      </c>
      <c r="D1731" t="n">
        <v>3</v>
      </c>
      <c r="E1731" t="s">
        <v>1741</v>
      </c>
      <c r="F1731" t="s"/>
      <c r="G1731" t="s"/>
      <c r="H1731" t="s"/>
      <c r="I1731" t="s"/>
      <c r="J1731" t="n">
        <v>0</v>
      </c>
      <c r="K1731" t="n">
        <v>0</v>
      </c>
      <c r="L1731" t="n">
        <v>1</v>
      </c>
      <c r="M1731" t="n">
        <v>0</v>
      </c>
    </row>
    <row r="1732" spans="1:13">
      <c r="A1732" s="1">
        <f>HYPERLINK("http://www.twitter.com/NathanBLawrence/status/982999525890473984", "982999525890473984")</f>
        <v/>
      </c>
      <c r="B1732" s="2" t="n">
        <v>43198.63337962963</v>
      </c>
      <c r="C1732" t="n">
        <v>0</v>
      </c>
      <c r="D1732" t="n">
        <v>2966</v>
      </c>
      <c r="E1732" t="s">
        <v>1742</v>
      </c>
      <c r="F1732">
        <f>HYPERLINK("http://pbs.twimg.com/media/DaNbmgdUMAA95Lr.jpg", "http://pbs.twimg.com/media/DaNbmgdUMAA95Lr.jpg")</f>
        <v/>
      </c>
      <c r="G1732" t="s"/>
      <c r="H1732" t="s"/>
      <c r="I1732" t="s"/>
      <c r="J1732" t="n">
        <v>0.6705</v>
      </c>
      <c r="K1732" t="n">
        <v>0</v>
      </c>
      <c r="L1732" t="n">
        <v>0.792</v>
      </c>
      <c r="M1732" t="n">
        <v>0.208</v>
      </c>
    </row>
    <row r="1733" spans="1:13">
      <c r="A1733" s="1">
        <f>HYPERLINK("http://www.twitter.com/NathanBLawrence/status/982999138966138880", "982999138966138880")</f>
        <v/>
      </c>
      <c r="B1733" s="2" t="n">
        <v>43198.63231481481</v>
      </c>
      <c r="C1733" t="n">
        <v>0</v>
      </c>
      <c r="D1733" t="n">
        <v>52</v>
      </c>
      <c r="E1733" t="s">
        <v>1743</v>
      </c>
      <c r="F1733">
        <f>HYPERLINK("http://pbs.twimg.com/media/DaRQMCfVMAApcW7.jpg", "http://pbs.twimg.com/media/DaRQMCfVMAApcW7.jpg")</f>
        <v/>
      </c>
      <c r="G1733" t="s"/>
      <c r="H1733" t="s"/>
      <c r="I1733" t="s"/>
      <c r="J1733" t="n">
        <v>0</v>
      </c>
      <c r="K1733" t="n">
        <v>0</v>
      </c>
      <c r="L1733" t="n">
        <v>1</v>
      </c>
      <c r="M1733" t="n">
        <v>0</v>
      </c>
    </row>
    <row r="1734" spans="1:13">
      <c r="A1734" s="1">
        <f>HYPERLINK("http://www.twitter.com/NathanBLawrence/status/982998964843659270", "982998964843659270")</f>
        <v/>
      </c>
      <c r="B1734" s="2" t="n">
        <v>43198.63184027778</v>
      </c>
      <c r="C1734" t="n">
        <v>13</v>
      </c>
      <c r="D1734" t="n">
        <v>6</v>
      </c>
      <c r="E1734" t="s">
        <v>1744</v>
      </c>
      <c r="F1734">
        <f>HYPERLINK("http://pbs.twimg.com/media/DaRQPzwV4AEiI0g.jpg", "http://pbs.twimg.com/media/DaRQPzwV4AEiI0g.jpg")</f>
        <v/>
      </c>
      <c r="G1734" t="s"/>
      <c r="H1734" t="s"/>
      <c r="I1734" t="s"/>
      <c r="J1734" t="n">
        <v>0</v>
      </c>
      <c r="K1734" t="n">
        <v>0</v>
      </c>
      <c r="L1734" t="n">
        <v>1</v>
      </c>
      <c r="M1734" t="n">
        <v>0</v>
      </c>
    </row>
    <row r="1735" spans="1:13">
      <c r="A1735" s="1">
        <f>HYPERLINK("http://www.twitter.com/NathanBLawrence/status/982998753865940992", "982998753865940992")</f>
        <v/>
      </c>
      <c r="B1735" s="2" t="n">
        <v>43198.63125</v>
      </c>
      <c r="C1735" t="n">
        <v>15</v>
      </c>
      <c r="D1735" t="n">
        <v>3</v>
      </c>
      <c r="E1735" t="s">
        <v>1745</v>
      </c>
      <c r="F1735">
        <f>HYPERLINK("http://pbs.twimg.com/media/DaRP9PlXcAAFUZY.jpg", "http://pbs.twimg.com/media/DaRP9PlXcAAFUZY.jpg")</f>
        <v/>
      </c>
      <c r="G1735" t="s"/>
      <c r="H1735" t="s"/>
      <c r="I1735" t="s"/>
      <c r="J1735" t="n">
        <v>0</v>
      </c>
      <c r="K1735" t="n">
        <v>0</v>
      </c>
      <c r="L1735" t="n">
        <v>1</v>
      </c>
      <c r="M1735" t="n">
        <v>0</v>
      </c>
    </row>
    <row r="1736" spans="1:13">
      <c r="A1736" s="1">
        <f>HYPERLINK("http://www.twitter.com/NathanBLawrence/status/982997854368104449", "982997854368104449")</f>
        <v/>
      </c>
      <c r="B1736" s="2" t="n">
        <v>43198.62877314815</v>
      </c>
      <c r="C1736" t="n">
        <v>0</v>
      </c>
      <c r="D1736" t="n">
        <v>8</v>
      </c>
      <c r="E1736" t="s">
        <v>1746</v>
      </c>
      <c r="F1736" t="s"/>
      <c r="G1736" t="s"/>
      <c r="H1736" t="s"/>
      <c r="I1736" t="s"/>
      <c r="J1736" t="n">
        <v>0</v>
      </c>
      <c r="K1736" t="n">
        <v>0</v>
      </c>
      <c r="L1736" t="n">
        <v>1</v>
      </c>
      <c r="M1736" t="n">
        <v>0</v>
      </c>
    </row>
    <row r="1737" spans="1:13">
      <c r="A1737" s="1">
        <f>HYPERLINK("http://www.twitter.com/NathanBLawrence/status/982997627724681216", "982997627724681216")</f>
        <v/>
      </c>
      <c r="B1737" s="2" t="n">
        <v>43198.62814814815</v>
      </c>
      <c r="C1737" t="n">
        <v>0</v>
      </c>
      <c r="D1737" t="n">
        <v>466</v>
      </c>
      <c r="E1737" t="s">
        <v>1747</v>
      </c>
      <c r="F1737" t="s"/>
      <c r="G1737" t="s"/>
      <c r="H1737" t="s"/>
      <c r="I1737" t="s"/>
      <c r="J1737" t="n">
        <v>0</v>
      </c>
      <c r="K1737" t="n">
        <v>0</v>
      </c>
      <c r="L1737" t="n">
        <v>1</v>
      </c>
      <c r="M1737" t="n">
        <v>0</v>
      </c>
    </row>
    <row r="1738" spans="1:13">
      <c r="A1738" s="1">
        <f>HYPERLINK("http://www.twitter.com/NathanBLawrence/status/982997530806960128", "982997530806960128")</f>
        <v/>
      </c>
      <c r="B1738" s="2" t="n">
        <v>43198.62788194444</v>
      </c>
      <c r="C1738" t="n">
        <v>0</v>
      </c>
      <c r="D1738" t="n">
        <v>93</v>
      </c>
      <c r="E1738" t="s">
        <v>1748</v>
      </c>
      <c r="F1738" t="s"/>
      <c r="G1738" t="s"/>
      <c r="H1738" t="s"/>
      <c r="I1738" t="s"/>
      <c r="J1738" t="n">
        <v>0.5719</v>
      </c>
      <c r="K1738" t="n">
        <v>0</v>
      </c>
      <c r="L1738" t="n">
        <v>0.844</v>
      </c>
      <c r="M1738" t="n">
        <v>0.156</v>
      </c>
    </row>
    <row r="1739" spans="1:13">
      <c r="A1739" s="1">
        <f>HYPERLINK("http://www.twitter.com/NathanBLawrence/status/982997428839174144", "982997428839174144")</f>
        <v/>
      </c>
      <c r="B1739" s="2" t="n">
        <v>43198.62759259259</v>
      </c>
      <c r="C1739" t="n">
        <v>0</v>
      </c>
      <c r="D1739" t="n">
        <v>37</v>
      </c>
      <c r="E1739" t="s">
        <v>1749</v>
      </c>
      <c r="F1739">
        <f>HYPERLINK("http://pbs.twimg.com/media/DaQ8k7pUMAAmh9y.jpg", "http://pbs.twimg.com/media/DaQ8k7pUMAAmh9y.jpg")</f>
        <v/>
      </c>
      <c r="G1739" t="s"/>
      <c r="H1739" t="s"/>
      <c r="I1739" t="s"/>
      <c r="J1739" t="n">
        <v>0</v>
      </c>
      <c r="K1739" t="n">
        <v>0</v>
      </c>
      <c r="L1739" t="n">
        <v>1</v>
      </c>
      <c r="M1739" t="n">
        <v>0</v>
      </c>
    </row>
    <row r="1740" spans="1:13">
      <c r="A1740" s="1">
        <f>HYPERLINK("http://www.twitter.com/NathanBLawrence/status/982997219237281792", "982997219237281792")</f>
        <v/>
      </c>
      <c r="B1740" s="2" t="n">
        <v>43198.62701388889</v>
      </c>
      <c r="C1740" t="n">
        <v>0</v>
      </c>
      <c r="D1740" t="n">
        <v>20</v>
      </c>
      <c r="E1740" t="s">
        <v>1750</v>
      </c>
      <c r="F1740">
        <f>HYPERLINK("http://pbs.twimg.com/media/DaROHYsW4AAJ0h1.jpg", "http://pbs.twimg.com/media/DaROHYsW4AAJ0h1.jpg")</f>
        <v/>
      </c>
      <c r="G1740" t="s"/>
      <c r="H1740" t="s"/>
      <c r="I1740" t="s"/>
      <c r="J1740" t="n">
        <v>0</v>
      </c>
      <c r="K1740" t="n">
        <v>0</v>
      </c>
      <c r="L1740" t="n">
        <v>1</v>
      </c>
      <c r="M1740" t="n">
        <v>0</v>
      </c>
    </row>
    <row r="1741" spans="1:13">
      <c r="A1741" s="1">
        <f>HYPERLINK("http://www.twitter.com/NathanBLawrence/status/982996755930218496", "982996755930218496")</f>
        <v/>
      </c>
      <c r="B1741" s="2" t="n">
        <v>43198.62574074074</v>
      </c>
      <c r="C1741" t="n">
        <v>22</v>
      </c>
      <c r="D1741" t="n">
        <v>15</v>
      </c>
      <c r="E1741" t="s">
        <v>1751</v>
      </c>
      <c r="F1741" t="s"/>
      <c r="G1741" t="s"/>
      <c r="H1741" t="s"/>
      <c r="I1741" t="s"/>
      <c r="J1741" t="n">
        <v>-0.4003</v>
      </c>
      <c r="K1741" t="n">
        <v>0.402</v>
      </c>
      <c r="L1741" t="n">
        <v>0.598</v>
      </c>
      <c r="M1741" t="n">
        <v>0</v>
      </c>
    </row>
    <row r="1742" spans="1:13">
      <c r="A1742" s="1">
        <f>HYPERLINK("http://www.twitter.com/NathanBLawrence/status/982996468305879040", "982996468305879040")</f>
        <v/>
      </c>
      <c r="B1742" s="2" t="n">
        <v>43198.62494212963</v>
      </c>
      <c r="C1742" t="n">
        <v>8</v>
      </c>
      <c r="D1742" t="n">
        <v>11</v>
      </c>
      <c r="E1742" t="s">
        <v>1752</v>
      </c>
      <c r="F1742" t="s"/>
      <c r="G1742" t="s"/>
      <c r="H1742" t="s"/>
      <c r="I1742" t="s"/>
      <c r="J1742" t="n">
        <v>-0.6739000000000001</v>
      </c>
      <c r="K1742" t="n">
        <v>0.819</v>
      </c>
      <c r="L1742" t="n">
        <v>0.181</v>
      </c>
      <c r="M1742" t="n">
        <v>0</v>
      </c>
    </row>
    <row r="1743" spans="1:13">
      <c r="A1743" s="1">
        <f>HYPERLINK("http://www.twitter.com/NathanBLawrence/status/982996278077407234", "982996278077407234")</f>
        <v/>
      </c>
      <c r="B1743" s="2" t="n">
        <v>43198.6244212963</v>
      </c>
      <c r="C1743" t="n">
        <v>26</v>
      </c>
      <c r="D1743" t="n">
        <v>13</v>
      </c>
      <c r="E1743" t="s">
        <v>1753</v>
      </c>
      <c r="F1743" t="s"/>
      <c r="G1743" t="s"/>
      <c r="H1743" t="s"/>
      <c r="I1743" t="s"/>
      <c r="J1743" t="n">
        <v>0</v>
      </c>
      <c r="K1743" t="n">
        <v>0</v>
      </c>
      <c r="L1743" t="n">
        <v>1</v>
      </c>
      <c r="M1743" t="n">
        <v>0</v>
      </c>
    </row>
    <row r="1744" spans="1:13">
      <c r="A1744" s="1">
        <f>HYPERLINK("http://www.twitter.com/NathanBLawrence/status/982995946836344844", "982995946836344844")</f>
        <v/>
      </c>
      <c r="B1744" s="2" t="n">
        <v>43198.62350694444</v>
      </c>
      <c r="C1744" t="n">
        <v>44</v>
      </c>
      <c r="D1744" t="n">
        <v>29</v>
      </c>
      <c r="E1744" t="s">
        <v>1754</v>
      </c>
      <c r="F1744" t="s"/>
      <c r="G1744" t="s"/>
      <c r="H1744" t="s"/>
      <c r="I1744" t="s"/>
      <c r="J1744" t="n">
        <v>-0.9431</v>
      </c>
      <c r="K1744" t="n">
        <v>0.245</v>
      </c>
      <c r="L1744" t="n">
        <v>0.721</v>
      </c>
      <c r="M1744" t="n">
        <v>0.035</v>
      </c>
    </row>
    <row r="1745" spans="1:13">
      <c r="A1745" s="1">
        <f>HYPERLINK("http://www.twitter.com/NathanBLawrence/status/982994095520956418", "982994095520956418")</f>
        <v/>
      </c>
      <c r="B1745" s="2" t="n">
        <v>43198.61840277778</v>
      </c>
      <c r="C1745" t="n">
        <v>0</v>
      </c>
      <c r="D1745" t="n">
        <v>849</v>
      </c>
      <c r="E1745" t="s">
        <v>1755</v>
      </c>
      <c r="F1745" t="s"/>
      <c r="G1745" t="s"/>
      <c r="H1745" t="s"/>
      <c r="I1745" t="s"/>
      <c r="J1745" t="n">
        <v>-0.1007</v>
      </c>
      <c r="K1745" t="n">
        <v>0.148</v>
      </c>
      <c r="L1745" t="n">
        <v>0.721</v>
      </c>
      <c r="M1745" t="n">
        <v>0.131</v>
      </c>
    </row>
    <row r="1746" spans="1:13">
      <c r="A1746" s="1">
        <f>HYPERLINK("http://www.twitter.com/NathanBLawrence/status/982993879141003266", "982993879141003266")</f>
        <v/>
      </c>
      <c r="B1746" s="2" t="n">
        <v>43198.61780092592</v>
      </c>
      <c r="C1746" t="n">
        <v>0</v>
      </c>
      <c r="D1746" t="n">
        <v>905</v>
      </c>
      <c r="E1746" t="s">
        <v>1756</v>
      </c>
      <c r="F1746">
        <f>HYPERLINK("http://pbs.twimg.com/media/DaMR9JyU8AAbKAj.jpg", "http://pbs.twimg.com/media/DaMR9JyU8AAbKAj.jpg")</f>
        <v/>
      </c>
      <c r="G1746" t="s"/>
      <c r="H1746" t="s"/>
      <c r="I1746" t="s"/>
      <c r="J1746" t="n">
        <v>0.3975</v>
      </c>
      <c r="K1746" t="n">
        <v>0.049</v>
      </c>
      <c r="L1746" t="n">
        <v>0.836</v>
      </c>
      <c r="M1746" t="n">
        <v>0.115</v>
      </c>
    </row>
    <row r="1747" spans="1:13">
      <c r="A1747" s="1">
        <f>HYPERLINK("http://www.twitter.com/NathanBLawrence/status/982993775797592065", "982993775797592065")</f>
        <v/>
      </c>
      <c r="B1747" s="2" t="n">
        <v>43198.61751157408</v>
      </c>
      <c r="C1747" t="n">
        <v>0</v>
      </c>
      <c r="D1747" t="n">
        <v>249</v>
      </c>
      <c r="E1747" t="s">
        <v>1757</v>
      </c>
      <c r="F1747">
        <f>HYPERLINK("http://pbs.twimg.com/media/DaQiwViW0AAG7KQ.jpg", "http://pbs.twimg.com/media/DaQiwViW0AAG7KQ.jpg")</f>
        <v/>
      </c>
      <c r="G1747" t="s"/>
      <c r="H1747" t="s"/>
      <c r="I1747" t="s"/>
      <c r="J1747" t="n">
        <v>0.7579</v>
      </c>
      <c r="K1747" t="n">
        <v>0</v>
      </c>
      <c r="L1747" t="n">
        <v>0.649</v>
      </c>
      <c r="M1747" t="n">
        <v>0.351</v>
      </c>
    </row>
    <row r="1748" spans="1:13">
      <c r="A1748" s="1">
        <f>HYPERLINK("http://www.twitter.com/NathanBLawrence/status/982993703718367232", "982993703718367232")</f>
        <v/>
      </c>
      <c r="B1748" s="2" t="n">
        <v>43198.61731481482</v>
      </c>
      <c r="C1748" t="n">
        <v>7</v>
      </c>
      <c r="D1748" t="n">
        <v>4</v>
      </c>
      <c r="E1748" t="s">
        <v>1758</v>
      </c>
      <c r="F1748" t="s"/>
      <c r="G1748" t="s"/>
      <c r="H1748" t="s"/>
      <c r="I1748" t="s"/>
      <c r="J1748" t="n">
        <v>-0.836</v>
      </c>
      <c r="K1748" t="n">
        <v>0.344</v>
      </c>
      <c r="L1748" t="n">
        <v>0.656</v>
      </c>
      <c r="M1748" t="n">
        <v>0</v>
      </c>
    </row>
    <row r="1749" spans="1:13">
      <c r="A1749" s="1">
        <f>HYPERLINK("http://www.twitter.com/NathanBLawrence/status/982992764215242757", "982992764215242757")</f>
        <v/>
      </c>
      <c r="B1749" s="2" t="n">
        <v>43198.61472222222</v>
      </c>
      <c r="C1749" t="n">
        <v>0</v>
      </c>
      <c r="D1749" t="n">
        <v>1133</v>
      </c>
      <c r="E1749" t="s">
        <v>1759</v>
      </c>
      <c r="F1749">
        <f>HYPERLINK("http://pbs.twimg.com/media/DaRKDCrV4AA0Vj8.jpg", "http://pbs.twimg.com/media/DaRKDCrV4AA0Vj8.jpg")</f>
        <v/>
      </c>
      <c r="G1749" t="s"/>
      <c r="H1749" t="s"/>
      <c r="I1749" t="s"/>
      <c r="J1749" t="n">
        <v>0</v>
      </c>
      <c r="K1749" t="n">
        <v>0</v>
      </c>
      <c r="L1749" t="n">
        <v>1</v>
      </c>
      <c r="M1749" t="n">
        <v>0</v>
      </c>
    </row>
    <row r="1750" spans="1:13">
      <c r="A1750" s="1">
        <f>HYPERLINK("http://www.twitter.com/NathanBLawrence/status/982992665565212673", "982992665565212673")</f>
        <v/>
      </c>
      <c r="B1750" s="2" t="n">
        <v>43198.61445601852</v>
      </c>
      <c r="C1750" t="n">
        <v>0</v>
      </c>
      <c r="D1750" t="n">
        <v>137</v>
      </c>
      <c r="E1750" t="s">
        <v>1760</v>
      </c>
      <c r="F1750">
        <f>HYPERLINK("http://pbs.twimg.com/media/DaQe2EJVMAEs9Jn.jpg", "http://pbs.twimg.com/media/DaQe2EJVMAEs9Jn.jpg")</f>
        <v/>
      </c>
      <c r="G1750" t="s"/>
      <c r="H1750" t="s"/>
      <c r="I1750" t="s"/>
      <c r="J1750" t="n">
        <v>0.9748</v>
      </c>
      <c r="K1750" t="n">
        <v>0</v>
      </c>
      <c r="L1750" t="n">
        <v>0.344</v>
      </c>
      <c r="M1750" t="n">
        <v>0.656</v>
      </c>
    </row>
    <row r="1751" spans="1:13">
      <c r="A1751" s="1">
        <f>HYPERLINK("http://www.twitter.com/NathanBLawrence/status/982992263738527744", "982992263738527744")</f>
        <v/>
      </c>
      <c r="B1751" s="2" t="n">
        <v>43198.6133449074</v>
      </c>
      <c r="C1751" t="n">
        <v>0</v>
      </c>
      <c r="D1751" t="n">
        <v>204</v>
      </c>
      <c r="E1751" t="s">
        <v>1761</v>
      </c>
      <c r="F1751" t="s"/>
      <c r="G1751" t="s"/>
      <c r="H1751" t="s"/>
      <c r="I1751" t="s"/>
      <c r="J1751" t="n">
        <v>-0.4389</v>
      </c>
      <c r="K1751" t="n">
        <v>0.145</v>
      </c>
      <c r="L1751" t="n">
        <v>0.855</v>
      </c>
      <c r="M1751" t="n">
        <v>0</v>
      </c>
    </row>
    <row r="1752" spans="1:13">
      <c r="A1752" s="1">
        <f>HYPERLINK("http://www.twitter.com/NathanBLawrence/status/982992205529825282", "982992205529825282")</f>
        <v/>
      </c>
      <c r="B1752" s="2" t="n">
        <v>43198.61318287037</v>
      </c>
      <c r="C1752" t="n">
        <v>0</v>
      </c>
      <c r="D1752" t="n">
        <v>26</v>
      </c>
      <c r="E1752" t="s">
        <v>1762</v>
      </c>
      <c r="F1752">
        <f>HYPERLINK("http://pbs.twimg.com/media/DaRBBnoUQAAixOg.jpg", "http://pbs.twimg.com/media/DaRBBnoUQAAixOg.jpg")</f>
        <v/>
      </c>
      <c r="G1752" t="s"/>
      <c r="H1752" t="s"/>
      <c r="I1752" t="s"/>
      <c r="J1752" t="n">
        <v>0.6369</v>
      </c>
      <c r="K1752" t="n">
        <v>0</v>
      </c>
      <c r="L1752" t="n">
        <v>0.833</v>
      </c>
      <c r="M1752" t="n">
        <v>0.167</v>
      </c>
    </row>
    <row r="1753" spans="1:13">
      <c r="A1753" s="1">
        <f>HYPERLINK("http://www.twitter.com/NathanBLawrence/status/982991932879065088", "982991932879065088")</f>
        <v/>
      </c>
      <c r="B1753" s="2" t="n">
        <v>43198.61243055556</v>
      </c>
      <c r="C1753" t="n">
        <v>0</v>
      </c>
      <c r="D1753" t="n">
        <v>376</v>
      </c>
      <c r="E1753" t="s">
        <v>1763</v>
      </c>
      <c r="F1753">
        <f>HYPERLINK("http://pbs.twimg.com/media/DSuXNI4U0AAaoJd.jpg", "http://pbs.twimg.com/media/DSuXNI4U0AAaoJd.jpg")</f>
        <v/>
      </c>
      <c r="G1753" t="s"/>
      <c r="H1753" t="s"/>
      <c r="I1753" t="s"/>
      <c r="J1753" t="n">
        <v>-0.6339</v>
      </c>
      <c r="K1753" t="n">
        <v>0.319</v>
      </c>
      <c r="L1753" t="n">
        <v>0.509</v>
      </c>
      <c r="M1753" t="n">
        <v>0.172</v>
      </c>
    </row>
    <row r="1754" spans="1:13">
      <c r="A1754" s="1">
        <f>HYPERLINK("http://www.twitter.com/NathanBLawrence/status/982991621816905730", "982991621816905730")</f>
        <v/>
      </c>
      <c r="B1754" s="2" t="n">
        <v>43198.61157407407</v>
      </c>
      <c r="C1754" t="n">
        <v>0</v>
      </c>
      <c r="D1754" t="n">
        <v>191</v>
      </c>
      <c r="E1754" t="s">
        <v>1764</v>
      </c>
      <c r="F1754">
        <f>HYPERLINK("http://pbs.twimg.com/media/DaNXWv4U0AARw9m.jpg", "http://pbs.twimg.com/media/DaNXWv4U0AARw9m.jpg")</f>
        <v/>
      </c>
      <c r="G1754" t="s"/>
      <c r="H1754" t="s"/>
      <c r="I1754" t="s"/>
      <c r="J1754" t="n">
        <v>0</v>
      </c>
      <c r="K1754" t="n">
        <v>0</v>
      </c>
      <c r="L1754" t="n">
        <v>1</v>
      </c>
      <c r="M1754" t="n">
        <v>0</v>
      </c>
    </row>
    <row r="1755" spans="1:13">
      <c r="A1755" s="1">
        <f>HYPERLINK("http://www.twitter.com/NathanBLawrence/status/982991493571883008", "982991493571883008")</f>
        <v/>
      </c>
      <c r="B1755" s="2" t="n">
        <v>43198.61121527778</v>
      </c>
      <c r="C1755" t="n">
        <v>0</v>
      </c>
      <c r="D1755" t="n">
        <v>688</v>
      </c>
      <c r="E1755" t="s">
        <v>1765</v>
      </c>
      <c r="F1755" t="s"/>
      <c r="G1755" t="s"/>
      <c r="H1755" t="s"/>
      <c r="I1755" t="s"/>
      <c r="J1755" t="n">
        <v>0.4751</v>
      </c>
      <c r="K1755" t="n">
        <v>0.092</v>
      </c>
      <c r="L1755" t="n">
        <v>0.743</v>
      </c>
      <c r="M1755" t="n">
        <v>0.166</v>
      </c>
    </row>
    <row r="1756" spans="1:13">
      <c r="A1756" s="1">
        <f>HYPERLINK("http://www.twitter.com/NathanBLawrence/status/982834006759694336", "982834006759694336")</f>
        <v/>
      </c>
      <c r="B1756" s="2" t="n">
        <v>43198.17664351852</v>
      </c>
      <c r="C1756" t="n">
        <v>12</v>
      </c>
      <c r="D1756" t="n">
        <v>4</v>
      </c>
      <c r="E1756" t="s">
        <v>1766</v>
      </c>
      <c r="F1756" t="s"/>
      <c r="G1756" t="s"/>
      <c r="H1756" t="s"/>
      <c r="I1756" t="s"/>
      <c r="J1756" t="n">
        <v>0.717</v>
      </c>
      <c r="K1756" t="n">
        <v>0</v>
      </c>
      <c r="L1756" t="n">
        <v>0.8</v>
      </c>
      <c r="M1756" t="n">
        <v>0.2</v>
      </c>
    </row>
    <row r="1757" spans="1:13">
      <c r="A1757" s="1">
        <f>HYPERLINK("http://www.twitter.com/NathanBLawrence/status/982831582695145472", "982831582695145472")</f>
        <v/>
      </c>
      <c r="B1757" s="2" t="n">
        <v>43198.16995370371</v>
      </c>
      <c r="C1757" t="n">
        <v>0</v>
      </c>
      <c r="D1757" t="n">
        <v>1</v>
      </c>
      <c r="E1757" t="s">
        <v>1767</v>
      </c>
      <c r="F1757">
        <f>HYPERLINK("http://pbs.twimg.com/media/DaO3E_RV4AAbw0u.jpg", "http://pbs.twimg.com/media/DaO3E_RV4AAbw0u.jpg")</f>
        <v/>
      </c>
      <c r="G1757" t="s"/>
      <c r="H1757" t="s"/>
      <c r="I1757" t="s"/>
      <c r="J1757" t="n">
        <v>0</v>
      </c>
      <c r="K1757" t="n">
        <v>0</v>
      </c>
      <c r="L1757" t="n">
        <v>1</v>
      </c>
      <c r="M1757" t="n">
        <v>0</v>
      </c>
    </row>
    <row r="1758" spans="1:13">
      <c r="A1758" s="1">
        <f>HYPERLINK("http://www.twitter.com/NathanBLawrence/status/982831454378848256", "982831454378848256")</f>
        <v/>
      </c>
      <c r="B1758" s="2" t="n">
        <v>43198.16959490741</v>
      </c>
      <c r="C1758" t="n">
        <v>0</v>
      </c>
      <c r="D1758" t="n">
        <v>520</v>
      </c>
      <c r="E1758" t="s">
        <v>1768</v>
      </c>
      <c r="F1758" t="s"/>
      <c r="G1758" t="s"/>
      <c r="H1758" t="s"/>
      <c r="I1758" t="s"/>
      <c r="J1758" t="n">
        <v>0.4215</v>
      </c>
      <c r="K1758" t="n">
        <v>0</v>
      </c>
      <c r="L1758" t="n">
        <v>0.833</v>
      </c>
      <c r="M1758" t="n">
        <v>0.167</v>
      </c>
    </row>
    <row r="1759" spans="1:13">
      <c r="A1759" s="1">
        <f>HYPERLINK("http://www.twitter.com/NathanBLawrence/status/982831381834166273", "982831381834166273")</f>
        <v/>
      </c>
      <c r="B1759" s="2" t="n">
        <v>43198.16939814815</v>
      </c>
      <c r="C1759" t="n">
        <v>0</v>
      </c>
      <c r="D1759" t="n">
        <v>144</v>
      </c>
      <c r="E1759" t="s">
        <v>1769</v>
      </c>
      <c r="F1759">
        <f>HYPERLINK("http://pbs.twimg.com/media/DaMWNtpU0AI6iFQ.jpg", "http://pbs.twimg.com/media/DaMWNtpU0AI6iFQ.jpg")</f>
        <v/>
      </c>
      <c r="G1759" t="s"/>
      <c r="H1759" t="s"/>
      <c r="I1759" t="s"/>
      <c r="J1759" t="n">
        <v>0</v>
      </c>
      <c r="K1759" t="n">
        <v>0</v>
      </c>
      <c r="L1759" t="n">
        <v>1</v>
      </c>
      <c r="M1759" t="n">
        <v>0</v>
      </c>
    </row>
    <row r="1760" spans="1:13">
      <c r="A1760" s="1">
        <f>HYPERLINK("http://www.twitter.com/NathanBLawrence/status/982831267962961920", "982831267962961920")</f>
        <v/>
      </c>
      <c r="B1760" s="2" t="n">
        <v>43198.16908564815</v>
      </c>
      <c r="C1760" t="n">
        <v>35</v>
      </c>
      <c r="D1760" t="n">
        <v>24</v>
      </c>
      <c r="E1760" t="s">
        <v>1770</v>
      </c>
      <c r="F1760" t="s"/>
      <c r="G1760" t="s"/>
      <c r="H1760" t="s"/>
      <c r="I1760" t="s"/>
      <c r="J1760" t="n">
        <v>-0.2462</v>
      </c>
      <c r="K1760" t="n">
        <v>0.181</v>
      </c>
      <c r="L1760" t="n">
        <v>0.819</v>
      </c>
      <c r="M1760" t="n">
        <v>0</v>
      </c>
    </row>
    <row r="1761" spans="1:13">
      <c r="A1761" s="1">
        <f>HYPERLINK("http://www.twitter.com/NathanBLawrence/status/982735157336555521", "982735157336555521")</f>
        <v/>
      </c>
      <c r="B1761" s="2" t="n">
        <v>43197.90386574074</v>
      </c>
      <c r="C1761" t="n">
        <v>26</v>
      </c>
      <c r="D1761" t="n">
        <v>11</v>
      </c>
      <c r="E1761" t="s">
        <v>1771</v>
      </c>
      <c r="F1761" t="s"/>
      <c r="G1761" t="s"/>
      <c r="H1761" t="s"/>
      <c r="I1761" t="s"/>
      <c r="J1761" t="n">
        <v>0.2732</v>
      </c>
      <c r="K1761" t="n">
        <v>0</v>
      </c>
      <c r="L1761" t="n">
        <v>0.84</v>
      </c>
      <c r="M1761" t="n">
        <v>0.16</v>
      </c>
    </row>
    <row r="1762" spans="1:13">
      <c r="A1762" s="1">
        <f>HYPERLINK("http://www.twitter.com/NathanBLawrence/status/982732451758784512", "982732451758784512")</f>
        <v/>
      </c>
      <c r="B1762" s="2" t="n">
        <v>43197.89640046296</v>
      </c>
      <c r="C1762" t="n">
        <v>3</v>
      </c>
      <c r="D1762" t="n">
        <v>0</v>
      </c>
      <c r="E1762" t="s">
        <v>1772</v>
      </c>
      <c r="F1762" t="s"/>
      <c r="G1762" t="s"/>
      <c r="H1762" t="s"/>
      <c r="I1762" t="s"/>
      <c r="J1762" t="n">
        <v>0.4404</v>
      </c>
      <c r="K1762" t="n">
        <v>0</v>
      </c>
      <c r="L1762" t="n">
        <v>0.734</v>
      </c>
      <c r="M1762" t="n">
        <v>0.266</v>
      </c>
    </row>
    <row r="1763" spans="1:13">
      <c r="A1763" s="1">
        <f>HYPERLINK("http://www.twitter.com/NathanBLawrence/status/982503470803468288", "982503470803468288")</f>
        <v/>
      </c>
      <c r="B1763" s="2" t="n">
        <v>43197.26453703704</v>
      </c>
      <c r="C1763" t="n">
        <v>12</v>
      </c>
      <c r="D1763" t="n">
        <v>5</v>
      </c>
      <c r="E1763" t="s">
        <v>1773</v>
      </c>
      <c r="F1763" t="s"/>
      <c r="G1763" t="s"/>
      <c r="H1763" t="s"/>
      <c r="I1763" t="s"/>
      <c r="J1763" t="n">
        <v>-0.5266999999999999</v>
      </c>
      <c r="K1763" t="n">
        <v>0.298</v>
      </c>
      <c r="L1763" t="n">
        <v>0.702</v>
      </c>
      <c r="M1763" t="n">
        <v>0</v>
      </c>
    </row>
    <row r="1764" spans="1:13">
      <c r="A1764" s="1">
        <f>HYPERLINK("http://www.twitter.com/NathanBLawrence/status/982486226442702848", "982486226442702848")</f>
        <v/>
      </c>
      <c r="B1764" s="2" t="n">
        <v>43197.21694444444</v>
      </c>
      <c r="C1764" t="n">
        <v>0</v>
      </c>
      <c r="D1764" t="n">
        <v>1070</v>
      </c>
      <c r="E1764" t="s">
        <v>1774</v>
      </c>
      <c r="F1764">
        <f>HYPERLINK("http://pbs.twimg.com/media/DaE1fZXVAAEuIy8.jpg", "http://pbs.twimg.com/media/DaE1fZXVAAEuIy8.jpg")</f>
        <v/>
      </c>
      <c r="G1764" t="s"/>
      <c r="H1764" t="s"/>
      <c r="I1764" t="s"/>
      <c r="J1764" t="n">
        <v>-0.4767</v>
      </c>
      <c r="K1764" t="n">
        <v>0.154</v>
      </c>
      <c r="L1764" t="n">
        <v>0.846</v>
      </c>
      <c r="M1764" t="n">
        <v>0</v>
      </c>
    </row>
    <row r="1765" spans="1:13">
      <c r="A1765" s="1">
        <f>HYPERLINK("http://www.twitter.com/NathanBLawrence/status/982485526883151873", "982485526883151873")</f>
        <v/>
      </c>
      <c r="B1765" s="2" t="n">
        <v>43197.21501157407</v>
      </c>
      <c r="C1765" t="n">
        <v>0</v>
      </c>
      <c r="D1765" t="n">
        <v>249</v>
      </c>
      <c r="E1765" t="s">
        <v>1775</v>
      </c>
      <c r="F1765">
        <f>HYPERLINK("http://pbs.twimg.com/media/DaGpMgGUMAItEKm.jpg", "http://pbs.twimg.com/media/DaGpMgGUMAItEKm.jpg")</f>
        <v/>
      </c>
      <c r="G1765" t="s"/>
      <c r="H1765" t="s"/>
      <c r="I1765" t="s"/>
      <c r="J1765" t="n">
        <v>0</v>
      </c>
      <c r="K1765" t="n">
        <v>0</v>
      </c>
      <c r="L1765" t="n">
        <v>1</v>
      </c>
      <c r="M1765" t="n">
        <v>0</v>
      </c>
    </row>
    <row r="1766" spans="1:13">
      <c r="A1766" s="1">
        <f>HYPERLINK("http://www.twitter.com/NathanBLawrence/status/982485443613573120", "982485443613573120")</f>
        <v/>
      </c>
      <c r="B1766" s="2" t="n">
        <v>43197.21479166667</v>
      </c>
      <c r="C1766" t="n">
        <v>0</v>
      </c>
      <c r="D1766" t="n">
        <v>433</v>
      </c>
      <c r="E1766" t="s">
        <v>1776</v>
      </c>
      <c r="F1766">
        <f>HYPERLINK("http://pbs.twimg.com/media/DaI9U04XcAA95EU.jpg", "http://pbs.twimg.com/media/DaI9U04XcAA95EU.jpg")</f>
        <v/>
      </c>
      <c r="G1766" t="s"/>
      <c r="H1766" t="s"/>
      <c r="I1766" t="s"/>
      <c r="J1766" t="n">
        <v>0</v>
      </c>
      <c r="K1766" t="n">
        <v>0</v>
      </c>
      <c r="L1766" t="n">
        <v>1</v>
      </c>
      <c r="M1766" t="n">
        <v>0</v>
      </c>
    </row>
    <row r="1767" spans="1:13">
      <c r="A1767" s="1">
        <f>HYPERLINK("http://www.twitter.com/NathanBLawrence/status/982484812014305280", "982484812014305280")</f>
        <v/>
      </c>
      <c r="B1767" s="2" t="n">
        <v>43197.21304398148</v>
      </c>
      <c r="C1767" t="n">
        <v>0</v>
      </c>
      <c r="D1767" t="n">
        <v>6</v>
      </c>
      <c r="E1767" t="s">
        <v>1777</v>
      </c>
      <c r="F1767">
        <f>HYPERLINK("http://pbs.twimg.com/media/DaJ7UjYX4AAheFK.png", "http://pbs.twimg.com/media/DaJ7UjYX4AAheFK.png")</f>
        <v/>
      </c>
      <c r="G1767" t="s"/>
      <c r="H1767" t="s"/>
      <c r="I1767" t="s"/>
      <c r="J1767" t="n">
        <v>0.2732</v>
      </c>
      <c r="K1767" t="n">
        <v>0.077</v>
      </c>
      <c r="L1767" t="n">
        <v>0.806</v>
      </c>
      <c r="M1767" t="n">
        <v>0.117</v>
      </c>
    </row>
    <row r="1768" spans="1:13">
      <c r="A1768" s="1">
        <f>HYPERLINK("http://www.twitter.com/NathanBLawrence/status/982484729319452672", "982484729319452672")</f>
        <v/>
      </c>
      <c r="B1768" s="2" t="n">
        <v>43197.2128125</v>
      </c>
      <c r="C1768" t="n">
        <v>0</v>
      </c>
      <c r="D1768" t="n">
        <v>61</v>
      </c>
      <c r="E1768" t="s">
        <v>1778</v>
      </c>
      <c r="F1768">
        <f>HYPERLINK("http://pbs.twimg.com/media/DaJ6sNvVAAAmEKb.jpg", "http://pbs.twimg.com/media/DaJ6sNvVAAAmEKb.jpg")</f>
        <v/>
      </c>
      <c r="G1768" t="s"/>
      <c r="H1768" t="s"/>
      <c r="I1768" t="s"/>
      <c r="J1768" t="n">
        <v>0</v>
      </c>
      <c r="K1768" t="n">
        <v>0</v>
      </c>
      <c r="L1768" t="n">
        <v>1</v>
      </c>
      <c r="M1768" t="n">
        <v>0</v>
      </c>
    </row>
    <row r="1769" spans="1:13">
      <c r="A1769" s="1">
        <f>HYPERLINK("http://www.twitter.com/NathanBLawrence/status/982484653343846400", "982484653343846400")</f>
        <v/>
      </c>
      <c r="B1769" s="2" t="n">
        <v>43197.21260416666</v>
      </c>
      <c r="C1769" t="n">
        <v>14</v>
      </c>
      <c r="D1769" t="n">
        <v>5</v>
      </c>
      <c r="E1769" t="s">
        <v>1779</v>
      </c>
      <c r="F1769" t="s"/>
      <c r="G1769" t="s"/>
      <c r="H1769" t="s"/>
      <c r="I1769" t="s"/>
      <c r="J1769" t="n">
        <v>-0.5972</v>
      </c>
      <c r="K1769" t="n">
        <v>0.357</v>
      </c>
      <c r="L1769" t="n">
        <v>0.643</v>
      </c>
      <c r="M1769" t="n">
        <v>0</v>
      </c>
    </row>
    <row r="1770" spans="1:13">
      <c r="A1770" s="1">
        <f>HYPERLINK("http://www.twitter.com/NathanBLawrence/status/982484493268221953", "982484493268221953")</f>
        <v/>
      </c>
      <c r="B1770" s="2" t="n">
        <v>43197.21216435185</v>
      </c>
      <c r="C1770" t="n">
        <v>0</v>
      </c>
      <c r="D1770" t="n">
        <v>3</v>
      </c>
      <c r="E1770" t="s">
        <v>1780</v>
      </c>
      <c r="F1770">
        <f>HYPERLINK("http://pbs.twimg.com/media/DaJ66MXXkAIGF51.jpg", "http://pbs.twimg.com/media/DaJ66MXXkAIGF51.jpg")</f>
        <v/>
      </c>
      <c r="G1770" t="s"/>
      <c r="H1770" t="s"/>
      <c r="I1770" t="s"/>
      <c r="J1770" t="n">
        <v>0.6239</v>
      </c>
      <c r="K1770" t="n">
        <v>0</v>
      </c>
      <c r="L1770" t="n">
        <v>0.71</v>
      </c>
      <c r="M1770" t="n">
        <v>0.29</v>
      </c>
    </row>
    <row r="1771" spans="1:13">
      <c r="A1771" s="1">
        <f>HYPERLINK("http://www.twitter.com/NathanBLawrence/status/982480750074318848", "982480750074318848")</f>
        <v/>
      </c>
      <c r="B1771" s="2" t="n">
        <v>43197.20184027778</v>
      </c>
      <c r="C1771" t="n">
        <v>6</v>
      </c>
      <c r="D1771" t="n">
        <v>1</v>
      </c>
      <c r="E1771" t="s">
        <v>1781</v>
      </c>
      <c r="F1771" t="s"/>
      <c r="G1771" t="s"/>
      <c r="H1771" t="s"/>
      <c r="I1771" t="s"/>
      <c r="J1771" t="n">
        <v>0</v>
      </c>
      <c r="K1771" t="n">
        <v>0</v>
      </c>
      <c r="L1771" t="n">
        <v>1</v>
      </c>
      <c r="M1771" t="n">
        <v>0</v>
      </c>
    </row>
    <row r="1772" spans="1:13">
      <c r="A1772" s="1">
        <f>HYPERLINK("http://www.twitter.com/NathanBLawrence/status/982480566070251520", "982480566070251520")</f>
        <v/>
      </c>
      <c r="B1772" s="2" t="n">
        <v>43197.20133101852</v>
      </c>
      <c r="C1772" t="n">
        <v>12</v>
      </c>
      <c r="D1772" t="n">
        <v>3</v>
      </c>
      <c r="E1772" t="s">
        <v>1782</v>
      </c>
      <c r="F1772" t="s"/>
      <c r="G1772" t="s"/>
      <c r="H1772" t="s"/>
      <c r="I1772" t="s"/>
      <c r="J1772" t="n">
        <v>0</v>
      </c>
      <c r="K1772" t="n">
        <v>0</v>
      </c>
      <c r="L1772" t="n">
        <v>1</v>
      </c>
      <c r="M1772" t="n">
        <v>0</v>
      </c>
    </row>
    <row r="1773" spans="1:13">
      <c r="A1773" s="1">
        <f>HYPERLINK("http://www.twitter.com/NathanBLawrence/status/982458496313524224", "982458496313524224")</f>
        <v/>
      </c>
      <c r="B1773" s="2" t="n">
        <v>43197.14042824074</v>
      </c>
      <c r="C1773" t="n">
        <v>8</v>
      </c>
      <c r="D1773" t="n">
        <v>1</v>
      </c>
      <c r="E1773" t="s">
        <v>1783</v>
      </c>
      <c r="F1773">
        <f>HYPERLINK("http://pbs.twimg.com/media/DaJj_B-VMAEnWll.png", "http://pbs.twimg.com/media/DaJj_B-VMAEnWll.png")</f>
        <v/>
      </c>
      <c r="G1773" t="s"/>
      <c r="H1773" t="s"/>
      <c r="I1773" t="s"/>
      <c r="J1773" t="n">
        <v>0.9529</v>
      </c>
      <c r="K1773" t="n">
        <v>0</v>
      </c>
      <c r="L1773" t="n">
        <v>0.645</v>
      </c>
      <c r="M1773" t="n">
        <v>0.355</v>
      </c>
    </row>
    <row r="1774" spans="1:13">
      <c r="A1774" s="1">
        <f>HYPERLINK("http://www.twitter.com/NathanBLawrence/status/982457215826116609", "982457215826116609")</f>
        <v/>
      </c>
      <c r="B1774" s="2" t="n">
        <v>43197.13689814815</v>
      </c>
      <c r="C1774" t="n">
        <v>0</v>
      </c>
      <c r="D1774" t="n">
        <v>64</v>
      </c>
      <c r="E1774" t="s">
        <v>1784</v>
      </c>
      <c r="F1774" t="s"/>
      <c r="G1774" t="s"/>
      <c r="H1774" t="s"/>
      <c r="I1774" t="s"/>
      <c r="J1774" t="n">
        <v>-0.2263</v>
      </c>
      <c r="K1774" t="n">
        <v>0.119</v>
      </c>
      <c r="L1774" t="n">
        <v>0.881</v>
      </c>
      <c r="M1774" t="n">
        <v>0</v>
      </c>
    </row>
    <row r="1775" spans="1:13">
      <c r="A1775" s="1">
        <f>HYPERLINK("http://www.twitter.com/NathanBLawrence/status/982457135576465408", "982457135576465408")</f>
        <v/>
      </c>
      <c r="B1775" s="2" t="n">
        <v>43197.13666666667</v>
      </c>
      <c r="C1775" t="n">
        <v>0</v>
      </c>
      <c r="D1775" t="n">
        <v>428</v>
      </c>
      <c r="E1775" t="s">
        <v>1785</v>
      </c>
      <c r="F1775" t="s"/>
      <c r="G1775" t="s"/>
      <c r="H1775" t="s"/>
      <c r="I1775" t="s"/>
      <c r="J1775" t="n">
        <v>0</v>
      </c>
      <c r="K1775" t="n">
        <v>0</v>
      </c>
      <c r="L1775" t="n">
        <v>1</v>
      </c>
      <c r="M1775" t="n">
        <v>0</v>
      </c>
    </row>
    <row r="1776" spans="1:13">
      <c r="A1776" s="1">
        <f>HYPERLINK("http://www.twitter.com/NathanBLawrence/status/982456483244724224", "982456483244724224")</f>
        <v/>
      </c>
      <c r="B1776" s="2" t="n">
        <v>43197.13487268519</v>
      </c>
      <c r="C1776" t="n">
        <v>0</v>
      </c>
      <c r="D1776" t="n">
        <v>8</v>
      </c>
      <c r="E1776" t="s">
        <v>1786</v>
      </c>
      <c r="F1776" t="s"/>
      <c r="G1776" t="s"/>
      <c r="H1776" t="s"/>
      <c r="I1776" t="s"/>
      <c r="J1776" t="n">
        <v>-0.2263</v>
      </c>
      <c r="K1776" t="n">
        <v>0.163</v>
      </c>
      <c r="L1776" t="n">
        <v>0.718</v>
      </c>
      <c r="M1776" t="n">
        <v>0.12</v>
      </c>
    </row>
    <row r="1777" spans="1:13">
      <c r="A1777" s="1">
        <f>HYPERLINK("http://www.twitter.com/NathanBLawrence/status/982456337920479234", "982456337920479234")</f>
        <v/>
      </c>
      <c r="B1777" s="2" t="n">
        <v>43197.13446759259</v>
      </c>
      <c r="C1777" t="n">
        <v>0</v>
      </c>
      <c r="D1777" t="n">
        <v>8</v>
      </c>
      <c r="E1777" t="s">
        <v>1787</v>
      </c>
      <c r="F1777">
        <f>HYPERLINK("http://pbs.twimg.com/media/DaJiprcUMAEYX8u.jpg", "http://pbs.twimg.com/media/DaJiprcUMAEYX8u.jpg")</f>
        <v/>
      </c>
      <c r="G1777" t="s"/>
      <c r="H1777" t="s"/>
      <c r="I1777" t="s"/>
      <c r="J1777" t="n">
        <v>0</v>
      </c>
      <c r="K1777" t="n">
        <v>0</v>
      </c>
      <c r="L1777" t="n">
        <v>1</v>
      </c>
      <c r="M1777" t="n">
        <v>0</v>
      </c>
    </row>
    <row r="1778" spans="1:13">
      <c r="A1778" s="1">
        <f>HYPERLINK("http://www.twitter.com/NathanBLawrence/status/982456191480557569", "982456191480557569")</f>
        <v/>
      </c>
      <c r="B1778" s="2" t="n">
        <v>43197.1340625</v>
      </c>
      <c r="C1778" t="n">
        <v>0</v>
      </c>
      <c r="D1778" t="n">
        <v>8</v>
      </c>
      <c r="E1778" t="s">
        <v>1788</v>
      </c>
      <c r="F1778">
        <f>HYPERLINK("http://pbs.twimg.com/media/DaJM6raU0AAsMVQ.jpg", "http://pbs.twimg.com/media/DaJM6raU0AAsMVQ.jpg")</f>
        <v/>
      </c>
      <c r="G1778" t="s"/>
      <c r="H1778" t="s"/>
      <c r="I1778" t="s"/>
      <c r="J1778" t="n">
        <v>0</v>
      </c>
      <c r="K1778" t="n">
        <v>0</v>
      </c>
      <c r="L1778" t="n">
        <v>1</v>
      </c>
      <c r="M1778" t="n">
        <v>0</v>
      </c>
    </row>
    <row r="1779" spans="1:13">
      <c r="A1779" s="1">
        <f>HYPERLINK("http://www.twitter.com/NathanBLawrence/status/982456093107404801", "982456093107404801")</f>
        <v/>
      </c>
      <c r="B1779" s="2" t="n">
        <v>43197.13379629629</v>
      </c>
      <c r="C1779" t="n">
        <v>0</v>
      </c>
      <c r="D1779" t="n">
        <v>886</v>
      </c>
      <c r="E1779" t="s">
        <v>1789</v>
      </c>
      <c r="F1779">
        <f>HYPERLINK("http://pbs.twimg.com/media/DaJdHGAVMAAmXL-.jpg", "http://pbs.twimg.com/media/DaJdHGAVMAAmXL-.jpg")</f>
        <v/>
      </c>
      <c r="G1779" t="s"/>
      <c r="H1779" t="s"/>
      <c r="I1779" t="s"/>
      <c r="J1779" t="n">
        <v>-0.5859</v>
      </c>
      <c r="K1779" t="n">
        <v>0.174</v>
      </c>
      <c r="L1779" t="n">
        <v>0.826</v>
      </c>
      <c r="M1779" t="n">
        <v>0</v>
      </c>
    </row>
    <row r="1780" spans="1:13">
      <c r="A1780" s="1">
        <f>HYPERLINK("http://www.twitter.com/NathanBLawrence/status/982455973628399616", "982455973628399616")</f>
        <v/>
      </c>
      <c r="B1780" s="2" t="n">
        <v>43197.13346064815</v>
      </c>
      <c r="C1780" t="n">
        <v>0</v>
      </c>
      <c r="D1780" t="n">
        <v>106</v>
      </c>
      <c r="E1780" t="s">
        <v>1790</v>
      </c>
      <c r="F1780">
        <f>HYPERLINK("http://pbs.twimg.com/media/DaJSyJvUQAAevkG.jpg", "http://pbs.twimg.com/media/DaJSyJvUQAAevkG.jpg")</f>
        <v/>
      </c>
      <c r="G1780" t="s"/>
      <c r="H1780" t="s"/>
      <c r="I1780" t="s"/>
      <c r="J1780" t="n">
        <v>0</v>
      </c>
      <c r="K1780" t="n">
        <v>0</v>
      </c>
      <c r="L1780" t="n">
        <v>1</v>
      </c>
      <c r="M1780" t="n">
        <v>0</v>
      </c>
    </row>
    <row r="1781" spans="1:13">
      <c r="A1781" s="1">
        <f>HYPERLINK("http://www.twitter.com/NathanBLawrence/status/982455838269820928", "982455838269820928")</f>
        <v/>
      </c>
      <c r="B1781" s="2" t="n">
        <v>43197.13309027778</v>
      </c>
      <c r="C1781" t="n">
        <v>0</v>
      </c>
      <c r="D1781" t="n">
        <v>8</v>
      </c>
      <c r="E1781" t="s">
        <v>1791</v>
      </c>
      <c r="F1781">
        <f>HYPERLINK("http://pbs.twimg.com/media/DaJiIfXVAAAqG4M.jpg", "http://pbs.twimg.com/media/DaJiIfXVAAAqG4M.jpg")</f>
        <v/>
      </c>
      <c r="G1781" t="s"/>
      <c r="H1781" t="s"/>
      <c r="I1781" t="s"/>
      <c r="J1781" t="n">
        <v>0</v>
      </c>
      <c r="K1781" t="n">
        <v>0</v>
      </c>
      <c r="L1781" t="n">
        <v>1</v>
      </c>
      <c r="M1781" t="n">
        <v>0</v>
      </c>
    </row>
    <row r="1782" spans="1:13">
      <c r="A1782" s="1">
        <f>HYPERLINK("http://www.twitter.com/NathanBLawrence/status/982294701825933312", "982294701825933312")</f>
        <v/>
      </c>
      <c r="B1782" s="2" t="n">
        <v>43196.6884375</v>
      </c>
      <c r="C1782" t="n">
        <v>5</v>
      </c>
      <c r="D1782" t="n">
        <v>2</v>
      </c>
      <c r="E1782" t="s">
        <v>1792</v>
      </c>
      <c r="F1782" t="s"/>
      <c r="G1782" t="s"/>
      <c r="H1782" t="s"/>
      <c r="I1782" t="s"/>
      <c r="J1782" t="n">
        <v>0.4404</v>
      </c>
      <c r="K1782" t="n">
        <v>0</v>
      </c>
      <c r="L1782" t="n">
        <v>0.791</v>
      </c>
      <c r="M1782" t="n">
        <v>0.209</v>
      </c>
    </row>
    <row r="1783" spans="1:13">
      <c r="A1783" s="1">
        <f>HYPERLINK("http://www.twitter.com/NathanBLawrence/status/981994316032655360", "981994316032655360")</f>
        <v/>
      </c>
      <c r="B1783" s="2" t="n">
        <v>43195.85953703704</v>
      </c>
      <c r="C1783" t="n">
        <v>19</v>
      </c>
      <c r="D1783" t="n">
        <v>11</v>
      </c>
      <c r="E1783" t="s">
        <v>1793</v>
      </c>
      <c r="F1783" t="s"/>
      <c r="G1783" t="s"/>
      <c r="H1783" t="s"/>
      <c r="I1783" t="s"/>
      <c r="J1783" t="n">
        <v>0</v>
      </c>
      <c r="K1783" t="n">
        <v>0</v>
      </c>
      <c r="L1783" t="n">
        <v>1</v>
      </c>
      <c r="M1783" t="n">
        <v>0</v>
      </c>
    </row>
    <row r="1784" spans="1:13">
      <c r="A1784" s="1">
        <f>HYPERLINK("http://www.twitter.com/NathanBLawrence/status/981994087791210496", "981994087791210496")</f>
        <v/>
      </c>
      <c r="B1784" s="2" t="n">
        <v>43195.85890046296</v>
      </c>
      <c r="C1784" t="n">
        <v>0</v>
      </c>
      <c r="D1784" t="n">
        <v>9</v>
      </c>
      <c r="E1784" t="s">
        <v>1794</v>
      </c>
      <c r="F1784">
        <f>HYPERLINK("http://pbs.twimg.com/media/DaC76rqVQAY_x9t.jpg", "http://pbs.twimg.com/media/DaC76rqVQAY_x9t.jpg")</f>
        <v/>
      </c>
      <c r="G1784" t="s"/>
      <c r="H1784" t="s"/>
      <c r="I1784" t="s"/>
      <c r="J1784" t="n">
        <v>0</v>
      </c>
      <c r="K1784" t="n">
        <v>0</v>
      </c>
      <c r="L1784" t="n">
        <v>1</v>
      </c>
      <c r="M1784" t="n">
        <v>0</v>
      </c>
    </row>
    <row r="1785" spans="1:13">
      <c r="A1785" s="1">
        <f>HYPERLINK("http://www.twitter.com/NathanBLawrence/status/981993986783981568", "981993986783981568")</f>
        <v/>
      </c>
      <c r="B1785" s="2" t="n">
        <v>43195.85862268518</v>
      </c>
      <c r="C1785" t="n">
        <v>0</v>
      </c>
      <c r="D1785" t="n">
        <v>1822</v>
      </c>
      <c r="E1785" t="s">
        <v>1795</v>
      </c>
      <c r="F1785" t="s"/>
      <c r="G1785" t="s"/>
      <c r="H1785" t="s"/>
      <c r="I1785" t="s"/>
      <c r="J1785" t="n">
        <v>0</v>
      </c>
      <c r="K1785" t="n">
        <v>0</v>
      </c>
      <c r="L1785" t="n">
        <v>1</v>
      </c>
      <c r="M1785" t="n">
        <v>0</v>
      </c>
    </row>
    <row r="1786" spans="1:13">
      <c r="A1786" s="1">
        <f>HYPERLINK("http://www.twitter.com/NathanBLawrence/status/981986879623983105", "981986879623983105")</f>
        <v/>
      </c>
      <c r="B1786" s="2" t="n">
        <v>43195.8390162037</v>
      </c>
      <c r="C1786" t="n">
        <v>0</v>
      </c>
      <c r="D1786" t="n">
        <v>8</v>
      </c>
      <c r="E1786" t="s">
        <v>269</v>
      </c>
      <c r="F1786">
        <f>HYPERLINK("http://pbs.twimg.com/media/DZ6EL9bUQAAfLbz.png", "http://pbs.twimg.com/media/DZ6EL9bUQAAfLbz.png")</f>
        <v/>
      </c>
      <c r="G1786" t="s"/>
      <c r="H1786" t="s"/>
      <c r="I1786" t="s"/>
      <c r="J1786" t="n">
        <v>0.508</v>
      </c>
      <c r="K1786" t="n">
        <v>0</v>
      </c>
      <c r="L1786" t="n">
        <v>0.875</v>
      </c>
      <c r="M1786" t="n">
        <v>0.125</v>
      </c>
    </row>
    <row r="1787" spans="1:13">
      <c r="A1787" s="1">
        <f>HYPERLINK("http://www.twitter.com/NathanBLawrence/status/981976752053338112", "981976752053338112")</f>
        <v/>
      </c>
      <c r="B1787" s="2" t="n">
        <v>43195.81106481481</v>
      </c>
      <c r="C1787" t="n">
        <v>0</v>
      </c>
      <c r="D1787" t="n">
        <v>5</v>
      </c>
      <c r="E1787" t="s">
        <v>1796</v>
      </c>
      <c r="F1787" t="s"/>
      <c r="G1787" t="s"/>
      <c r="H1787" t="s"/>
      <c r="I1787" t="s"/>
      <c r="J1787" t="n">
        <v>0</v>
      </c>
      <c r="K1787" t="n">
        <v>0</v>
      </c>
      <c r="L1787" t="n">
        <v>1</v>
      </c>
      <c r="M1787" t="n">
        <v>0</v>
      </c>
    </row>
    <row r="1788" spans="1:13">
      <c r="A1788" s="1">
        <f>HYPERLINK("http://www.twitter.com/NathanBLawrence/status/981976583052320770", "981976583052320770")</f>
        <v/>
      </c>
      <c r="B1788" s="2" t="n">
        <v>43195.81060185185</v>
      </c>
      <c r="C1788" t="n">
        <v>0</v>
      </c>
      <c r="D1788" t="n">
        <v>16</v>
      </c>
      <c r="E1788" t="s">
        <v>1797</v>
      </c>
      <c r="F1788">
        <f>HYPERLINK("http://pbs.twimg.com/media/DaAoO9NX4AAhK9Z.jpg", "http://pbs.twimg.com/media/DaAoO9NX4AAhK9Z.jpg")</f>
        <v/>
      </c>
      <c r="G1788" t="s"/>
      <c r="H1788" t="s"/>
      <c r="I1788" t="s"/>
      <c r="J1788" t="n">
        <v>-0.4574</v>
      </c>
      <c r="K1788" t="n">
        <v>0.333</v>
      </c>
      <c r="L1788" t="n">
        <v>0.667</v>
      </c>
      <c r="M1788" t="n">
        <v>0</v>
      </c>
    </row>
    <row r="1789" spans="1:13">
      <c r="A1789" s="1">
        <f>HYPERLINK("http://www.twitter.com/NathanBLawrence/status/981976541331472384", "981976541331472384")</f>
        <v/>
      </c>
      <c r="B1789" s="2" t="n">
        <v>43195.81048611111</v>
      </c>
      <c r="C1789" t="n">
        <v>0</v>
      </c>
      <c r="D1789" t="n">
        <v>1853</v>
      </c>
      <c r="E1789" t="s">
        <v>1798</v>
      </c>
      <c r="F1789">
        <f>HYPERLINK("http://pbs.twimg.com/media/DZ5rbz4U0AAPPE4.jpg", "http://pbs.twimg.com/media/DZ5rbz4U0AAPPE4.jpg")</f>
        <v/>
      </c>
      <c r="G1789" t="s"/>
      <c r="H1789" t="s"/>
      <c r="I1789" t="s"/>
      <c r="J1789" t="n">
        <v>0</v>
      </c>
      <c r="K1789" t="n">
        <v>0</v>
      </c>
      <c r="L1789" t="n">
        <v>1</v>
      </c>
      <c r="M1789" t="n">
        <v>0</v>
      </c>
    </row>
    <row r="1790" spans="1:13">
      <c r="A1790" s="1">
        <f>HYPERLINK("http://www.twitter.com/NathanBLawrence/status/981933599648657408", "981933599648657408")</f>
        <v/>
      </c>
      <c r="B1790" s="2" t="n">
        <v>43195.69199074074</v>
      </c>
      <c r="C1790" t="n">
        <v>0</v>
      </c>
      <c r="D1790" t="n">
        <v>51</v>
      </c>
      <c r="E1790" t="s">
        <v>1799</v>
      </c>
      <c r="F1790">
        <f>HYPERLINK("http://pbs.twimg.com/media/DaCAg6BXUAMG-a9.jpg", "http://pbs.twimg.com/media/DaCAg6BXUAMG-a9.jpg")</f>
        <v/>
      </c>
      <c r="G1790" t="s"/>
      <c r="H1790" t="s"/>
      <c r="I1790" t="s"/>
      <c r="J1790" t="n">
        <v>-0.3612</v>
      </c>
      <c r="K1790" t="n">
        <v>0.128</v>
      </c>
      <c r="L1790" t="n">
        <v>0.872</v>
      </c>
      <c r="M1790" t="n">
        <v>0</v>
      </c>
    </row>
    <row r="1791" spans="1:13">
      <c r="A1791" s="1">
        <f>HYPERLINK("http://www.twitter.com/NathanBLawrence/status/981933336015790081", "981933336015790081")</f>
        <v/>
      </c>
      <c r="B1791" s="2" t="n">
        <v>43195.69126157407</v>
      </c>
      <c r="C1791" t="n">
        <v>0</v>
      </c>
      <c r="D1791" t="n">
        <v>369</v>
      </c>
      <c r="E1791" t="s">
        <v>1800</v>
      </c>
      <c r="F1791">
        <f>HYPERLINK("http://pbs.twimg.com/media/DaB5YM3U0AExsCX.jpg", "http://pbs.twimg.com/media/DaB5YM3U0AExsCX.jpg")</f>
        <v/>
      </c>
      <c r="G1791" t="s"/>
      <c r="H1791" t="s"/>
      <c r="I1791" t="s"/>
      <c r="J1791" t="n">
        <v>-0.4939</v>
      </c>
      <c r="K1791" t="n">
        <v>0.167</v>
      </c>
      <c r="L1791" t="n">
        <v>0.833</v>
      </c>
      <c r="M1791" t="n">
        <v>0</v>
      </c>
    </row>
    <row r="1792" spans="1:13">
      <c r="A1792" s="1">
        <f>HYPERLINK("http://www.twitter.com/NathanBLawrence/status/981932970721165312", "981932970721165312")</f>
        <v/>
      </c>
      <c r="B1792" s="2" t="n">
        <v>43195.69025462963</v>
      </c>
      <c r="C1792" t="n">
        <v>0</v>
      </c>
      <c r="D1792" t="n">
        <v>1174</v>
      </c>
      <c r="E1792" t="s">
        <v>1801</v>
      </c>
      <c r="F1792">
        <f>HYPERLINK("http://pbs.twimg.com/media/DaCEg-lU8AAXbyD.jpg", "http://pbs.twimg.com/media/DaCEg-lU8AAXbyD.jpg")</f>
        <v/>
      </c>
      <c r="G1792" t="s"/>
      <c r="H1792" t="s"/>
      <c r="I1792" t="s"/>
      <c r="J1792" t="n">
        <v>-0.0516</v>
      </c>
      <c r="K1792" t="n">
        <v>0.124</v>
      </c>
      <c r="L1792" t="n">
        <v>0.76</v>
      </c>
      <c r="M1792" t="n">
        <v>0.116</v>
      </c>
    </row>
    <row r="1793" spans="1:13">
      <c r="A1793" s="1">
        <f>HYPERLINK("http://www.twitter.com/NathanBLawrence/status/981829150146113536", "981829150146113536")</f>
        <v/>
      </c>
      <c r="B1793" s="2" t="n">
        <v>43195.40376157407</v>
      </c>
      <c r="C1793" t="n">
        <v>0</v>
      </c>
      <c r="D1793" t="n">
        <v>403</v>
      </c>
      <c r="E1793" t="s">
        <v>1802</v>
      </c>
      <c r="F1793">
        <f>HYPERLINK("http://pbs.twimg.com/media/DZ-0C5DVwAA1jwK.jpg", "http://pbs.twimg.com/media/DZ-0C5DVwAA1jwK.jpg")</f>
        <v/>
      </c>
      <c r="G1793" t="s"/>
      <c r="H1793" t="s"/>
      <c r="I1793" t="s"/>
      <c r="J1793" t="n">
        <v>0.5754</v>
      </c>
      <c r="K1793" t="n">
        <v>0</v>
      </c>
      <c r="L1793" t="n">
        <v>0.843</v>
      </c>
      <c r="M1793" t="n">
        <v>0.157</v>
      </c>
    </row>
    <row r="1794" spans="1:13">
      <c r="A1794" s="1">
        <f>HYPERLINK("http://www.twitter.com/NathanBLawrence/status/981829058852892673", "981829058852892673")</f>
        <v/>
      </c>
      <c r="B1794" s="2" t="n">
        <v>43195.40350694444</v>
      </c>
      <c r="C1794" t="n">
        <v>46</v>
      </c>
      <c r="D1794" t="n">
        <v>16</v>
      </c>
      <c r="E1794" t="s">
        <v>1803</v>
      </c>
      <c r="F1794">
        <f>HYPERLINK("http://pbs.twimg.com/media/DaAoO9NX4AAhK9Z.jpg", "http://pbs.twimg.com/media/DaAoO9NX4AAhK9Z.jpg")</f>
        <v/>
      </c>
      <c r="G1794" t="s"/>
      <c r="H1794" t="s"/>
      <c r="I1794" t="s"/>
      <c r="J1794" t="n">
        <v>-0.4574</v>
      </c>
      <c r="K1794" t="n">
        <v>0.428</v>
      </c>
      <c r="L1794" t="n">
        <v>0.572</v>
      </c>
      <c r="M1794" t="n">
        <v>0</v>
      </c>
    </row>
    <row r="1795" spans="1:13">
      <c r="A1795" s="1">
        <f>HYPERLINK("http://www.twitter.com/NathanBLawrence/status/981828778191085568", "981828778191085568")</f>
        <v/>
      </c>
      <c r="B1795" s="2" t="n">
        <v>43195.40273148148</v>
      </c>
      <c r="C1795" t="n">
        <v>19</v>
      </c>
      <c r="D1795" t="n">
        <v>2</v>
      </c>
      <c r="E1795" t="s">
        <v>1804</v>
      </c>
      <c r="F1795">
        <f>HYPERLINK("http://pbs.twimg.com/media/DaAn8fkW0AAaJlL.jpg", "http://pbs.twimg.com/media/DaAn8fkW0AAaJlL.jpg")</f>
        <v/>
      </c>
      <c r="G1795" t="s"/>
      <c r="H1795" t="s"/>
      <c r="I1795" t="s"/>
      <c r="J1795" t="n">
        <v>0</v>
      </c>
      <c r="K1795" t="n">
        <v>0</v>
      </c>
      <c r="L1795" t="n">
        <v>1</v>
      </c>
      <c r="M1795" t="n">
        <v>0</v>
      </c>
    </row>
    <row r="1796" spans="1:13">
      <c r="A1796" s="1">
        <f>HYPERLINK("http://www.twitter.com/NathanBLawrence/status/981828476981338112", "981828476981338112")</f>
        <v/>
      </c>
      <c r="B1796" s="2" t="n">
        <v>43195.40190972222</v>
      </c>
      <c r="C1796" t="n">
        <v>75</v>
      </c>
      <c r="D1796" t="n">
        <v>35</v>
      </c>
      <c r="E1796" t="s">
        <v>1805</v>
      </c>
      <c r="F1796">
        <f>HYPERLINK("http://pbs.twimg.com/media/DaAnsf1W0AAOA6n.jpg", "http://pbs.twimg.com/media/DaAnsf1W0AAOA6n.jpg")</f>
        <v/>
      </c>
      <c r="G1796" t="s"/>
      <c r="H1796" t="s"/>
      <c r="I1796" t="s"/>
      <c r="J1796" t="n">
        <v>0</v>
      </c>
      <c r="K1796" t="n">
        <v>0</v>
      </c>
      <c r="L1796" t="n">
        <v>1</v>
      </c>
      <c r="M1796" t="n">
        <v>0</v>
      </c>
    </row>
    <row r="1797" spans="1:13">
      <c r="A1797" s="1">
        <f>HYPERLINK("http://www.twitter.com/NathanBLawrence/status/981825381555617792", "981825381555617792")</f>
        <v/>
      </c>
      <c r="B1797" s="2" t="n">
        <v>43195.39336805556</v>
      </c>
      <c r="C1797" t="n">
        <v>0</v>
      </c>
      <c r="D1797" t="n">
        <v>15</v>
      </c>
      <c r="E1797" t="s">
        <v>1806</v>
      </c>
      <c r="F1797" t="s"/>
      <c r="G1797" t="s"/>
      <c r="H1797" t="s"/>
      <c r="I1797" t="s"/>
      <c r="J1797" t="n">
        <v>0</v>
      </c>
      <c r="K1797" t="n">
        <v>0</v>
      </c>
      <c r="L1797" t="n">
        <v>1</v>
      </c>
      <c r="M1797" t="n">
        <v>0</v>
      </c>
    </row>
    <row r="1798" spans="1:13">
      <c r="A1798" s="1">
        <f>HYPERLINK("http://www.twitter.com/NathanBLawrence/status/981825053376434176", "981825053376434176")</f>
        <v/>
      </c>
      <c r="B1798" s="2" t="n">
        <v>43195.3924537037</v>
      </c>
      <c r="C1798" t="n">
        <v>0</v>
      </c>
      <c r="D1798" t="n">
        <v>82</v>
      </c>
      <c r="E1798" t="s">
        <v>1807</v>
      </c>
      <c r="F1798">
        <f>HYPERLINK("http://pbs.twimg.com/media/DZ_gbd1UwAAsFbC.jpg", "http://pbs.twimg.com/media/DZ_gbd1UwAAsFbC.jpg")</f>
        <v/>
      </c>
      <c r="G1798" t="s"/>
      <c r="H1798" t="s"/>
      <c r="I1798" t="s"/>
      <c r="J1798" t="n">
        <v>0</v>
      </c>
      <c r="K1798" t="n">
        <v>0</v>
      </c>
      <c r="L1798" t="n">
        <v>1</v>
      </c>
      <c r="M1798" t="n">
        <v>0</v>
      </c>
    </row>
    <row r="1799" spans="1:13">
      <c r="A1799" s="1">
        <f>HYPERLINK("http://www.twitter.com/NathanBLawrence/status/981824935567020032", "981824935567020032")</f>
        <v/>
      </c>
      <c r="B1799" s="2" t="n">
        <v>43195.39212962963</v>
      </c>
      <c r="C1799" t="n">
        <v>0</v>
      </c>
      <c r="D1799" t="n">
        <v>16</v>
      </c>
      <c r="E1799" t="s">
        <v>1808</v>
      </c>
      <c r="F1799">
        <f>HYPERLINK("http://pbs.twimg.com/media/DaAkSImX0AET36x.jpg", "http://pbs.twimg.com/media/DaAkSImX0AET36x.jpg")</f>
        <v/>
      </c>
      <c r="G1799" t="s"/>
      <c r="H1799" t="s"/>
      <c r="I1799" t="s"/>
      <c r="J1799" t="n">
        <v>0</v>
      </c>
      <c r="K1799" t="n">
        <v>0</v>
      </c>
      <c r="L1799" t="n">
        <v>1</v>
      </c>
      <c r="M1799" t="n">
        <v>0</v>
      </c>
    </row>
    <row r="1800" spans="1:13">
      <c r="A1800" s="1">
        <f>HYPERLINK("http://www.twitter.com/NathanBLawrence/status/981824732289888256", "981824732289888256")</f>
        <v/>
      </c>
      <c r="B1800" s="2" t="n">
        <v>43195.39157407408</v>
      </c>
      <c r="C1800" t="n">
        <v>0</v>
      </c>
      <c r="D1800" t="n">
        <v>179</v>
      </c>
      <c r="E1800" t="s">
        <v>1809</v>
      </c>
      <c r="F1800">
        <f>HYPERLINK("http://pbs.twimg.com/media/DZ8bqj9VQAAXuJc.jpg", "http://pbs.twimg.com/media/DZ8bqj9VQAAXuJc.jpg")</f>
        <v/>
      </c>
      <c r="G1800" t="s"/>
      <c r="H1800" t="s"/>
      <c r="I1800" t="s"/>
      <c r="J1800" t="n">
        <v>0.8478</v>
      </c>
      <c r="K1800" t="n">
        <v>0</v>
      </c>
      <c r="L1800" t="n">
        <v>0.705</v>
      </c>
      <c r="M1800" t="n">
        <v>0.295</v>
      </c>
    </row>
    <row r="1801" spans="1:13">
      <c r="A1801" s="1">
        <f>HYPERLINK("http://www.twitter.com/NathanBLawrence/status/981803842432942081", "981803842432942081")</f>
        <v/>
      </c>
      <c r="B1801" s="2" t="n">
        <v>43195.33392361111</v>
      </c>
      <c r="C1801" t="n">
        <v>0</v>
      </c>
      <c r="D1801" t="n">
        <v>790</v>
      </c>
      <c r="E1801" t="s">
        <v>1810</v>
      </c>
      <c r="F1801">
        <f>HYPERLINK("http://pbs.twimg.com/media/DZ9-MlpWsAEDTqH.jpg", "http://pbs.twimg.com/media/DZ9-MlpWsAEDTqH.jpg")</f>
        <v/>
      </c>
      <c r="G1801" t="s"/>
      <c r="H1801" t="s"/>
      <c r="I1801" t="s"/>
      <c r="J1801" t="n">
        <v>0.0258</v>
      </c>
      <c r="K1801" t="n">
        <v>0.124</v>
      </c>
      <c r="L1801" t="n">
        <v>0.747</v>
      </c>
      <c r="M1801" t="n">
        <v>0.129</v>
      </c>
    </row>
    <row r="1802" spans="1:13">
      <c r="A1802" s="1">
        <f>HYPERLINK("http://www.twitter.com/NathanBLawrence/status/981803799248494592", "981803799248494592")</f>
        <v/>
      </c>
      <c r="B1802" s="2" t="n">
        <v>43195.33380787037</v>
      </c>
      <c r="C1802" t="n">
        <v>0</v>
      </c>
      <c r="D1802" t="n">
        <v>252</v>
      </c>
      <c r="E1802" t="s">
        <v>1811</v>
      </c>
      <c r="F1802">
        <f>HYPERLINK("http://pbs.twimg.com/media/DZ-gZLZWAAAYFZx.jpg", "http://pbs.twimg.com/media/DZ-gZLZWAAAYFZx.jpg")</f>
        <v/>
      </c>
      <c r="G1802" t="s"/>
      <c r="H1802" t="s"/>
      <c r="I1802" t="s"/>
      <c r="J1802" t="n">
        <v>0.0772</v>
      </c>
      <c r="K1802" t="n">
        <v>0.236</v>
      </c>
      <c r="L1802" t="n">
        <v>0.52</v>
      </c>
      <c r="M1802" t="n">
        <v>0.244</v>
      </c>
    </row>
    <row r="1803" spans="1:13">
      <c r="A1803" s="1">
        <f>HYPERLINK("http://www.twitter.com/NathanBLawrence/status/981803693442908161", "981803693442908161")</f>
        <v/>
      </c>
      <c r="B1803" s="2" t="n">
        <v>43195.33351851852</v>
      </c>
      <c r="C1803" t="n">
        <v>0</v>
      </c>
      <c r="D1803" t="n">
        <v>116</v>
      </c>
      <c r="E1803" t="s">
        <v>1812</v>
      </c>
      <c r="F1803">
        <f>HYPERLINK("http://pbs.twimg.com/media/DZ-ITTfU0AAXFTz.jpg", "http://pbs.twimg.com/media/DZ-ITTfU0AAXFTz.jpg")</f>
        <v/>
      </c>
      <c r="G1803" t="s"/>
      <c r="H1803" t="s"/>
      <c r="I1803" t="s"/>
      <c r="J1803" t="n">
        <v>-0.5411</v>
      </c>
      <c r="K1803" t="n">
        <v>0.132</v>
      </c>
      <c r="L1803" t="n">
        <v>0.868</v>
      </c>
      <c r="M1803" t="n">
        <v>0</v>
      </c>
    </row>
    <row r="1804" spans="1:13">
      <c r="A1804" s="1">
        <f>HYPERLINK("http://www.twitter.com/NathanBLawrence/status/981803616850685952", "981803616850685952")</f>
        <v/>
      </c>
      <c r="B1804" s="2" t="n">
        <v>43195.33329861111</v>
      </c>
      <c r="C1804" t="n">
        <v>0</v>
      </c>
      <c r="D1804" t="n">
        <v>142</v>
      </c>
      <c r="E1804" t="s">
        <v>1813</v>
      </c>
      <c r="F1804">
        <f>HYPERLINK("http://pbs.twimg.com/media/DZ77EMbW0AAnNIT.jpg", "http://pbs.twimg.com/media/DZ77EMbW0AAnNIT.jpg")</f>
        <v/>
      </c>
      <c r="G1804" t="s"/>
      <c r="H1804" t="s"/>
      <c r="I1804" t="s"/>
      <c r="J1804" t="n">
        <v>0.5719</v>
      </c>
      <c r="K1804" t="n">
        <v>0</v>
      </c>
      <c r="L1804" t="n">
        <v>0.654</v>
      </c>
      <c r="M1804" t="n">
        <v>0.346</v>
      </c>
    </row>
    <row r="1805" spans="1:13">
      <c r="A1805" s="1">
        <f>HYPERLINK("http://www.twitter.com/NathanBLawrence/status/981803557539143683", "981803557539143683")</f>
        <v/>
      </c>
      <c r="B1805" s="2" t="n">
        <v>43195.33313657407</v>
      </c>
      <c r="C1805" t="n">
        <v>0</v>
      </c>
      <c r="D1805" t="n">
        <v>3</v>
      </c>
      <c r="E1805" t="s">
        <v>1814</v>
      </c>
      <c r="F1805" t="s"/>
      <c r="G1805" t="s"/>
      <c r="H1805" t="s"/>
      <c r="I1805" t="s"/>
      <c r="J1805" t="n">
        <v>0</v>
      </c>
      <c r="K1805" t="n">
        <v>0</v>
      </c>
      <c r="L1805" t="n">
        <v>1</v>
      </c>
      <c r="M1805" t="n">
        <v>0</v>
      </c>
    </row>
    <row r="1806" spans="1:13">
      <c r="A1806" s="1">
        <f>HYPERLINK("http://www.twitter.com/NathanBLawrence/status/981803376877830144", "981803376877830144")</f>
        <v/>
      </c>
      <c r="B1806" s="2" t="n">
        <v>43195.33263888889</v>
      </c>
      <c r="C1806" t="n">
        <v>0</v>
      </c>
      <c r="D1806" t="n">
        <v>6708</v>
      </c>
      <c r="E1806" t="s">
        <v>1815</v>
      </c>
      <c r="F1806">
        <f>HYPERLINK("http://pbs.twimg.com/media/DZ2z-LCX0AUHfwI.jpg", "http://pbs.twimg.com/media/DZ2z-LCX0AUHfwI.jpg")</f>
        <v/>
      </c>
      <c r="G1806" t="s"/>
      <c r="H1806" t="s"/>
      <c r="I1806" t="s"/>
      <c r="J1806" t="n">
        <v>0</v>
      </c>
      <c r="K1806" t="n">
        <v>0</v>
      </c>
      <c r="L1806" t="n">
        <v>1</v>
      </c>
      <c r="M1806" t="n">
        <v>0</v>
      </c>
    </row>
    <row r="1807" spans="1:13">
      <c r="A1807" s="1">
        <f>HYPERLINK("http://www.twitter.com/NathanBLawrence/status/981803304052125696", "981803304052125696")</f>
        <v/>
      </c>
      <c r="B1807" s="2" t="n">
        <v>43195.33244212963</v>
      </c>
      <c r="C1807" t="n">
        <v>0</v>
      </c>
      <c r="D1807" t="n">
        <v>8</v>
      </c>
      <c r="E1807" t="s">
        <v>1816</v>
      </c>
      <c r="F1807">
        <f>HYPERLINK("http://pbs.twimg.com/media/DZ_7I32V4AAEUtu.jpg", "http://pbs.twimg.com/media/DZ_7I32V4AAEUtu.jpg")</f>
        <v/>
      </c>
      <c r="G1807" t="s"/>
      <c r="H1807" t="s"/>
      <c r="I1807" t="s"/>
      <c r="J1807" t="n">
        <v>0</v>
      </c>
      <c r="K1807" t="n">
        <v>0</v>
      </c>
      <c r="L1807" t="n">
        <v>1</v>
      </c>
      <c r="M1807" t="n">
        <v>0</v>
      </c>
    </row>
    <row r="1808" spans="1:13">
      <c r="A1808" s="1">
        <f>HYPERLINK("http://www.twitter.com/NathanBLawrence/status/981803215732719616", "981803215732719616")</f>
        <v/>
      </c>
      <c r="B1808" s="2" t="n">
        <v>43195.33219907407</v>
      </c>
      <c r="C1808" t="n">
        <v>0</v>
      </c>
      <c r="D1808" t="n">
        <v>315</v>
      </c>
      <c r="E1808" t="s">
        <v>1817</v>
      </c>
      <c r="F1808">
        <f>HYPERLINK("http://pbs.twimg.com/media/DZ9mAT_VMAAqSbd.jpg", "http://pbs.twimg.com/media/DZ9mAT_VMAAqSbd.jpg")</f>
        <v/>
      </c>
      <c r="G1808" t="s"/>
      <c r="H1808" t="s"/>
      <c r="I1808" t="s"/>
      <c r="J1808" t="n">
        <v>0</v>
      </c>
      <c r="K1808" t="n">
        <v>0</v>
      </c>
      <c r="L1808" t="n">
        <v>1</v>
      </c>
      <c r="M1808" t="n">
        <v>0</v>
      </c>
    </row>
    <row r="1809" spans="1:13">
      <c r="A1809" s="1">
        <f>HYPERLINK("http://www.twitter.com/NathanBLawrence/status/981803165417799680", "981803165417799680")</f>
        <v/>
      </c>
      <c r="B1809" s="2" t="n">
        <v>43195.33206018519</v>
      </c>
      <c r="C1809" t="n">
        <v>0</v>
      </c>
      <c r="D1809" t="n">
        <v>1134</v>
      </c>
      <c r="E1809" t="s">
        <v>1818</v>
      </c>
      <c r="F1809">
        <f>HYPERLINK("http://pbs.twimg.com/media/DZ-K9I7X4AUzyKf.jpg", "http://pbs.twimg.com/media/DZ-K9I7X4AUzyKf.jpg")</f>
        <v/>
      </c>
      <c r="G1809" t="s"/>
      <c r="H1809" t="s"/>
      <c r="I1809" t="s"/>
      <c r="J1809" t="n">
        <v>0</v>
      </c>
      <c r="K1809" t="n">
        <v>0</v>
      </c>
      <c r="L1809" t="n">
        <v>1</v>
      </c>
      <c r="M1809" t="n">
        <v>0</v>
      </c>
    </row>
    <row r="1810" spans="1:13">
      <c r="A1810" s="1">
        <f>HYPERLINK("http://www.twitter.com/NathanBLawrence/status/981802982764298240", "981802982764298240")</f>
        <v/>
      </c>
      <c r="B1810" s="2" t="n">
        <v>43195.33155092593</v>
      </c>
      <c r="C1810" t="n">
        <v>0</v>
      </c>
      <c r="D1810" t="n">
        <v>10</v>
      </c>
      <c r="E1810" t="s">
        <v>1819</v>
      </c>
      <c r="F1810">
        <f>HYPERLINK("http://pbs.twimg.com/media/DZ_QmSTXkAEsjF8.jpg", "http://pbs.twimg.com/media/DZ_QmSTXkAEsjF8.jpg")</f>
        <v/>
      </c>
      <c r="G1810" t="s"/>
      <c r="H1810" t="s"/>
      <c r="I1810" t="s"/>
      <c r="J1810" t="n">
        <v>0</v>
      </c>
      <c r="K1810" t="n">
        <v>0</v>
      </c>
      <c r="L1810" t="n">
        <v>1</v>
      </c>
      <c r="M1810" t="n">
        <v>0</v>
      </c>
    </row>
    <row r="1811" spans="1:13">
      <c r="A1811" s="1">
        <f>HYPERLINK("http://www.twitter.com/NathanBLawrence/status/981800666212458496", "981800666212458496")</f>
        <v/>
      </c>
      <c r="B1811" s="2" t="n">
        <v>43195.32516203704</v>
      </c>
      <c r="C1811" t="n">
        <v>17</v>
      </c>
      <c r="D1811" t="n">
        <v>5</v>
      </c>
      <c r="E1811" t="s">
        <v>1820</v>
      </c>
      <c r="F1811" t="s"/>
      <c r="G1811" t="s"/>
      <c r="H1811" t="s"/>
      <c r="I1811" t="s"/>
      <c r="J1811" t="n">
        <v>0</v>
      </c>
      <c r="K1811" t="n">
        <v>0</v>
      </c>
      <c r="L1811" t="n">
        <v>1</v>
      </c>
      <c r="M1811" t="n">
        <v>0</v>
      </c>
    </row>
    <row r="1812" spans="1:13">
      <c r="A1812" s="1">
        <f>HYPERLINK("http://www.twitter.com/NathanBLawrence/status/981795570007269376", "981795570007269376")</f>
        <v/>
      </c>
      <c r="B1812" s="2" t="n">
        <v>43195.31109953704</v>
      </c>
      <c r="C1812" t="n">
        <v>0</v>
      </c>
      <c r="D1812" t="n">
        <v>5</v>
      </c>
      <c r="E1812" t="s">
        <v>1821</v>
      </c>
      <c r="F1812">
        <f>HYPERLINK("http://pbs.twimg.com/media/DZ5snxhX0AAhGm8.jpg", "http://pbs.twimg.com/media/DZ5snxhX0AAhGm8.jpg")</f>
        <v/>
      </c>
      <c r="G1812" t="s"/>
      <c r="H1812" t="s"/>
      <c r="I1812" t="s"/>
      <c r="J1812" t="n">
        <v>0</v>
      </c>
      <c r="K1812" t="n">
        <v>0</v>
      </c>
      <c r="L1812" t="n">
        <v>1</v>
      </c>
      <c r="M1812" t="n">
        <v>0</v>
      </c>
    </row>
    <row r="1813" spans="1:13">
      <c r="A1813" s="1">
        <f>HYPERLINK("http://www.twitter.com/NathanBLawrence/status/981795508271239168", "981795508271239168")</f>
        <v/>
      </c>
      <c r="B1813" s="2" t="n">
        <v>43195.31092592593</v>
      </c>
      <c r="C1813" t="n">
        <v>0</v>
      </c>
      <c r="D1813" t="n">
        <v>601</v>
      </c>
      <c r="E1813" t="s">
        <v>1822</v>
      </c>
      <c r="F1813">
        <f>HYPERLINK("http://pbs.twimg.com/media/DZ4p9m1UQAA0YfT.jpg", "http://pbs.twimg.com/media/DZ4p9m1UQAA0YfT.jpg")</f>
        <v/>
      </c>
      <c r="G1813" t="s"/>
      <c r="H1813" t="s"/>
      <c r="I1813" t="s"/>
      <c r="J1813" t="n">
        <v>0.1511</v>
      </c>
      <c r="K1813" t="n">
        <v>0.076</v>
      </c>
      <c r="L1813" t="n">
        <v>0.828</v>
      </c>
      <c r="M1813" t="n">
        <v>0.096</v>
      </c>
    </row>
    <row r="1814" spans="1:13">
      <c r="A1814" s="1">
        <f>HYPERLINK("http://www.twitter.com/NathanBLawrence/status/981795179370708992", "981795179370708992")</f>
        <v/>
      </c>
      <c r="B1814" s="2" t="n">
        <v>43195.31002314815</v>
      </c>
      <c r="C1814" t="n">
        <v>0</v>
      </c>
      <c r="D1814" t="n">
        <v>23</v>
      </c>
      <c r="E1814" t="s">
        <v>1823</v>
      </c>
      <c r="F1814">
        <f>HYPERLINK("http://pbs.twimg.com/media/DZGDCxuUQAAFTxD.jpg", "http://pbs.twimg.com/media/DZGDCxuUQAAFTxD.jpg")</f>
        <v/>
      </c>
      <c r="G1814" t="s"/>
      <c r="H1814" t="s"/>
      <c r="I1814" t="s"/>
      <c r="J1814" t="n">
        <v>0</v>
      </c>
      <c r="K1814" t="n">
        <v>0</v>
      </c>
      <c r="L1814" t="n">
        <v>1</v>
      </c>
      <c r="M1814" t="n">
        <v>0</v>
      </c>
    </row>
    <row r="1815" spans="1:13">
      <c r="A1815" s="1">
        <f>HYPERLINK("http://www.twitter.com/NathanBLawrence/status/981795029478924289", "981795029478924289")</f>
        <v/>
      </c>
      <c r="B1815" s="2" t="n">
        <v>43195.30960648148</v>
      </c>
      <c r="C1815" t="n">
        <v>0</v>
      </c>
      <c r="D1815" t="n">
        <v>18</v>
      </c>
      <c r="E1815" t="s">
        <v>1824</v>
      </c>
      <c r="F1815">
        <f>HYPERLINK("http://pbs.twimg.com/media/DZ-jOhkWsAALoZu.jpg", "http://pbs.twimg.com/media/DZ-jOhkWsAALoZu.jpg")</f>
        <v/>
      </c>
      <c r="G1815" t="s"/>
      <c r="H1815" t="s"/>
      <c r="I1815" t="s"/>
      <c r="J1815" t="n">
        <v>-0.3595</v>
      </c>
      <c r="K1815" t="n">
        <v>0.151</v>
      </c>
      <c r="L1815" t="n">
        <v>0.849</v>
      </c>
      <c r="M1815" t="n">
        <v>0</v>
      </c>
    </row>
    <row r="1816" spans="1:13">
      <c r="A1816" s="1">
        <f>HYPERLINK("http://www.twitter.com/NathanBLawrence/status/981794969030615041", "981794969030615041")</f>
        <v/>
      </c>
      <c r="B1816" s="2" t="n">
        <v>43195.30944444444</v>
      </c>
      <c r="C1816" t="n">
        <v>0</v>
      </c>
      <c r="D1816" t="n">
        <v>150</v>
      </c>
      <c r="E1816" t="s">
        <v>1825</v>
      </c>
      <c r="F1816">
        <f>HYPERLINK("http://pbs.twimg.com/media/DZ98eR9VwAAMwZj.jpg", "http://pbs.twimg.com/media/DZ98eR9VwAAMwZj.jpg")</f>
        <v/>
      </c>
      <c r="G1816" t="s"/>
      <c r="H1816" t="s"/>
      <c r="I1816" t="s"/>
      <c r="J1816" t="n">
        <v>-0.5994</v>
      </c>
      <c r="K1816" t="n">
        <v>0.231</v>
      </c>
      <c r="L1816" t="n">
        <v>0.769</v>
      </c>
      <c r="M1816" t="n">
        <v>0</v>
      </c>
    </row>
    <row r="1817" spans="1:13">
      <c r="A1817" s="1">
        <f>HYPERLINK("http://www.twitter.com/NathanBLawrence/status/981794888139194368", "981794888139194368")</f>
        <v/>
      </c>
      <c r="B1817" s="2" t="n">
        <v>43195.30921296297</v>
      </c>
      <c r="C1817" t="n">
        <v>0</v>
      </c>
      <c r="D1817" t="n">
        <v>24</v>
      </c>
      <c r="E1817" t="s">
        <v>1826</v>
      </c>
      <c r="F1817" t="s"/>
      <c r="G1817" t="s"/>
      <c r="H1817" t="s"/>
      <c r="I1817" t="s"/>
      <c r="J1817" t="n">
        <v>-0.4767</v>
      </c>
      <c r="K1817" t="n">
        <v>0.256</v>
      </c>
      <c r="L1817" t="n">
        <v>0.744</v>
      </c>
      <c r="M1817" t="n">
        <v>0</v>
      </c>
    </row>
    <row r="1818" spans="1:13">
      <c r="A1818" s="1">
        <f>HYPERLINK("http://www.twitter.com/NathanBLawrence/status/981794684426006528", "981794684426006528")</f>
        <v/>
      </c>
      <c r="B1818" s="2" t="n">
        <v>43195.3086574074</v>
      </c>
      <c r="C1818" t="n">
        <v>0</v>
      </c>
      <c r="D1818" t="n">
        <v>10830</v>
      </c>
      <c r="E1818" t="s">
        <v>1827</v>
      </c>
      <c r="F1818">
        <f>HYPERLINK("http://pbs.twimg.com/media/DZ_gZYjWsAAAbhX.jpg", "http://pbs.twimg.com/media/DZ_gZYjWsAAAbhX.jpg")</f>
        <v/>
      </c>
      <c r="G1818" t="s"/>
      <c r="H1818" t="s"/>
      <c r="I1818" t="s"/>
      <c r="J1818" t="n">
        <v>0.1759</v>
      </c>
      <c r="K1818" t="n">
        <v>0.193</v>
      </c>
      <c r="L1818" t="n">
        <v>0.551</v>
      </c>
      <c r="M1818" t="n">
        <v>0.256</v>
      </c>
    </row>
    <row r="1819" spans="1:13">
      <c r="A1819" s="1">
        <f>HYPERLINK("http://www.twitter.com/NathanBLawrence/status/981794593208393728", "981794593208393728")</f>
        <v/>
      </c>
      <c r="B1819" s="2" t="n">
        <v>43195.30840277778</v>
      </c>
      <c r="C1819" t="n">
        <v>0</v>
      </c>
      <c r="D1819" t="n">
        <v>2</v>
      </c>
      <c r="E1819" t="s">
        <v>1828</v>
      </c>
      <c r="F1819" t="s"/>
      <c r="G1819" t="s"/>
      <c r="H1819" t="s"/>
      <c r="I1819" t="s"/>
      <c r="J1819" t="n">
        <v>0</v>
      </c>
      <c r="K1819" t="n">
        <v>0</v>
      </c>
      <c r="L1819" t="n">
        <v>1</v>
      </c>
      <c r="M1819" t="n">
        <v>0</v>
      </c>
    </row>
    <row r="1820" spans="1:13">
      <c r="A1820" s="1">
        <f>HYPERLINK("http://www.twitter.com/NathanBLawrence/status/981794498043772928", "981794498043772928")</f>
        <v/>
      </c>
      <c r="B1820" s="2" t="n">
        <v>43195.30813657407</v>
      </c>
      <c r="C1820" t="n">
        <v>0</v>
      </c>
      <c r="D1820" t="n">
        <v>8</v>
      </c>
      <c r="E1820" t="s">
        <v>1829</v>
      </c>
      <c r="F1820">
        <f>HYPERLINK("http://pbs.twimg.com/media/DZ_KY5AXkAAWfeX.jpg", "http://pbs.twimg.com/media/DZ_KY5AXkAAWfeX.jpg")</f>
        <v/>
      </c>
      <c r="G1820">
        <f>HYPERLINK("http://pbs.twimg.com/media/DZ_KY5CWkAAn3zn.jpg", "http://pbs.twimg.com/media/DZ_KY5CWkAAn3zn.jpg")</f>
        <v/>
      </c>
      <c r="H1820">
        <f>HYPERLINK("http://pbs.twimg.com/media/DZ_KY5pW4AAYGKj.jpg", "http://pbs.twimg.com/media/DZ_KY5pW4AAYGKj.jpg")</f>
        <v/>
      </c>
      <c r="I1820">
        <f>HYPERLINK("http://pbs.twimg.com/media/DZ_KY5DX0AUKYM-.jpg", "http://pbs.twimg.com/media/DZ_KY5DX0AUKYM-.jpg")</f>
        <v/>
      </c>
      <c r="J1820" t="n">
        <v>0</v>
      </c>
      <c r="K1820" t="n">
        <v>0</v>
      </c>
      <c r="L1820" t="n">
        <v>1</v>
      </c>
      <c r="M1820" t="n">
        <v>0</v>
      </c>
    </row>
    <row r="1821" spans="1:13">
      <c r="A1821" s="1">
        <f>HYPERLINK("http://www.twitter.com/NathanBLawrence/status/981794459565240320", "981794459565240320")</f>
        <v/>
      </c>
      <c r="B1821" s="2" t="n">
        <v>43195.30803240741</v>
      </c>
      <c r="C1821" t="n">
        <v>0</v>
      </c>
      <c r="D1821" t="n">
        <v>18</v>
      </c>
      <c r="E1821" t="s">
        <v>1830</v>
      </c>
      <c r="F1821">
        <f>HYPERLINK("http://pbs.twimg.com/media/DZ_kRnvWAAAbMna.jpg", "http://pbs.twimg.com/media/DZ_kRnvWAAAbMna.jpg")</f>
        <v/>
      </c>
      <c r="G1821" t="s"/>
      <c r="H1821" t="s"/>
      <c r="I1821" t="s"/>
      <c r="J1821" t="n">
        <v>0</v>
      </c>
      <c r="K1821" t="n">
        <v>0</v>
      </c>
      <c r="L1821" t="n">
        <v>1</v>
      </c>
      <c r="M1821" t="n">
        <v>0</v>
      </c>
    </row>
    <row r="1822" spans="1:13">
      <c r="A1822" s="1">
        <f>HYPERLINK("http://www.twitter.com/NathanBLawrence/status/981791159679766528", "981791159679766528")</f>
        <v/>
      </c>
      <c r="B1822" s="2" t="n">
        <v>43195.29892361111</v>
      </c>
      <c r="C1822" t="n">
        <v>0</v>
      </c>
      <c r="D1822" t="n">
        <v>298</v>
      </c>
      <c r="E1822" t="s">
        <v>1831</v>
      </c>
      <c r="F1822" t="s"/>
      <c r="G1822" t="s"/>
      <c r="H1822" t="s"/>
      <c r="I1822" t="s"/>
      <c r="J1822" t="n">
        <v>0</v>
      </c>
      <c r="K1822" t="n">
        <v>0</v>
      </c>
      <c r="L1822" t="n">
        <v>1</v>
      </c>
      <c r="M1822" t="n">
        <v>0</v>
      </c>
    </row>
    <row r="1823" spans="1:13">
      <c r="A1823" s="1">
        <f>HYPERLINK("http://www.twitter.com/NathanBLawrence/status/981791101311893505", "981791101311893505")</f>
        <v/>
      </c>
      <c r="B1823" s="2" t="n">
        <v>43195.29877314815</v>
      </c>
      <c r="C1823" t="n">
        <v>0</v>
      </c>
      <c r="D1823" t="n">
        <v>419</v>
      </c>
      <c r="E1823" t="s">
        <v>1832</v>
      </c>
      <c r="F1823">
        <f>HYPERLINK("http://pbs.twimg.com/media/DZ_mkQ2WAAAq5AW.jpg", "http://pbs.twimg.com/media/DZ_mkQ2WAAAq5AW.jpg")</f>
        <v/>
      </c>
      <c r="G1823" t="s"/>
      <c r="H1823" t="s"/>
      <c r="I1823" t="s"/>
      <c r="J1823" t="n">
        <v>-0.6705</v>
      </c>
      <c r="K1823" t="n">
        <v>0.224</v>
      </c>
      <c r="L1823" t="n">
        <v>0.776</v>
      </c>
      <c r="M1823" t="n">
        <v>0</v>
      </c>
    </row>
    <row r="1824" spans="1:13">
      <c r="A1824" s="1">
        <f>HYPERLINK("http://www.twitter.com/NathanBLawrence/status/981790986576658432", "981790986576658432")</f>
        <v/>
      </c>
      <c r="B1824" s="2" t="n">
        <v>43195.29844907407</v>
      </c>
      <c r="C1824" t="n">
        <v>0</v>
      </c>
      <c r="D1824" t="n">
        <v>5091</v>
      </c>
      <c r="E1824" t="s">
        <v>1833</v>
      </c>
      <c r="F1824">
        <f>HYPERLINK("https://video.twimg.com/ext_tw_video/975441799094439938/pu/vid/840x360/yL3BuAsC4DmC1AuK.mp4", "https://video.twimg.com/ext_tw_video/975441799094439938/pu/vid/840x360/yL3BuAsC4DmC1AuK.mp4")</f>
        <v/>
      </c>
      <c r="G1824" t="s"/>
      <c r="H1824" t="s"/>
      <c r="I1824" t="s"/>
      <c r="J1824" t="n">
        <v>0.4019</v>
      </c>
      <c r="K1824" t="n">
        <v>0</v>
      </c>
      <c r="L1824" t="n">
        <v>0.863</v>
      </c>
      <c r="M1824" t="n">
        <v>0.137</v>
      </c>
    </row>
    <row r="1825" spans="1:13">
      <c r="A1825" s="1">
        <f>HYPERLINK("http://www.twitter.com/NathanBLawrence/status/981790775594790913", "981790775594790913")</f>
        <v/>
      </c>
      <c r="B1825" s="2" t="n">
        <v>43195.29787037037</v>
      </c>
      <c r="C1825" t="n">
        <v>0</v>
      </c>
      <c r="D1825" t="n">
        <v>297</v>
      </c>
      <c r="E1825" t="s">
        <v>1834</v>
      </c>
      <c r="F1825" t="s"/>
      <c r="G1825" t="s"/>
      <c r="H1825" t="s"/>
      <c r="I1825" t="s"/>
      <c r="J1825" t="n">
        <v>-0.7845</v>
      </c>
      <c r="K1825" t="n">
        <v>0.365</v>
      </c>
      <c r="L1825" t="n">
        <v>0.635</v>
      </c>
      <c r="M1825" t="n">
        <v>0</v>
      </c>
    </row>
    <row r="1826" spans="1:13">
      <c r="A1826" s="1">
        <f>HYPERLINK("http://www.twitter.com/NathanBLawrence/status/981790553615450117", "981790553615450117")</f>
        <v/>
      </c>
      <c r="B1826" s="2" t="n">
        <v>43195.29725694445</v>
      </c>
      <c r="C1826" t="n">
        <v>8</v>
      </c>
      <c r="D1826" t="n">
        <v>1</v>
      </c>
      <c r="E1826" t="s">
        <v>1835</v>
      </c>
      <c r="F1826" t="s"/>
      <c r="G1826" t="s"/>
      <c r="H1826" t="s"/>
      <c r="I1826" t="s"/>
      <c r="J1826" t="n">
        <v>-0.5574</v>
      </c>
      <c r="K1826" t="n">
        <v>0.184</v>
      </c>
      <c r="L1826" t="n">
        <v>0.8159999999999999</v>
      </c>
      <c r="M1826" t="n">
        <v>0</v>
      </c>
    </row>
    <row r="1827" spans="1:13">
      <c r="A1827" s="1">
        <f>HYPERLINK("http://www.twitter.com/NathanBLawrence/status/981669719005523968", "981669719005523968")</f>
        <v/>
      </c>
      <c r="B1827" s="2" t="n">
        <v>43194.96381944444</v>
      </c>
      <c r="C1827" t="n">
        <v>6</v>
      </c>
      <c r="D1827" t="n">
        <v>3</v>
      </c>
      <c r="E1827" t="s">
        <v>1836</v>
      </c>
      <c r="F1827" t="s"/>
      <c r="G1827" t="s"/>
      <c r="H1827" t="s"/>
      <c r="I1827" t="s"/>
      <c r="J1827" t="n">
        <v>0</v>
      </c>
      <c r="K1827" t="n">
        <v>0</v>
      </c>
      <c r="L1827" t="n">
        <v>1</v>
      </c>
      <c r="M1827" t="n">
        <v>0</v>
      </c>
    </row>
    <row r="1828" spans="1:13">
      <c r="A1828" s="1">
        <f>HYPERLINK("http://www.twitter.com/NathanBLawrence/status/981463914960400385", "981463914960400385")</f>
        <v/>
      </c>
      <c r="B1828" s="2" t="n">
        <v>43194.39590277777</v>
      </c>
      <c r="C1828" t="n">
        <v>0</v>
      </c>
      <c r="D1828" t="n">
        <v>938</v>
      </c>
      <c r="E1828" t="s">
        <v>1837</v>
      </c>
      <c r="F1828" t="s"/>
      <c r="G1828" t="s"/>
      <c r="H1828" t="s"/>
      <c r="I1828" t="s"/>
      <c r="J1828" t="n">
        <v>0</v>
      </c>
      <c r="K1828" t="n">
        <v>0</v>
      </c>
      <c r="L1828" t="n">
        <v>1</v>
      </c>
      <c r="M1828" t="n">
        <v>0</v>
      </c>
    </row>
    <row r="1829" spans="1:13">
      <c r="A1829" s="1">
        <f>HYPERLINK("http://www.twitter.com/NathanBLawrence/status/981462451383250944", "981462451383250944")</f>
        <v/>
      </c>
      <c r="B1829" s="2" t="n">
        <v>43194.39186342592</v>
      </c>
      <c r="C1829" t="n">
        <v>2</v>
      </c>
      <c r="D1829" t="n">
        <v>1</v>
      </c>
      <c r="E1829" t="s">
        <v>1838</v>
      </c>
      <c r="F1829" t="s"/>
      <c r="G1829" t="s"/>
      <c r="H1829" t="s"/>
      <c r="I1829" t="s"/>
      <c r="J1829" t="n">
        <v>0</v>
      </c>
      <c r="K1829" t="n">
        <v>0</v>
      </c>
      <c r="L1829" t="n">
        <v>1</v>
      </c>
      <c r="M1829" t="n">
        <v>0</v>
      </c>
    </row>
    <row r="1830" spans="1:13">
      <c r="A1830" s="1">
        <f>HYPERLINK("http://www.twitter.com/NathanBLawrence/status/981462026408009729", "981462026408009729")</f>
        <v/>
      </c>
      <c r="B1830" s="2" t="n">
        <v>43194.39069444445</v>
      </c>
      <c r="C1830" t="n">
        <v>0</v>
      </c>
      <c r="D1830" t="n">
        <v>327</v>
      </c>
      <c r="E1830" t="s">
        <v>1839</v>
      </c>
      <c r="F1830">
        <f>HYPERLINK("https://video.twimg.com/amplify_video/852179101238669313/vid/1280x720/iY0yNBAsCYAYnu36.mp4", "https://video.twimg.com/amplify_video/852179101238669313/vid/1280x720/iY0yNBAsCYAYnu36.mp4")</f>
        <v/>
      </c>
      <c r="G1830" t="s"/>
      <c r="H1830" t="s"/>
      <c r="I1830" t="s"/>
      <c r="J1830" t="n">
        <v>-0.5994</v>
      </c>
      <c r="K1830" t="n">
        <v>0.38</v>
      </c>
      <c r="L1830" t="n">
        <v>0.62</v>
      </c>
      <c r="M1830" t="n">
        <v>0</v>
      </c>
    </row>
    <row r="1831" spans="1:13">
      <c r="A1831" s="1">
        <f>HYPERLINK("http://www.twitter.com/NathanBLawrence/status/981459967520714754", "981459967520714754")</f>
        <v/>
      </c>
      <c r="B1831" s="2" t="n">
        <v>43194.38501157407</v>
      </c>
      <c r="C1831" t="n">
        <v>0</v>
      </c>
      <c r="D1831" t="n">
        <v>4</v>
      </c>
      <c r="E1831" t="s">
        <v>1840</v>
      </c>
      <c r="F1831" t="s"/>
      <c r="G1831" t="s"/>
      <c r="H1831" t="s"/>
      <c r="I1831" t="s"/>
      <c r="J1831" t="n">
        <v>0.067</v>
      </c>
      <c r="K1831" t="n">
        <v>0.111</v>
      </c>
      <c r="L1831" t="n">
        <v>0.762</v>
      </c>
      <c r="M1831" t="n">
        <v>0.127</v>
      </c>
    </row>
    <row r="1832" spans="1:13">
      <c r="A1832" s="1">
        <f>HYPERLINK("http://www.twitter.com/NathanBLawrence/status/981459726801108992", "981459726801108992")</f>
        <v/>
      </c>
      <c r="B1832" s="2" t="n">
        <v>43194.38435185186</v>
      </c>
      <c r="C1832" t="n">
        <v>0</v>
      </c>
      <c r="D1832" t="n">
        <v>80</v>
      </c>
      <c r="E1832" t="s">
        <v>1841</v>
      </c>
      <c r="F1832">
        <f>HYPERLINK("http://pbs.twimg.com/media/DZ68HopWsAABTjd.jpg", "http://pbs.twimg.com/media/DZ68HopWsAABTjd.jpg")</f>
        <v/>
      </c>
      <c r="G1832" t="s"/>
      <c r="H1832" t="s"/>
      <c r="I1832" t="s"/>
      <c r="J1832" t="n">
        <v>0</v>
      </c>
      <c r="K1832" t="n">
        <v>0</v>
      </c>
      <c r="L1832" t="n">
        <v>1</v>
      </c>
      <c r="M1832" t="n">
        <v>0</v>
      </c>
    </row>
    <row r="1833" spans="1:13">
      <c r="A1833" s="1">
        <f>HYPERLINK("http://www.twitter.com/NathanBLawrence/status/981424105219117056", "981424105219117056")</f>
        <v/>
      </c>
      <c r="B1833" s="2" t="n">
        <v>43194.28605324074</v>
      </c>
      <c r="C1833" t="n">
        <v>0</v>
      </c>
      <c r="D1833" t="n">
        <v>75</v>
      </c>
      <c r="E1833" t="s">
        <v>1842</v>
      </c>
      <c r="F1833" t="s"/>
      <c r="G1833" t="s"/>
      <c r="H1833" t="s"/>
      <c r="I1833" t="s"/>
      <c r="J1833" t="n">
        <v>0</v>
      </c>
      <c r="K1833" t="n">
        <v>0</v>
      </c>
      <c r="L1833" t="n">
        <v>1</v>
      </c>
      <c r="M1833" t="n">
        <v>0</v>
      </c>
    </row>
    <row r="1834" spans="1:13">
      <c r="A1834" s="1">
        <f>HYPERLINK("http://www.twitter.com/NathanBLawrence/status/981423853934137344", "981423853934137344")</f>
        <v/>
      </c>
      <c r="B1834" s="2" t="n">
        <v>43194.2853587963</v>
      </c>
      <c r="C1834" t="n">
        <v>0</v>
      </c>
      <c r="D1834" t="n">
        <v>672</v>
      </c>
      <c r="E1834" t="s">
        <v>1843</v>
      </c>
      <c r="F1834">
        <f>HYPERLINK("https://video.twimg.com/amplify_video/981356238888894467/vid/1280x720/vQEi28ph8Ew7nUU7.mp4?tag=2", "https://video.twimg.com/amplify_video/981356238888894467/vid/1280x720/vQEi28ph8Ew7nUU7.mp4?tag=2")</f>
        <v/>
      </c>
      <c r="G1834" t="s"/>
      <c r="H1834" t="s"/>
      <c r="I1834" t="s"/>
      <c r="J1834" t="n">
        <v>0</v>
      </c>
      <c r="K1834" t="n">
        <v>0</v>
      </c>
      <c r="L1834" t="n">
        <v>1</v>
      </c>
      <c r="M1834" t="n">
        <v>0</v>
      </c>
    </row>
    <row r="1835" spans="1:13">
      <c r="A1835" s="1">
        <f>HYPERLINK("http://www.twitter.com/NathanBLawrence/status/981423545824751617", "981423545824751617")</f>
        <v/>
      </c>
      <c r="B1835" s="2" t="n">
        <v>43194.28450231482</v>
      </c>
      <c r="C1835" t="n">
        <v>0</v>
      </c>
      <c r="D1835" t="n">
        <v>306</v>
      </c>
      <c r="E1835" t="s">
        <v>1844</v>
      </c>
      <c r="F1835" t="s"/>
      <c r="G1835" t="s"/>
      <c r="H1835" t="s"/>
      <c r="I1835" t="s"/>
      <c r="J1835" t="n">
        <v>-0.296</v>
      </c>
      <c r="K1835" t="n">
        <v>0.109</v>
      </c>
      <c r="L1835" t="n">
        <v>0.891</v>
      </c>
      <c r="M1835" t="n">
        <v>0</v>
      </c>
    </row>
    <row r="1836" spans="1:13">
      <c r="A1836" s="1">
        <f>HYPERLINK("http://www.twitter.com/NathanBLawrence/status/981422727440535552", "981422727440535552")</f>
        <v/>
      </c>
      <c r="B1836" s="2" t="n">
        <v>43194.28224537037</v>
      </c>
      <c r="C1836" t="n">
        <v>0</v>
      </c>
      <c r="D1836" t="n">
        <v>227</v>
      </c>
      <c r="E1836" t="s">
        <v>1845</v>
      </c>
      <c r="F1836">
        <f>HYPERLINK("https://video.twimg.com/ext_tw_video/979742160915349504/pu/vid/640x360/q_zfSqFzgCjbaLMh.mp4", "https://video.twimg.com/ext_tw_video/979742160915349504/pu/vid/640x360/q_zfSqFzgCjbaLMh.mp4")</f>
        <v/>
      </c>
      <c r="G1836" t="s"/>
      <c r="H1836" t="s"/>
      <c r="I1836" t="s"/>
      <c r="J1836" t="n">
        <v>0</v>
      </c>
      <c r="K1836" t="n">
        <v>0</v>
      </c>
      <c r="L1836" t="n">
        <v>1</v>
      </c>
      <c r="M1836" t="n">
        <v>0</v>
      </c>
    </row>
    <row r="1837" spans="1:13">
      <c r="A1837" s="1">
        <f>HYPERLINK("http://www.twitter.com/NathanBLawrence/status/981421906791366658", "981421906791366658")</f>
        <v/>
      </c>
      <c r="B1837" s="2" t="n">
        <v>43194.27998842593</v>
      </c>
      <c r="C1837" t="n">
        <v>0</v>
      </c>
      <c r="D1837" t="n">
        <v>14</v>
      </c>
      <c r="E1837" t="s">
        <v>1846</v>
      </c>
      <c r="F1837" t="s"/>
      <c r="G1837" t="s"/>
      <c r="H1837" t="s"/>
      <c r="I1837" t="s"/>
      <c r="J1837" t="n">
        <v>-0.8270999999999999</v>
      </c>
      <c r="K1837" t="n">
        <v>0.397</v>
      </c>
      <c r="L1837" t="n">
        <v>0.506</v>
      </c>
      <c r="M1837" t="n">
        <v>0.097</v>
      </c>
    </row>
    <row r="1838" spans="1:13">
      <c r="A1838" s="1">
        <f>HYPERLINK("http://www.twitter.com/NathanBLawrence/status/981421830127915008", "981421830127915008")</f>
        <v/>
      </c>
      <c r="B1838" s="2" t="n">
        <v>43194.27976851852</v>
      </c>
      <c r="C1838" t="n">
        <v>0</v>
      </c>
      <c r="D1838" t="n">
        <v>1276</v>
      </c>
      <c r="E1838" t="s">
        <v>1847</v>
      </c>
      <c r="F1838">
        <f>HYPERLINK("http://pbs.twimg.com/media/DZ3Z6p0UQAAx6qT.jpg", "http://pbs.twimg.com/media/DZ3Z6p0UQAAx6qT.jpg")</f>
        <v/>
      </c>
      <c r="G1838" t="s"/>
      <c r="H1838" t="s"/>
      <c r="I1838" t="s"/>
      <c r="J1838" t="n">
        <v>0.7096</v>
      </c>
      <c r="K1838" t="n">
        <v>0.123</v>
      </c>
      <c r="L1838" t="n">
        <v>0.5679999999999999</v>
      </c>
      <c r="M1838" t="n">
        <v>0.309</v>
      </c>
    </row>
    <row r="1839" spans="1:13">
      <c r="A1839" s="1">
        <f>HYPERLINK("http://www.twitter.com/NathanBLawrence/status/981421687571996672", "981421687571996672")</f>
        <v/>
      </c>
      <c r="B1839" s="2" t="n">
        <v>43194.279375</v>
      </c>
      <c r="C1839" t="n">
        <v>0</v>
      </c>
      <c r="D1839" t="n">
        <v>208</v>
      </c>
      <c r="E1839" t="s">
        <v>1848</v>
      </c>
      <c r="F1839" t="s"/>
      <c r="G1839" t="s"/>
      <c r="H1839" t="s"/>
      <c r="I1839" t="s"/>
      <c r="J1839" t="n">
        <v>0.0258</v>
      </c>
      <c r="K1839" t="n">
        <v>0</v>
      </c>
      <c r="L1839" t="n">
        <v>0.916</v>
      </c>
      <c r="M1839" t="n">
        <v>0.08400000000000001</v>
      </c>
    </row>
    <row r="1840" spans="1:13">
      <c r="A1840" s="1">
        <f>HYPERLINK("http://www.twitter.com/NathanBLawrence/status/981420417599639553", "981420417599639553")</f>
        <v/>
      </c>
      <c r="B1840" s="2" t="n">
        <v>43194.27587962963</v>
      </c>
      <c r="C1840" t="n">
        <v>0</v>
      </c>
      <c r="D1840" t="n">
        <v>447</v>
      </c>
      <c r="E1840" t="s">
        <v>1849</v>
      </c>
      <c r="F1840">
        <f>HYPERLINK("http://pbs.twimg.com/media/DZ3IwiyVoAASA6E.jpg", "http://pbs.twimg.com/media/DZ3IwiyVoAASA6E.jpg")</f>
        <v/>
      </c>
      <c r="G1840" t="s"/>
      <c r="H1840" t="s"/>
      <c r="I1840" t="s"/>
      <c r="J1840" t="n">
        <v>-0.2732</v>
      </c>
      <c r="K1840" t="n">
        <v>0.259</v>
      </c>
      <c r="L1840" t="n">
        <v>0.741</v>
      </c>
      <c r="M1840" t="n">
        <v>0</v>
      </c>
    </row>
    <row r="1841" spans="1:13">
      <c r="A1841" s="1">
        <f>HYPERLINK("http://www.twitter.com/NathanBLawrence/status/981412311213670402", "981412311213670402")</f>
        <v/>
      </c>
      <c r="B1841" s="2" t="n">
        <v>43194.25350694444</v>
      </c>
      <c r="C1841" t="n">
        <v>0</v>
      </c>
      <c r="D1841" t="n">
        <v>433</v>
      </c>
      <c r="E1841" t="s">
        <v>1850</v>
      </c>
      <c r="F1841">
        <f>HYPERLINK("http://pbs.twimg.com/media/DZ1VShBU8AAWbAD.jpg", "http://pbs.twimg.com/media/DZ1VShBU8AAWbAD.jpg")</f>
        <v/>
      </c>
      <c r="G1841" t="s"/>
      <c r="H1841" t="s"/>
      <c r="I1841" t="s"/>
      <c r="J1841" t="n">
        <v>0</v>
      </c>
      <c r="K1841" t="n">
        <v>0</v>
      </c>
      <c r="L1841" t="n">
        <v>1</v>
      </c>
      <c r="M1841" t="n">
        <v>0</v>
      </c>
    </row>
    <row r="1842" spans="1:13">
      <c r="A1842" s="1">
        <f>HYPERLINK("http://www.twitter.com/NathanBLawrence/status/981412052865634308", "981412052865634308")</f>
        <v/>
      </c>
      <c r="B1842" s="2" t="n">
        <v>43194.25278935185</v>
      </c>
      <c r="C1842" t="n">
        <v>0</v>
      </c>
      <c r="D1842" t="n">
        <v>4</v>
      </c>
      <c r="E1842" t="s">
        <v>1851</v>
      </c>
      <c r="F1842">
        <f>HYPERLINK("http://pbs.twimg.com/media/DZ6n5f0WsAACNzP.jpg", "http://pbs.twimg.com/media/DZ6n5f0WsAACNzP.jpg")</f>
        <v/>
      </c>
      <c r="G1842" t="s"/>
      <c r="H1842" t="s"/>
      <c r="I1842" t="s"/>
      <c r="J1842" t="n">
        <v>0</v>
      </c>
      <c r="K1842" t="n">
        <v>0</v>
      </c>
      <c r="L1842" t="n">
        <v>1</v>
      </c>
      <c r="M1842" t="n">
        <v>0</v>
      </c>
    </row>
    <row r="1843" spans="1:13">
      <c r="A1843" s="1">
        <f>HYPERLINK("http://www.twitter.com/NathanBLawrence/status/981411510667939840", "981411510667939840")</f>
        <v/>
      </c>
      <c r="B1843" s="2" t="n">
        <v>43194.25129629629</v>
      </c>
      <c r="C1843" t="n">
        <v>0</v>
      </c>
      <c r="D1843" t="n">
        <v>7195</v>
      </c>
      <c r="E1843" t="s">
        <v>1852</v>
      </c>
      <c r="F1843">
        <f>HYPERLINK("https://video.twimg.com/ext_tw_video/978719599729537024/pu/vid/720x720/qIMUjs1a4BNSLenN.mp4", "https://video.twimg.com/ext_tw_video/978719599729537024/pu/vid/720x720/qIMUjs1a4BNSLenN.mp4")</f>
        <v/>
      </c>
      <c r="G1843" t="s"/>
      <c r="H1843" t="s"/>
      <c r="I1843" t="s"/>
      <c r="J1843" t="n">
        <v>0</v>
      </c>
      <c r="K1843" t="n">
        <v>0</v>
      </c>
      <c r="L1843" t="n">
        <v>1</v>
      </c>
      <c r="M1843" t="n">
        <v>0</v>
      </c>
    </row>
    <row r="1844" spans="1:13">
      <c r="A1844" s="1">
        <f>HYPERLINK("http://www.twitter.com/NathanBLawrence/status/981411359282876416", "981411359282876416")</f>
        <v/>
      </c>
      <c r="B1844" s="2" t="n">
        <v>43194.25087962963</v>
      </c>
      <c r="C1844" t="n">
        <v>0</v>
      </c>
      <c r="D1844" t="n">
        <v>56</v>
      </c>
      <c r="E1844" t="s">
        <v>1853</v>
      </c>
      <c r="F1844">
        <f>HYPERLINK("https://video.twimg.com/ext_tw_video/981342387875102721/pu/vid/1280x720/V_0KOXG7M14sZ0RS.mp4?tag=2", "https://video.twimg.com/ext_tw_video/981342387875102721/pu/vid/1280x720/V_0KOXG7M14sZ0RS.mp4?tag=2")</f>
        <v/>
      </c>
      <c r="G1844" t="s"/>
      <c r="H1844" t="s"/>
      <c r="I1844" t="s"/>
      <c r="J1844" t="n">
        <v>0</v>
      </c>
      <c r="K1844" t="n">
        <v>0</v>
      </c>
      <c r="L1844" t="n">
        <v>1</v>
      </c>
      <c r="M1844" t="n">
        <v>0</v>
      </c>
    </row>
    <row r="1845" spans="1:13">
      <c r="A1845" s="1">
        <f>HYPERLINK("http://www.twitter.com/NathanBLawrence/status/981410703088214017", "981410703088214017")</f>
        <v/>
      </c>
      <c r="B1845" s="2" t="n">
        <v>43194.24907407408</v>
      </c>
      <c r="C1845" t="n">
        <v>0</v>
      </c>
      <c r="D1845" t="n">
        <v>1231</v>
      </c>
      <c r="E1845" t="s">
        <v>1854</v>
      </c>
      <c r="F1845">
        <f>HYPERLINK("https://video.twimg.com/ext_tw_video/981369915662741504/pu/vid/480x360/cUvUcVFDDym98B9D.mp4?tag=2", "https://video.twimg.com/ext_tw_video/981369915662741504/pu/vid/480x360/cUvUcVFDDym98B9D.mp4?tag=2")</f>
        <v/>
      </c>
      <c r="G1845" t="s"/>
      <c r="H1845" t="s"/>
      <c r="I1845" t="s"/>
      <c r="J1845" t="n">
        <v>0</v>
      </c>
      <c r="K1845" t="n">
        <v>0</v>
      </c>
      <c r="L1845" t="n">
        <v>1</v>
      </c>
      <c r="M1845" t="n">
        <v>0</v>
      </c>
    </row>
    <row r="1846" spans="1:13">
      <c r="A1846" s="1">
        <f>HYPERLINK("http://www.twitter.com/NathanBLawrence/status/981410613338439680", "981410613338439680")</f>
        <v/>
      </c>
      <c r="B1846" s="2" t="n">
        <v>43194.24881944444</v>
      </c>
      <c r="C1846" t="n">
        <v>0</v>
      </c>
      <c r="D1846" t="n">
        <v>5</v>
      </c>
      <c r="E1846" t="s">
        <v>1855</v>
      </c>
      <c r="F1846">
        <f>HYPERLINK("http://pbs.twimg.com/media/DZ6oFVUWsAEw6TW.jpg", "http://pbs.twimg.com/media/DZ6oFVUWsAEw6TW.jpg")</f>
        <v/>
      </c>
      <c r="G1846" t="s"/>
      <c r="H1846" t="s"/>
      <c r="I1846" t="s"/>
      <c r="J1846" t="n">
        <v>0</v>
      </c>
      <c r="K1846" t="n">
        <v>0</v>
      </c>
      <c r="L1846" t="n">
        <v>1</v>
      </c>
      <c r="M1846" t="n">
        <v>0</v>
      </c>
    </row>
    <row r="1847" spans="1:13">
      <c r="A1847" s="1">
        <f>HYPERLINK("http://www.twitter.com/NathanBLawrence/status/981410373789155329", "981410373789155329")</f>
        <v/>
      </c>
      <c r="B1847" s="2" t="n">
        <v>43194.24815972222</v>
      </c>
      <c r="C1847" t="n">
        <v>0</v>
      </c>
      <c r="D1847" t="n">
        <v>20968</v>
      </c>
      <c r="E1847" t="s">
        <v>1856</v>
      </c>
      <c r="F1847">
        <f>HYPERLINK("https://video.twimg.com/amplify_video/981257234335215616/vid/1280x720/MEzqVgSI8tfz-NnW.mp4?tag=2", "https://video.twimg.com/amplify_video/981257234335215616/vid/1280x720/MEzqVgSI8tfz-NnW.mp4?tag=2")</f>
        <v/>
      </c>
      <c r="G1847" t="s"/>
      <c r="H1847" t="s"/>
      <c r="I1847" t="s"/>
      <c r="J1847" t="n">
        <v>0.5610000000000001</v>
      </c>
      <c r="K1847" t="n">
        <v>0</v>
      </c>
      <c r="L1847" t="n">
        <v>0.6879999999999999</v>
      </c>
      <c r="M1847" t="n">
        <v>0.312</v>
      </c>
    </row>
    <row r="1848" spans="1:13">
      <c r="A1848" s="1">
        <f>HYPERLINK("http://www.twitter.com/NathanBLawrence/status/981410109321613313", "981410109321613313")</f>
        <v/>
      </c>
      <c r="B1848" s="2" t="n">
        <v>43194.24743055556</v>
      </c>
      <c r="C1848" t="n">
        <v>1</v>
      </c>
      <c r="D1848" t="n">
        <v>4</v>
      </c>
      <c r="E1848" t="s">
        <v>1857</v>
      </c>
      <c r="F1848" t="s"/>
      <c r="G1848" t="s"/>
      <c r="H1848" t="s"/>
      <c r="I1848" t="s"/>
      <c r="J1848" t="n">
        <v>0</v>
      </c>
      <c r="K1848" t="n">
        <v>0</v>
      </c>
      <c r="L1848" t="n">
        <v>1</v>
      </c>
      <c r="M1848" t="n">
        <v>0</v>
      </c>
    </row>
    <row r="1849" spans="1:13">
      <c r="A1849" s="1">
        <f>HYPERLINK("http://www.twitter.com/NathanBLawrence/status/981380201534771200", "981380201534771200")</f>
        <v/>
      </c>
      <c r="B1849" s="2" t="n">
        <v>43194.16489583333</v>
      </c>
      <c r="C1849" t="n">
        <v>14</v>
      </c>
      <c r="D1849" t="n">
        <v>4</v>
      </c>
      <c r="E1849" t="s">
        <v>1858</v>
      </c>
      <c r="F1849" t="s"/>
      <c r="G1849" t="s"/>
      <c r="H1849" t="s"/>
      <c r="I1849" t="s"/>
      <c r="J1849" t="n">
        <v>0.4754</v>
      </c>
      <c r="K1849" t="n">
        <v>0</v>
      </c>
      <c r="L1849" t="n">
        <v>0.694</v>
      </c>
      <c r="M1849" t="n">
        <v>0.306</v>
      </c>
    </row>
    <row r="1850" spans="1:13">
      <c r="A1850" s="1">
        <f>HYPERLINK("http://www.twitter.com/NathanBLawrence/status/981379628194447360", "981379628194447360")</f>
        <v/>
      </c>
      <c r="B1850" s="2" t="n">
        <v>43194.16332175926</v>
      </c>
      <c r="C1850" t="n">
        <v>2</v>
      </c>
      <c r="D1850" t="n">
        <v>1</v>
      </c>
      <c r="E1850" t="s">
        <v>1859</v>
      </c>
      <c r="F1850" t="s"/>
      <c r="G1850" t="s"/>
      <c r="H1850" t="s"/>
      <c r="I1850" t="s"/>
      <c r="J1850" t="n">
        <v>-0.34</v>
      </c>
      <c r="K1850" t="n">
        <v>0.211</v>
      </c>
      <c r="L1850" t="n">
        <v>0.789</v>
      </c>
      <c r="M1850" t="n">
        <v>0</v>
      </c>
    </row>
    <row r="1851" spans="1:13">
      <c r="A1851" s="1">
        <f>HYPERLINK("http://www.twitter.com/NathanBLawrence/status/981378955323228160", "981378955323228160")</f>
        <v/>
      </c>
      <c r="B1851" s="2" t="n">
        <v>43194.16145833334</v>
      </c>
      <c r="C1851" t="n">
        <v>0</v>
      </c>
      <c r="D1851" t="n">
        <v>1</v>
      </c>
      <c r="E1851" t="s">
        <v>1860</v>
      </c>
      <c r="F1851" t="s"/>
      <c r="G1851" t="s"/>
      <c r="H1851" t="s"/>
      <c r="I1851" t="s"/>
      <c r="J1851" t="n">
        <v>-0.0772</v>
      </c>
      <c r="K1851" t="n">
        <v>0.101</v>
      </c>
      <c r="L1851" t="n">
        <v>0.8179999999999999</v>
      </c>
      <c r="M1851" t="n">
        <v>0.082</v>
      </c>
    </row>
    <row r="1852" spans="1:13">
      <c r="A1852" s="1">
        <f>HYPERLINK("http://www.twitter.com/NathanBLawrence/status/981377509928329216", "981377509928329216")</f>
        <v/>
      </c>
      <c r="B1852" s="2" t="n">
        <v>43194.15747685185</v>
      </c>
      <c r="C1852" t="n">
        <v>0</v>
      </c>
      <c r="D1852" t="n">
        <v>5</v>
      </c>
      <c r="E1852" t="s">
        <v>1861</v>
      </c>
      <c r="F1852" t="s"/>
      <c r="G1852" t="s"/>
      <c r="H1852" t="s"/>
      <c r="I1852" t="s"/>
      <c r="J1852" t="n">
        <v>-0.5423</v>
      </c>
      <c r="K1852" t="n">
        <v>0.29</v>
      </c>
      <c r="L1852" t="n">
        <v>0.71</v>
      </c>
      <c r="M1852" t="n">
        <v>0</v>
      </c>
    </row>
    <row r="1853" spans="1:13">
      <c r="A1853" s="1">
        <f>HYPERLINK("http://www.twitter.com/NathanBLawrence/status/981377214968086528", "981377214968086528")</f>
        <v/>
      </c>
      <c r="B1853" s="2" t="n">
        <v>43194.15665509259</v>
      </c>
      <c r="C1853" t="n">
        <v>16</v>
      </c>
      <c r="D1853" t="n">
        <v>6</v>
      </c>
      <c r="E1853" t="s">
        <v>1862</v>
      </c>
      <c r="F1853" t="s"/>
      <c r="G1853" t="s"/>
      <c r="H1853" t="s"/>
      <c r="I1853" t="s"/>
      <c r="J1853" t="n">
        <v>0</v>
      </c>
      <c r="K1853" t="n">
        <v>0</v>
      </c>
      <c r="L1853" t="n">
        <v>1</v>
      </c>
      <c r="M1853" t="n">
        <v>0</v>
      </c>
    </row>
    <row r="1854" spans="1:13">
      <c r="A1854" s="1">
        <f>HYPERLINK("http://www.twitter.com/NathanBLawrence/status/981370625645162496", "981370625645162496")</f>
        <v/>
      </c>
      <c r="B1854" s="2" t="n">
        <v>43194.13847222222</v>
      </c>
      <c r="C1854" t="n">
        <v>0</v>
      </c>
      <c r="D1854" t="n">
        <v>246</v>
      </c>
      <c r="E1854" t="s">
        <v>1863</v>
      </c>
      <c r="F1854">
        <f>HYPERLINK("http://pbs.twimg.com/media/DZi5RlPWsAAMerq.jpg", "http://pbs.twimg.com/media/DZi5RlPWsAAMerq.jpg")</f>
        <v/>
      </c>
      <c r="G1854" t="s"/>
      <c r="H1854" t="s"/>
      <c r="I1854" t="s"/>
      <c r="J1854" t="n">
        <v>0.5106000000000001</v>
      </c>
      <c r="K1854" t="n">
        <v>0</v>
      </c>
      <c r="L1854" t="n">
        <v>0.823</v>
      </c>
      <c r="M1854" t="n">
        <v>0.177</v>
      </c>
    </row>
    <row r="1855" spans="1:13">
      <c r="A1855" s="1">
        <f>HYPERLINK("http://www.twitter.com/NathanBLawrence/status/981370269427052544", "981370269427052544")</f>
        <v/>
      </c>
      <c r="B1855" s="2" t="n">
        <v>43194.13748842593</v>
      </c>
      <c r="C1855" t="n">
        <v>0</v>
      </c>
      <c r="D1855" t="n">
        <v>6</v>
      </c>
      <c r="E1855" t="s">
        <v>1864</v>
      </c>
      <c r="F1855" t="s"/>
      <c r="G1855" t="s"/>
      <c r="H1855" t="s"/>
      <c r="I1855" t="s"/>
      <c r="J1855" t="n">
        <v>0.5719</v>
      </c>
      <c r="K1855" t="n">
        <v>0.066</v>
      </c>
      <c r="L1855" t="n">
        <v>0.705</v>
      </c>
      <c r="M1855" t="n">
        <v>0.229</v>
      </c>
    </row>
    <row r="1856" spans="1:13">
      <c r="A1856" s="1">
        <f>HYPERLINK("http://www.twitter.com/NathanBLawrence/status/981369327625519104", "981369327625519104")</f>
        <v/>
      </c>
      <c r="B1856" s="2" t="n">
        <v>43194.13489583333</v>
      </c>
      <c r="C1856" t="n">
        <v>0</v>
      </c>
      <c r="D1856" t="n">
        <v>57</v>
      </c>
      <c r="E1856" t="s">
        <v>1865</v>
      </c>
      <c r="F1856">
        <f>HYPERLINK("http://pbs.twimg.com/media/DZ6FESdVoAA1Pvs.jpg", "http://pbs.twimg.com/media/DZ6FESdVoAA1Pvs.jpg")</f>
        <v/>
      </c>
      <c r="G1856" t="s"/>
      <c r="H1856" t="s"/>
      <c r="I1856" t="s"/>
      <c r="J1856" t="n">
        <v>0</v>
      </c>
      <c r="K1856" t="n">
        <v>0</v>
      </c>
      <c r="L1856" t="n">
        <v>1</v>
      </c>
      <c r="M1856" t="n">
        <v>0</v>
      </c>
    </row>
    <row r="1857" spans="1:13">
      <c r="A1857" s="1">
        <f>HYPERLINK("http://www.twitter.com/NathanBLawrence/status/981368859079790592", "981368859079790592")</f>
        <v/>
      </c>
      <c r="B1857" s="2" t="n">
        <v>43194.13359953704</v>
      </c>
      <c r="C1857" t="n">
        <v>0</v>
      </c>
      <c r="D1857" t="n">
        <v>730</v>
      </c>
      <c r="E1857" t="s">
        <v>1866</v>
      </c>
      <c r="F1857">
        <f>HYPERLINK("https://video.twimg.com/ext_tw_video/981325290294202369/pu/vid/720x720/xtlMxi86gCvwo4FV.mp4?tag=2", "https://video.twimg.com/ext_tw_video/981325290294202369/pu/vid/720x720/xtlMxi86gCvwo4FV.mp4?tag=2")</f>
        <v/>
      </c>
      <c r="G1857" t="s"/>
      <c r="H1857" t="s"/>
      <c r="I1857" t="s"/>
      <c r="J1857" t="n">
        <v>0.34</v>
      </c>
      <c r="K1857" t="n">
        <v>0</v>
      </c>
      <c r="L1857" t="n">
        <v>0.888</v>
      </c>
      <c r="M1857" t="n">
        <v>0.112</v>
      </c>
    </row>
    <row r="1858" spans="1:13">
      <c r="A1858" s="1">
        <f>HYPERLINK("http://www.twitter.com/NathanBLawrence/status/981368753144279040", "981368753144279040")</f>
        <v/>
      </c>
      <c r="B1858" s="2" t="n">
        <v>43194.13331018519</v>
      </c>
      <c r="C1858" t="n">
        <v>0</v>
      </c>
      <c r="D1858" t="n">
        <v>3197</v>
      </c>
      <c r="E1858" t="s">
        <v>1867</v>
      </c>
      <c r="F1858">
        <f>HYPERLINK("http://pbs.twimg.com/media/DZjNq_GVwAAABGX.jpg", "http://pbs.twimg.com/media/DZjNq_GVwAAABGX.jpg")</f>
        <v/>
      </c>
      <c r="G1858" t="s"/>
      <c r="H1858" t="s"/>
      <c r="I1858" t="s"/>
      <c r="J1858" t="n">
        <v>0.9468</v>
      </c>
      <c r="K1858" t="n">
        <v>0</v>
      </c>
      <c r="L1858" t="n">
        <v>0.525</v>
      </c>
      <c r="M1858" t="n">
        <v>0.475</v>
      </c>
    </row>
    <row r="1859" spans="1:13">
      <c r="A1859" s="1">
        <f>HYPERLINK("http://www.twitter.com/NathanBLawrence/status/981368453717045248", "981368453717045248")</f>
        <v/>
      </c>
      <c r="B1859" s="2" t="n">
        <v>43194.13247685185</v>
      </c>
      <c r="C1859" t="n">
        <v>0</v>
      </c>
      <c r="D1859" t="n">
        <v>278</v>
      </c>
      <c r="E1859" t="s">
        <v>1868</v>
      </c>
      <c r="F1859">
        <f>HYPERLINK("http://pbs.twimg.com/media/DZ5bJpRU8AEr_fj.jpg", "http://pbs.twimg.com/media/DZ5bJpRU8AEr_fj.jpg")</f>
        <v/>
      </c>
      <c r="G1859" t="s"/>
      <c r="H1859" t="s"/>
      <c r="I1859" t="s"/>
      <c r="J1859" t="n">
        <v>0</v>
      </c>
      <c r="K1859" t="n">
        <v>0</v>
      </c>
      <c r="L1859" t="n">
        <v>1</v>
      </c>
      <c r="M1859" t="n">
        <v>0</v>
      </c>
    </row>
    <row r="1860" spans="1:13">
      <c r="A1860" s="1">
        <f>HYPERLINK("http://www.twitter.com/NathanBLawrence/status/981368392434139136", "981368392434139136")</f>
        <v/>
      </c>
      <c r="B1860" s="2" t="n">
        <v>43194.13231481481</v>
      </c>
      <c r="C1860" t="n">
        <v>5</v>
      </c>
      <c r="D1860" t="n">
        <v>1</v>
      </c>
      <c r="E1860" t="s">
        <v>1869</v>
      </c>
      <c r="F1860" t="s"/>
      <c r="G1860" t="s"/>
      <c r="H1860" t="s"/>
      <c r="I1860" t="s"/>
      <c r="J1860" t="n">
        <v>0</v>
      </c>
      <c r="K1860" t="n">
        <v>0</v>
      </c>
      <c r="L1860" t="n">
        <v>1</v>
      </c>
      <c r="M1860" t="n">
        <v>0</v>
      </c>
    </row>
    <row r="1861" spans="1:13">
      <c r="A1861" s="1">
        <f>HYPERLINK("http://www.twitter.com/NathanBLawrence/status/981368291569541120", "981368291569541120")</f>
        <v/>
      </c>
      <c r="B1861" s="2" t="n">
        <v>43194.13203703704</v>
      </c>
      <c r="C1861" t="n">
        <v>0</v>
      </c>
      <c r="D1861" t="n">
        <v>304</v>
      </c>
      <c r="E1861" t="s">
        <v>1870</v>
      </c>
      <c r="F1861">
        <f>HYPERLINK("http://pbs.twimg.com/media/DZ5QUxeW4AAGcgl.jpg", "http://pbs.twimg.com/media/DZ5QUxeW4AAGcgl.jpg")</f>
        <v/>
      </c>
      <c r="G1861" t="s"/>
      <c r="H1861" t="s"/>
      <c r="I1861" t="s"/>
      <c r="J1861" t="n">
        <v>0.68</v>
      </c>
      <c r="K1861" t="n">
        <v>0</v>
      </c>
      <c r="L1861" t="n">
        <v>0.804</v>
      </c>
      <c r="M1861" t="n">
        <v>0.196</v>
      </c>
    </row>
    <row r="1862" spans="1:13">
      <c r="A1862" s="1">
        <f>HYPERLINK("http://www.twitter.com/NathanBLawrence/status/981367891156021248", "981367891156021248")</f>
        <v/>
      </c>
      <c r="B1862" s="2" t="n">
        <v>43194.13092592593</v>
      </c>
      <c r="C1862" t="n">
        <v>11</v>
      </c>
      <c r="D1862" t="n">
        <v>8</v>
      </c>
      <c r="E1862" t="s">
        <v>1871</v>
      </c>
      <c r="F1862">
        <f>HYPERLINK("http://pbs.twimg.com/media/DZ6EL9bUQAAfLbz.png", "http://pbs.twimg.com/media/DZ6EL9bUQAAfLbz.png")</f>
        <v/>
      </c>
      <c r="G1862" t="s"/>
      <c r="H1862" t="s"/>
      <c r="I1862" t="s"/>
      <c r="J1862" t="n">
        <v>0.508</v>
      </c>
      <c r="K1862" t="n">
        <v>0</v>
      </c>
      <c r="L1862" t="n">
        <v>0.88</v>
      </c>
      <c r="M1862" t="n">
        <v>0.12</v>
      </c>
    </row>
    <row r="1863" spans="1:13">
      <c r="A1863" s="1">
        <f>HYPERLINK("http://www.twitter.com/NathanBLawrence/status/981343383380680705", "981343383380680705")</f>
        <v/>
      </c>
      <c r="B1863" s="2" t="n">
        <v>43194.06329861111</v>
      </c>
      <c r="C1863" t="n">
        <v>0</v>
      </c>
      <c r="D1863" t="n">
        <v>383</v>
      </c>
      <c r="E1863" t="s">
        <v>1872</v>
      </c>
      <c r="F1863">
        <f>HYPERLINK("http://pbs.twimg.com/media/DZ5tu_KW0AA-Pmr.jpg", "http://pbs.twimg.com/media/DZ5tu_KW0AA-Pmr.jpg")</f>
        <v/>
      </c>
      <c r="G1863" t="s"/>
      <c r="H1863" t="s"/>
      <c r="I1863" t="s"/>
      <c r="J1863" t="n">
        <v>-0.6486</v>
      </c>
      <c r="K1863" t="n">
        <v>0.321</v>
      </c>
      <c r="L1863" t="n">
        <v>0.496</v>
      </c>
      <c r="M1863" t="n">
        <v>0.183</v>
      </c>
    </row>
    <row r="1864" spans="1:13">
      <c r="A1864" s="1">
        <f>HYPERLINK("http://www.twitter.com/NathanBLawrence/status/981343288018984960", "981343288018984960")</f>
        <v/>
      </c>
      <c r="B1864" s="2" t="n">
        <v>43194.06303240741</v>
      </c>
      <c r="C1864" t="n">
        <v>0</v>
      </c>
      <c r="D1864" t="n">
        <v>654</v>
      </c>
      <c r="E1864" t="s">
        <v>1873</v>
      </c>
      <c r="F1864">
        <f>HYPERLINK("http://pbs.twimg.com/media/DZ5tqIfVAAAuAo8.jpg", "http://pbs.twimg.com/media/DZ5tqIfVAAAuAo8.jpg")</f>
        <v/>
      </c>
      <c r="G1864" t="s"/>
      <c r="H1864" t="s"/>
      <c r="I1864" t="s"/>
      <c r="J1864" t="n">
        <v>-0.1779</v>
      </c>
      <c r="K1864" t="n">
        <v>0.075</v>
      </c>
      <c r="L1864" t="n">
        <v>0.925</v>
      </c>
      <c r="M1864" t="n">
        <v>0</v>
      </c>
    </row>
    <row r="1865" spans="1:13">
      <c r="A1865" s="1">
        <f>HYPERLINK("http://www.twitter.com/NathanBLawrence/status/981343221761454081", "981343221761454081")</f>
        <v/>
      </c>
      <c r="B1865" s="2" t="n">
        <v>43194.06285879629</v>
      </c>
      <c r="C1865" t="n">
        <v>0</v>
      </c>
      <c r="D1865" t="n">
        <v>305</v>
      </c>
      <c r="E1865" t="s">
        <v>1874</v>
      </c>
      <c r="F1865">
        <f>HYPERLINK("http://pbs.twimg.com/media/DZ4keSDWkAEDZlW.jpg", "http://pbs.twimg.com/media/DZ4keSDWkAEDZlW.jpg")</f>
        <v/>
      </c>
      <c r="G1865" t="s"/>
      <c r="H1865" t="s"/>
      <c r="I1865" t="s"/>
      <c r="J1865" t="n">
        <v>0.8582</v>
      </c>
      <c r="K1865" t="n">
        <v>0</v>
      </c>
      <c r="L1865" t="n">
        <v>0.667</v>
      </c>
      <c r="M1865" t="n">
        <v>0.333</v>
      </c>
    </row>
    <row r="1866" spans="1:13">
      <c r="A1866" s="1">
        <f>HYPERLINK("http://www.twitter.com/NathanBLawrence/status/981342302625964032", "981342302625964032")</f>
        <v/>
      </c>
      <c r="B1866" s="2" t="n">
        <v>43194.06032407407</v>
      </c>
      <c r="C1866" t="n">
        <v>0</v>
      </c>
      <c r="D1866" t="n">
        <v>1874</v>
      </c>
      <c r="E1866" t="s">
        <v>1875</v>
      </c>
      <c r="F1866">
        <f>HYPERLINK("https://video.twimg.com/ext_tw_video/981213585236951040/pu/vid/1280x720/a9bztpCJ0yTpTzBs.mp4?tag=2", "https://video.twimg.com/ext_tw_video/981213585236951040/pu/vid/1280x720/a9bztpCJ0yTpTzBs.mp4?tag=2")</f>
        <v/>
      </c>
      <c r="G1866" t="s"/>
      <c r="H1866" t="s"/>
      <c r="I1866" t="s"/>
      <c r="J1866" t="n">
        <v>0</v>
      </c>
      <c r="K1866" t="n">
        <v>0</v>
      </c>
      <c r="L1866" t="n">
        <v>1</v>
      </c>
      <c r="M1866" t="n">
        <v>0</v>
      </c>
    </row>
    <row r="1867" spans="1:13">
      <c r="A1867" s="1">
        <f>HYPERLINK("http://www.twitter.com/NathanBLawrence/status/981342158253731840", "981342158253731840")</f>
        <v/>
      </c>
      <c r="B1867" s="2" t="n">
        <v>43194.05991898148</v>
      </c>
      <c r="C1867" t="n">
        <v>0</v>
      </c>
      <c r="D1867" t="n">
        <v>1552</v>
      </c>
      <c r="E1867" t="s">
        <v>1876</v>
      </c>
      <c r="F1867">
        <f>HYPERLINK("https://video.twimg.com/amplify_video/980762795762479104/vid/1280x720/PbpdVuRufX7cv-Np.mp4?tag=2", "https://video.twimg.com/amplify_video/980762795762479104/vid/1280x720/PbpdVuRufX7cv-Np.mp4?tag=2")</f>
        <v/>
      </c>
      <c r="G1867" t="s"/>
      <c r="H1867" t="s"/>
      <c r="I1867" t="s"/>
      <c r="J1867" t="n">
        <v>0</v>
      </c>
      <c r="K1867" t="n">
        <v>0</v>
      </c>
      <c r="L1867" t="n">
        <v>1</v>
      </c>
      <c r="M1867" t="n">
        <v>0</v>
      </c>
    </row>
    <row r="1868" spans="1:13">
      <c r="A1868" s="1">
        <f>HYPERLINK("http://www.twitter.com/NathanBLawrence/status/981342032525324288", "981342032525324288")</f>
        <v/>
      </c>
      <c r="B1868" s="2" t="n">
        <v>43194.05957175926</v>
      </c>
      <c r="C1868" t="n">
        <v>0</v>
      </c>
      <c r="D1868" t="n">
        <v>367</v>
      </c>
      <c r="E1868" t="s">
        <v>1877</v>
      </c>
      <c r="F1868">
        <f>HYPERLINK("https://video.twimg.com/ext_tw_video/981319168623546373/pu/vid/1280x720/XikDvjN0c9YjERea.mp4?tag=2", "https://video.twimg.com/ext_tw_video/981319168623546373/pu/vid/1280x720/XikDvjN0c9YjERea.mp4?tag=2")</f>
        <v/>
      </c>
      <c r="G1868" t="s"/>
      <c r="H1868" t="s"/>
      <c r="I1868" t="s"/>
      <c r="J1868" t="n">
        <v>-0.8012</v>
      </c>
      <c r="K1868" t="n">
        <v>0.313</v>
      </c>
      <c r="L1868" t="n">
        <v>0.6870000000000001</v>
      </c>
      <c r="M1868" t="n">
        <v>0</v>
      </c>
    </row>
    <row r="1869" spans="1:13">
      <c r="A1869" s="1">
        <f>HYPERLINK("http://www.twitter.com/NathanBLawrence/status/981341729876885504", "981341729876885504")</f>
        <v/>
      </c>
      <c r="B1869" s="2" t="n">
        <v>43194.05873842593</v>
      </c>
      <c r="C1869" t="n">
        <v>0</v>
      </c>
      <c r="D1869" t="n">
        <v>1057</v>
      </c>
      <c r="E1869" t="s">
        <v>1878</v>
      </c>
      <c r="F1869">
        <f>HYPERLINK("http://pbs.twimg.com/media/DZ4mXihWkAEPboO.jpg", "http://pbs.twimg.com/media/DZ4mXihWkAEPboO.jpg")</f>
        <v/>
      </c>
      <c r="G1869" t="s"/>
      <c r="H1869" t="s"/>
      <c r="I1869" t="s"/>
      <c r="J1869" t="n">
        <v>-0.8934</v>
      </c>
      <c r="K1869" t="n">
        <v>0.386</v>
      </c>
      <c r="L1869" t="n">
        <v>0.614</v>
      </c>
      <c r="M1869" t="n">
        <v>0</v>
      </c>
    </row>
    <row r="1870" spans="1:13">
      <c r="A1870" s="1">
        <f>HYPERLINK("http://www.twitter.com/NathanBLawrence/status/981341668321275904", "981341668321275904")</f>
        <v/>
      </c>
      <c r="B1870" s="2" t="n">
        <v>43194.05856481481</v>
      </c>
      <c r="C1870" t="n">
        <v>0</v>
      </c>
      <c r="D1870" t="n">
        <v>911</v>
      </c>
      <c r="E1870" t="s">
        <v>1879</v>
      </c>
      <c r="F1870">
        <f>HYPERLINK("http://pbs.twimg.com/media/DZ4-zW8WAAE_Ypz.jpg", "http://pbs.twimg.com/media/DZ4-zW8WAAE_Ypz.jpg")</f>
        <v/>
      </c>
      <c r="G1870" t="s"/>
      <c r="H1870" t="s"/>
      <c r="I1870" t="s"/>
      <c r="J1870" t="n">
        <v>0</v>
      </c>
      <c r="K1870" t="n">
        <v>0</v>
      </c>
      <c r="L1870" t="n">
        <v>1</v>
      </c>
      <c r="M1870" t="n">
        <v>0</v>
      </c>
    </row>
    <row r="1871" spans="1:13">
      <c r="A1871" s="1">
        <f>HYPERLINK("http://www.twitter.com/NathanBLawrence/status/981298639191486464", "981298639191486464")</f>
        <v/>
      </c>
      <c r="B1871" s="2" t="n">
        <v>43193.93982638889</v>
      </c>
      <c r="C1871" t="n">
        <v>5</v>
      </c>
      <c r="D1871" t="n">
        <v>0</v>
      </c>
      <c r="E1871" t="s">
        <v>1880</v>
      </c>
      <c r="F1871" t="s"/>
      <c r="G1871" t="s"/>
      <c r="H1871" t="s"/>
      <c r="I1871" t="s"/>
      <c r="J1871" t="n">
        <v>0.3147</v>
      </c>
      <c r="K1871" t="n">
        <v>0</v>
      </c>
      <c r="L1871" t="n">
        <v>0.851</v>
      </c>
      <c r="M1871" t="n">
        <v>0.149</v>
      </c>
    </row>
    <row r="1872" spans="1:13">
      <c r="A1872" s="1">
        <f>HYPERLINK("http://www.twitter.com/NathanBLawrence/status/981203286492561408", "981203286492561408")</f>
        <v/>
      </c>
      <c r="B1872" s="2" t="n">
        <v>43193.67671296297</v>
      </c>
      <c r="C1872" t="n">
        <v>18</v>
      </c>
      <c r="D1872" t="n">
        <v>11</v>
      </c>
      <c r="E1872" t="s">
        <v>1881</v>
      </c>
      <c r="F1872" t="s"/>
      <c r="G1872" t="s"/>
      <c r="H1872" t="s"/>
      <c r="I1872" t="s"/>
      <c r="J1872" t="n">
        <v>-0.765</v>
      </c>
      <c r="K1872" t="n">
        <v>0.306</v>
      </c>
      <c r="L1872" t="n">
        <v>0.694</v>
      </c>
      <c r="M1872" t="n">
        <v>0</v>
      </c>
    </row>
    <row r="1873" spans="1:13">
      <c r="A1873" s="1">
        <f>HYPERLINK("http://www.twitter.com/NathanBLawrence/status/981202005493338112", "981202005493338112")</f>
        <v/>
      </c>
      <c r="B1873" s="2" t="n">
        <v>43193.67317129629</v>
      </c>
      <c r="C1873" t="n">
        <v>0</v>
      </c>
      <c r="D1873" t="n">
        <v>623</v>
      </c>
      <c r="E1873" t="s">
        <v>1882</v>
      </c>
      <c r="F1873">
        <f>HYPERLINK("http://pbs.twimg.com/media/DZ3nm4zXUAAXsI8.jpg", "http://pbs.twimg.com/media/DZ3nm4zXUAAXsI8.jpg")</f>
        <v/>
      </c>
      <c r="G1873" t="s"/>
      <c r="H1873" t="s"/>
      <c r="I1873" t="s"/>
      <c r="J1873" t="n">
        <v>0</v>
      </c>
      <c r="K1873" t="n">
        <v>0</v>
      </c>
      <c r="L1873" t="n">
        <v>1</v>
      </c>
      <c r="M1873" t="n">
        <v>0</v>
      </c>
    </row>
    <row r="1874" spans="1:13">
      <c r="A1874" s="1">
        <f>HYPERLINK("http://www.twitter.com/NathanBLawrence/status/981201849419272193", "981201849419272193")</f>
        <v/>
      </c>
      <c r="B1874" s="2" t="n">
        <v>43193.67274305555</v>
      </c>
      <c r="C1874" t="n">
        <v>0</v>
      </c>
      <c r="D1874" t="n">
        <v>329</v>
      </c>
      <c r="E1874" t="s">
        <v>1883</v>
      </c>
      <c r="F1874">
        <f>HYPERLINK("http://pbs.twimg.com/media/DZ3eXtGX0AAFNf4.jpg", "http://pbs.twimg.com/media/DZ3eXtGX0AAFNf4.jpg")</f>
        <v/>
      </c>
      <c r="G1874" t="s"/>
      <c r="H1874" t="s"/>
      <c r="I1874" t="s"/>
      <c r="J1874" t="n">
        <v>-0.6249</v>
      </c>
      <c r="K1874" t="n">
        <v>0.163</v>
      </c>
      <c r="L1874" t="n">
        <v>0.837</v>
      </c>
      <c r="M1874" t="n">
        <v>0</v>
      </c>
    </row>
    <row r="1875" spans="1:13">
      <c r="A1875" s="1">
        <f>HYPERLINK("http://www.twitter.com/NathanBLawrence/status/981201264347299840", "981201264347299840")</f>
        <v/>
      </c>
      <c r="B1875" s="2" t="n">
        <v>43193.67112268518</v>
      </c>
      <c r="C1875" t="n">
        <v>0</v>
      </c>
      <c r="D1875" t="n">
        <v>1322</v>
      </c>
      <c r="E1875" t="s">
        <v>1884</v>
      </c>
      <c r="F1875">
        <f>HYPERLINK("https://video.twimg.com/ext_tw_video/980967739916402688/pu/vid/720x720/0KBJg3BAlfIDhFty.mp4?tag=2", "https://video.twimg.com/ext_tw_video/980967739916402688/pu/vid/720x720/0KBJg3BAlfIDhFty.mp4?tag=2")</f>
        <v/>
      </c>
      <c r="G1875" t="s"/>
      <c r="H1875" t="s"/>
      <c r="I1875" t="s"/>
      <c r="J1875" t="n">
        <v>-0.5423</v>
      </c>
      <c r="K1875" t="n">
        <v>0.2</v>
      </c>
      <c r="L1875" t="n">
        <v>0.8</v>
      </c>
      <c r="M1875" t="n">
        <v>0</v>
      </c>
    </row>
    <row r="1876" spans="1:13">
      <c r="A1876" s="1">
        <f>HYPERLINK("http://www.twitter.com/NathanBLawrence/status/981201182503743489", "981201182503743489")</f>
        <v/>
      </c>
      <c r="B1876" s="2" t="n">
        <v>43193.67090277778</v>
      </c>
      <c r="C1876" t="n">
        <v>0</v>
      </c>
      <c r="D1876" t="n">
        <v>211</v>
      </c>
      <c r="E1876" t="s">
        <v>1885</v>
      </c>
      <c r="F1876">
        <f>HYPERLINK("https://video.twimg.com/ext_tw_video/981161252381700096/pu/vid/640x360/XVk9pVX0SH8EH6t9.mp4?tag=2", "https://video.twimg.com/ext_tw_video/981161252381700096/pu/vid/640x360/XVk9pVX0SH8EH6t9.mp4?tag=2")</f>
        <v/>
      </c>
      <c r="G1876" t="s"/>
      <c r="H1876" t="s"/>
      <c r="I1876" t="s"/>
      <c r="J1876" t="n">
        <v>0</v>
      </c>
      <c r="K1876" t="n">
        <v>0</v>
      </c>
      <c r="L1876" t="n">
        <v>1</v>
      </c>
      <c r="M1876" t="n">
        <v>0</v>
      </c>
    </row>
    <row r="1877" spans="1:13">
      <c r="A1877" s="1">
        <f>HYPERLINK("http://www.twitter.com/NathanBLawrence/status/981201010461892609", "981201010461892609")</f>
        <v/>
      </c>
      <c r="B1877" s="2" t="n">
        <v>43193.67042824074</v>
      </c>
      <c r="C1877" t="n">
        <v>0</v>
      </c>
      <c r="D1877" t="n">
        <v>822</v>
      </c>
      <c r="E1877" t="s">
        <v>1886</v>
      </c>
      <c r="F1877" t="s"/>
      <c r="G1877" t="s"/>
      <c r="H1877" t="s"/>
      <c r="I1877" t="s"/>
      <c r="J1877" t="n">
        <v>-0.1531</v>
      </c>
      <c r="K1877" t="n">
        <v>0.122</v>
      </c>
      <c r="L1877" t="n">
        <v>0.777</v>
      </c>
      <c r="M1877" t="n">
        <v>0.101</v>
      </c>
    </row>
    <row r="1878" spans="1:13">
      <c r="A1878" s="1">
        <f>HYPERLINK("http://www.twitter.com/NathanBLawrence/status/981200884041318400", "981200884041318400")</f>
        <v/>
      </c>
      <c r="B1878" s="2" t="n">
        <v>43193.67008101852</v>
      </c>
      <c r="C1878" t="n">
        <v>0</v>
      </c>
      <c r="D1878" t="n">
        <v>494</v>
      </c>
      <c r="E1878" t="s">
        <v>1887</v>
      </c>
      <c r="F1878">
        <f>HYPERLINK("http://pbs.twimg.com/media/DZ3N7KkVoAcx02a.jpg", "http://pbs.twimg.com/media/DZ3N7KkVoAcx02a.jpg")</f>
        <v/>
      </c>
      <c r="G1878" t="s"/>
      <c r="H1878" t="s"/>
      <c r="I1878" t="s"/>
      <c r="J1878" t="n">
        <v>-0.627</v>
      </c>
      <c r="K1878" t="n">
        <v>0.164</v>
      </c>
      <c r="L1878" t="n">
        <v>0.836</v>
      </c>
      <c r="M1878" t="n">
        <v>0</v>
      </c>
    </row>
    <row r="1879" spans="1:13">
      <c r="A1879" s="1">
        <f>HYPERLINK("http://www.twitter.com/NathanBLawrence/status/981200186016858113", "981200186016858113")</f>
        <v/>
      </c>
      <c r="B1879" s="2" t="n">
        <v>43193.66814814815</v>
      </c>
      <c r="C1879" t="n">
        <v>0</v>
      </c>
      <c r="D1879" t="n">
        <v>0</v>
      </c>
      <c r="E1879" t="s">
        <v>1888</v>
      </c>
      <c r="F1879" t="s"/>
      <c r="G1879" t="s"/>
      <c r="H1879" t="s"/>
      <c r="I1879" t="s"/>
      <c r="J1879" t="n">
        <v>0.6369</v>
      </c>
      <c r="K1879" t="n">
        <v>0</v>
      </c>
      <c r="L1879" t="n">
        <v>0.6820000000000001</v>
      </c>
      <c r="M1879" t="n">
        <v>0.318</v>
      </c>
    </row>
    <row r="1880" spans="1:13">
      <c r="A1880" s="1">
        <f>HYPERLINK("http://www.twitter.com/NathanBLawrence/status/981200025144340481", "981200025144340481")</f>
        <v/>
      </c>
      <c r="B1880" s="2" t="n">
        <v>43193.66770833333</v>
      </c>
      <c r="C1880" t="n">
        <v>0</v>
      </c>
      <c r="D1880" t="n">
        <v>0</v>
      </c>
      <c r="E1880" t="s">
        <v>1889</v>
      </c>
      <c r="F1880" t="s"/>
      <c r="G1880" t="s"/>
      <c r="H1880" t="s"/>
      <c r="I1880" t="s"/>
      <c r="J1880" t="n">
        <v>0.3612</v>
      </c>
      <c r="K1880" t="n">
        <v>0</v>
      </c>
      <c r="L1880" t="n">
        <v>0.828</v>
      </c>
      <c r="M1880" t="n">
        <v>0.172</v>
      </c>
    </row>
    <row r="1881" spans="1:13">
      <c r="A1881" s="1">
        <f>HYPERLINK("http://www.twitter.com/NathanBLawrence/status/981199483449962496", "981199483449962496")</f>
        <v/>
      </c>
      <c r="B1881" s="2" t="n">
        <v>43193.66621527778</v>
      </c>
      <c r="C1881" t="n">
        <v>1</v>
      </c>
      <c r="D1881" t="n">
        <v>1</v>
      </c>
      <c r="E1881" t="s">
        <v>1890</v>
      </c>
      <c r="F1881" t="s"/>
      <c r="G1881" t="s"/>
      <c r="H1881" t="s"/>
      <c r="I1881" t="s"/>
      <c r="J1881" t="n">
        <v>0</v>
      </c>
      <c r="K1881" t="n">
        <v>0</v>
      </c>
      <c r="L1881" t="n">
        <v>1</v>
      </c>
      <c r="M1881" t="n">
        <v>0</v>
      </c>
    </row>
    <row r="1882" spans="1:13">
      <c r="A1882" s="1">
        <f>HYPERLINK("http://www.twitter.com/NathanBLawrence/status/981199232697647104", "981199232697647104")</f>
        <v/>
      </c>
      <c r="B1882" s="2" t="n">
        <v>43193.66552083333</v>
      </c>
      <c r="C1882" t="n">
        <v>8</v>
      </c>
      <c r="D1882" t="n">
        <v>2</v>
      </c>
      <c r="E1882" t="s">
        <v>1891</v>
      </c>
      <c r="F1882" t="s"/>
      <c r="G1882" t="s"/>
      <c r="H1882" t="s"/>
      <c r="I1882" t="s"/>
      <c r="J1882" t="n">
        <v>0</v>
      </c>
      <c r="K1882" t="n">
        <v>0</v>
      </c>
      <c r="L1882" t="n">
        <v>1</v>
      </c>
      <c r="M1882" t="n">
        <v>0</v>
      </c>
    </row>
    <row r="1883" spans="1:13">
      <c r="A1883" s="1">
        <f>HYPERLINK("http://www.twitter.com/NathanBLawrence/status/981087572309897217", "981087572309897217")</f>
        <v/>
      </c>
      <c r="B1883" s="2" t="n">
        <v>43193.35739583334</v>
      </c>
      <c r="C1883" t="n">
        <v>9</v>
      </c>
      <c r="D1883" t="n">
        <v>5</v>
      </c>
      <c r="E1883" t="s">
        <v>1892</v>
      </c>
      <c r="F1883" t="s"/>
      <c r="G1883" t="s"/>
      <c r="H1883" t="s"/>
      <c r="I1883" t="s"/>
      <c r="J1883" t="n">
        <v>0</v>
      </c>
      <c r="K1883" t="n">
        <v>0</v>
      </c>
      <c r="L1883" t="n">
        <v>1</v>
      </c>
      <c r="M1883" t="n">
        <v>0</v>
      </c>
    </row>
    <row r="1884" spans="1:13">
      <c r="A1884" s="1">
        <f>HYPERLINK("http://www.twitter.com/NathanBLawrence/status/981057584659537920", "981057584659537920")</f>
        <v/>
      </c>
      <c r="B1884" s="2" t="n">
        <v>43193.27465277778</v>
      </c>
      <c r="C1884" t="n">
        <v>0</v>
      </c>
      <c r="D1884" t="n">
        <v>51</v>
      </c>
      <c r="E1884" t="s">
        <v>1893</v>
      </c>
      <c r="F1884">
        <f>HYPERLINK("http://pbs.twimg.com/media/DZ1ppI4WAAEFZuI.jpg", "http://pbs.twimg.com/media/DZ1ppI4WAAEFZuI.jpg")</f>
        <v/>
      </c>
      <c r="G1884" t="s"/>
      <c r="H1884" t="s"/>
      <c r="I1884" t="s"/>
      <c r="J1884" t="n">
        <v>0</v>
      </c>
      <c r="K1884" t="n">
        <v>0</v>
      </c>
      <c r="L1884" t="n">
        <v>1</v>
      </c>
      <c r="M1884" t="n">
        <v>0</v>
      </c>
    </row>
    <row r="1885" spans="1:13">
      <c r="A1885" s="1">
        <f>HYPERLINK("http://www.twitter.com/NathanBLawrence/status/981057509728251905", "981057509728251905")</f>
        <v/>
      </c>
      <c r="B1885" s="2" t="n">
        <v>43193.27444444445</v>
      </c>
      <c r="C1885" t="n">
        <v>0</v>
      </c>
      <c r="D1885" t="n">
        <v>6</v>
      </c>
      <c r="E1885" t="s">
        <v>1894</v>
      </c>
      <c r="F1885" t="s"/>
      <c r="G1885" t="s"/>
      <c r="H1885" t="s"/>
      <c r="I1885" t="s"/>
      <c r="J1885" t="n">
        <v>-0.296</v>
      </c>
      <c r="K1885" t="n">
        <v>0.095</v>
      </c>
      <c r="L1885" t="n">
        <v>0.905</v>
      </c>
      <c r="M1885" t="n">
        <v>0</v>
      </c>
    </row>
    <row r="1886" spans="1:13">
      <c r="A1886" s="1">
        <f>HYPERLINK("http://www.twitter.com/NathanBLawrence/status/981057075642945537", "981057075642945537")</f>
        <v/>
      </c>
      <c r="B1886" s="2" t="n">
        <v>43193.27324074074</v>
      </c>
      <c r="C1886" t="n">
        <v>0</v>
      </c>
      <c r="D1886" t="n">
        <v>553</v>
      </c>
      <c r="E1886" t="s">
        <v>1895</v>
      </c>
      <c r="F1886" t="s"/>
      <c r="G1886" t="s"/>
      <c r="H1886" t="s"/>
      <c r="I1886" t="s"/>
      <c r="J1886" t="n">
        <v>0.5859</v>
      </c>
      <c r="K1886" t="n">
        <v>0</v>
      </c>
      <c r="L1886" t="n">
        <v>0.774</v>
      </c>
      <c r="M1886" t="n">
        <v>0.226</v>
      </c>
    </row>
    <row r="1887" spans="1:13">
      <c r="A1887" s="1">
        <f>HYPERLINK("http://www.twitter.com/NathanBLawrence/status/981056964305170432", "981056964305170432")</f>
        <v/>
      </c>
      <c r="B1887" s="2" t="n">
        <v>43193.27293981481</v>
      </c>
      <c r="C1887" t="n">
        <v>4</v>
      </c>
      <c r="D1887" t="n">
        <v>4</v>
      </c>
      <c r="E1887" t="s">
        <v>1896</v>
      </c>
      <c r="F1887" t="s"/>
      <c r="G1887" t="s"/>
      <c r="H1887" t="s"/>
      <c r="I1887" t="s"/>
      <c r="J1887" t="n">
        <v>0.0516</v>
      </c>
      <c r="K1887" t="n">
        <v>0.21</v>
      </c>
      <c r="L1887" t="n">
        <v>0.5649999999999999</v>
      </c>
      <c r="M1887" t="n">
        <v>0.226</v>
      </c>
    </row>
    <row r="1888" spans="1:13">
      <c r="A1888" s="1">
        <f>HYPERLINK("http://www.twitter.com/NathanBLawrence/status/981056758792638466", "981056758792638466")</f>
        <v/>
      </c>
      <c r="B1888" s="2" t="n">
        <v>43193.27237268518</v>
      </c>
      <c r="C1888" t="n">
        <v>8</v>
      </c>
      <c r="D1888" t="n">
        <v>3</v>
      </c>
      <c r="E1888" t="s">
        <v>1897</v>
      </c>
      <c r="F1888" t="s"/>
      <c r="G1888" t="s"/>
      <c r="H1888" t="s"/>
      <c r="I1888" t="s"/>
      <c r="J1888" t="n">
        <v>0</v>
      </c>
      <c r="K1888" t="n">
        <v>0</v>
      </c>
      <c r="L1888" t="n">
        <v>1</v>
      </c>
      <c r="M1888" t="n">
        <v>0</v>
      </c>
    </row>
    <row r="1889" spans="1:13">
      <c r="A1889" s="1">
        <f>HYPERLINK("http://www.twitter.com/NathanBLawrence/status/981056225897885696", "981056225897885696")</f>
        <v/>
      </c>
      <c r="B1889" s="2" t="n">
        <v>43193.27090277777</v>
      </c>
      <c r="C1889" t="n">
        <v>0</v>
      </c>
      <c r="D1889" t="n">
        <v>10</v>
      </c>
      <c r="E1889" t="s">
        <v>1898</v>
      </c>
      <c r="F1889">
        <f>HYPERLINK("http://pbs.twimg.com/media/DZvxLxmUMAEouy1.jpg", "http://pbs.twimg.com/media/DZvxLxmUMAEouy1.jpg")</f>
        <v/>
      </c>
      <c r="G1889" t="s"/>
      <c r="H1889" t="s"/>
      <c r="I1889" t="s"/>
      <c r="J1889" t="n">
        <v>0</v>
      </c>
      <c r="K1889" t="n">
        <v>0</v>
      </c>
      <c r="L1889" t="n">
        <v>1</v>
      </c>
      <c r="M1889" t="n">
        <v>0</v>
      </c>
    </row>
    <row r="1890" spans="1:13">
      <c r="A1890" s="1">
        <f>HYPERLINK("http://www.twitter.com/NathanBLawrence/status/981056082947710976", "981056082947710976")</f>
        <v/>
      </c>
      <c r="B1890" s="2" t="n">
        <v>43193.27049768518</v>
      </c>
      <c r="C1890" t="n">
        <v>0</v>
      </c>
      <c r="D1890" t="n">
        <v>417</v>
      </c>
      <c r="E1890" t="s">
        <v>1899</v>
      </c>
      <c r="F1890">
        <f>HYPERLINK("http://pbs.twimg.com/media/DZ1OrLcWsAA5Q5x.jpg", "http://pbs.twimg.com/media/DZ1OrLcWsAA5Q5x.jpg")</f>
        <v/>
      </c>
      <c r="G1890" t="s"/>
      <c r="H1890" t="s"/>
      <c r="I1890" t="s"/>
      <c r="J1890" t="n">
        <v>0</v>
      </c>
      <c r="K1890" t="n">
        <v>0</v>
      </c>
      <c r="L1890" t="n">
        <v>1</v>
      </c>
      <c r="M1890" t="n">
        <v>0</v>
      </c>
    </row>
    <row r="1891" spans="1:13">
      <c r="A1891" s="1">
        <f>HYPERLINK("http://www.twitter.com/NathanBLawrence/status/981055819037855745", "981055819037855745")</f>
        <v/>
      </c>
      <c r="B1891" s="2" t="n">
        <v>43193.2697800926</v>
      </c>
      <c r="C1891" t="n">
        <v>0</v>
      </c>
      <c r="D1891" t="n">
        <v>4</v>
      </c>
      <c r="E1891" t="s">
        <v>1900</v>
      </c>
      <c r="F1891">
        <f>HYPERLINK("http://pbs.twimg.com/media/DZxAc0cVoAAr02h.png", "http://pbs.twimg.com/media/DZxAc0cVoAAr02h.png")</f>
        <v/>
      </c>
      <c r="G1891" t="s"/>
      <c r="H1891" t="s"/>
      <c r="I1891" t="s"/>
      <c r="J1891" t="n">
        <v>0.6597</v>
      </c>
      <c r="K1891" t="n">
        <v>0</v>
      </c>
      <c r="L1891" t="n">
        <v>0.735</v>
      </c>
      <c r="M1891" t="n">
        <v>0.265</v>
      </c>
    </row>
    <row r="1892" spans="1:13">
      <c r="A1892" s="1">
        <f>HYPERLINK("http://www.twitter.com/NathanBLawrence/status/981055094765449216", "981055094765449216")</f>
        <v/>
      </c>
      <c r="B1892" s="2" t="n">
        <v>43193.26777777778</v>
      </c>
      <c r="C1892" t="n">
        <v>0</v>
      </c>
      <c r="D1892" t="n">
        <v>387</v>
      </c>
      <c r="E1892" t="s">
        <v>1901</v>
      </c>
      <c r="F1892">
        <f>HYPERLINK("http://pbs.twimg.com/media/DZzyGmNU0AAgn6h.jpg", "http://pbs.twimg.com/media/DZzyGmNU0AAgn6h.jpg")</f>
        <v/>
      </c>
      <c r="G1892">
        <f>HYPERLINK("http://pbs.twimg.com/media/DZzyGmOV4AAM1YW.jpg", "http://pbs.twimg.com/media/DZzyGmOV4AAM1YW.jpg")</f>
        <v/>
      </c>
      <c r="H1892" t="s"/>
      <c r="I1892" t="s"/>
      <c r="J1892" t="n">
        <v>-0.7184</v>
      </c>
      <c r="K1892" t="n">
        <v>0.253</v>
      </c>
      <c r="L1892" t="n">
        <v>0.658</v>
      </c>
      <c r="M1892" t="n">
        <v>0.089</v>
      </c>
    </row>
    <row r="1893" spans="1:13">
      <c r="A1893" s="1">
        <f>HYPERLINK("http://www.twitter.com/NathanBLawrence/status/981055023122587649", "981055023122587649")</f>
        <v/>
      </c>
      <c r="B1893" s="2" t="n">
        <v>43193.26758101852</v>
      </c>
      <c r="C1893" t="n">
        <v>0</v>
      </c>
      <c r="D1893" t="n">
        <v>681</v>
      </c>
      <c r="E1893" t="s">
        <v>1902</v>
      </c>
      <c r="F1893">
        <f>HYPERLINK("http://pbs.twimg.com/media/DZzv-xKV4AAeBMj.jpg", "http://pbs.twimg.com/media/DZzv-xKV4AAeBMj.jpg")</f>
        <v/>
      </c>
      <c r="G1893" t="s"/>
      <c r="H1893" t="s"/>
      <c r="I1893" t="s"/>
      <c r="J1893" t="n">
        <v>0.3802</v>
      </c>
      <c r="K1893" t="n">
        <v>0.122</v>
      </c>
      <c r="L1893" t="n">
        <v>0.66</v>
      </c>
      <c r="M1893" t="n">
        <v>0.217</v>
      </c>
    </row>
    <row r="1894" spans="1:13">
      <c r="A1894" s="1">
        <f>HYPERLINK("http://www.twitter.com/NathanBLawrence/status/981028609279209473", "981028609279209473")</f>
        <v/>
      </c>
      <c r="B1894" s="2" t="n">
        <v>43193.1946875</v>
      </c>
      <c r="C1894" t="n">
        <v>0</v>
      </c>
      <c r="D1894" t="n">
        <v>11</v>
      </c>
      <c r="E1894" t="s">
        <v>1903</v>
      </c>
      <c r="F1894">
        <f>HYPERLINK("http://pbs.twimg.com/media/DZ1Kt5mVMAIfJXt.jpg", "http://pbs.twimg.com/media/DZ1Kt5mVMAIfJXt.jpg")</f>
        <v/>
      </c>
      <c r="G1894" t="s"/>
      <c r="H1894" t="s"/>
      <c r="I1894" t="s"/>
      <c r="J1894" t="n">
        <v>0</v>
      </c>
      <c r="K1894" t="n">
        <v>0</v>
      </c>
      <c r="L1894" t="n">
        <v>1</v>
      </c>
      <c r="M1894" t="n">
        <v>0</v>
      </c>
    </row>
    <row r="1895" spans="1:13">
      <c r="A1895" s="1">
        <f>HYPERLINK("http://www.twitter.com/NathanBLawrence/status/981028537682485248", "981028537682485248")</f>
        <v/>
      </c>
      <c r="B1895" s="2" t="n">
        <v>43193.19449074074</v>
      </c>
      <c r="C1895" t="n">
        <v>0</v>
      </c>
      <c r="D1895" t="n">
        <v>129</v>
      </c>
      <c r="E1895" t="s">
        <v>1904</v>
      </c>
      <c r="F1895">
        <f>HYPERLINK("http://pbs.twimg.com/media/DZys2zKUQAAEbe4.jpg", "http://pbs.twimg.com/media/DZys2zKUQAAEbe4.jpg")</f>
        <v/>
      </c>
      <c r="G1895" t="s"/>
      <c r="H1895" t="s"/>
      <c r="I1895" t="s"/>
      <c r="J1895" t="n">
        <v>0</v>
      </c>
      <c r="K1895" t="n">
        <v>0</v>
      </c>
      <c r="L1895" t="n">
        <v>1</v>
      </c>
      <c r="M1895" t="n">
        <v>0</v>
      </c>
    </row>
    <row r="1896" spans="1:13">
      <c r="A1896" s="1">
        <f>HYPERLINK("http://www.twitter.com/NathanBLawrence/status/981027984587960322", "981027984587960322")</f>
        <v/>
      </c>
      <c r="B1896" s="2" t="n">
        <v>43193.19296296296</v>
      </c>
      <c r="C1896" t="n">
        <v>13</v>
      </c>
      <c r="D1896" t="n">
        <v>5</v>
      </c>
      <c r="E1896" t="s">
        <v>1905</v>
      </c>
      <c r="F1896" t="s"/>
      <c r="G1896" t="s"/>
      <c r="H1896" t="s"/>
      <c r="I1896" t="s"/>
      <c r="J1896" t="n">
        <v>0.7081</v>
      </c>
      <c r="K1896" t="n">
        <v>0</v>
      </c>
      <c r="L1896" t="n">
        <v>0.743</v>
      </c>
      <c r="M1896" t="n">
        <v>0.257</v>
      </c>
    </row>
    <row r="1897" spans="1:13">
      <c r="A1897" s="1">
        <f>HYPERLINK("http://www.twitter.com/NathanBLawrence/status/980923855282651136", "980923855282651136")</f>
        <v/>
      </c>
      <c r="B1897" s="2" t="n">
        <v>43192.905625</v>
      </c>
      <c r="C1897" t="n">
        <v>0</v>
      </c>
      <c r="D1897" t="n">
        <v>6</v>
      </c>
      <c r="E1897" t="s">
        <v>1906</v>
      </c>
      <c r="F1897" t="s"/>
      <c r="G1897" t="s"/>
      <c r="H1897" t="s"/>
      <c r="I1897" t="s"/>
      <c r="J1897" t="n">
        <v>0.8176</v>
      </c>
      <c r="K1897" t="n">
        <v>0</v>
      </c>
      <c r="L1897" t="n">
        <v>0.444</v>
      </c>
      <c r="M1897" t="n">
        <v>0.556</v>
      </c>
    </row>
    <row r="1898" spans="1:13">
      <c r="A1898" s="1">
        <f>HYPERLINK("http://www.twitter.com/NathanBLawrence/status/980923780183810049", "980923780183810049")</f>
        <v/>
      </c>
      <c r="B1898" s="2" t="n">
        <v>43192.90541666667</v>
      </c>
      <c r="C1898" t="n">
        <v>0</v>
      </c>
      <c r="D1898" t="n">
        <v>19</v>
      </c>
      <c r="E1898" t="s">
        <v>1907</v>
      </c>
      <c r="F1898">
        <f>HYPERLINK("http://pbs.twimg.com/media/DZxaBjKU8AAsz3O.jpg", "http://pbs.twimg.com/media/DZxaBjKU8AAsz3O.jpg")</f>
        <v/>
      </c>
      <c r="G1898" t="s"/>
      <c r="H1898" t="s"/>
      <c r="I1898" t="s"/>
      <c r="J1898" t="n">
        <v>0</v>
      </c>
      <c r="K1898" t="n">
        <v>0</v>
      </c>
      <c r="L1898" t="n">
        <v>1</v>
      </c>
      <c r="M1898" t="n">
        <v>0</v>
      </c>
    </row>
    <row r="1899" spans="1:13">
      <c r="A1899" s="1">
        <f>HYPERLINK("http://www.twitter.com/NathanBLawrence/status/980923746818039808", "980923746818039808")</f>
        <v/>
      </c>
      <c r="B1899" s="2" t="n">
        <v>43192.90532407408</v>
      </c>
      <c r="C1899" t="n">
        <v>0</v>
      </c>
      <c r="D1899" t="n">
        <v>24</v>
      </c>
      <c r="E1899" t="s">
        <v>1908</v>
      </c>
      <c r="F1899">
        <f>HYPERLINK("http://pbs.twimg.com/media/DZxaTKTUMAAZL34.jpg", "http://pbs.twimg.com/media/DZxaTKTUMAAZL34.jpg")</f>
        <v/>
      </c>
      <c r="G1899" t="s"/>
      <c r="H1899" t="s"/>
      <c r="I1899" t="s"/>
      <c r="J1899" t="n">
        <v>0</v>
      </c>
      <c r="K1899" t="n">
        <v>0</v>
      </c>
      <c r="L1899" t="n">
        <v>1</v>
      </c>
      <c r="M1899" t="n">
        <v>0</v>
      </c>
    </row>
    <row r="1900" spans="1:13">
      <c r="A1900" s="1">
        <f>HYPERLINK("http://www.twitter.com/NathanBLawrence/status/980923707920039936", "980923707920039936")</f>
        <v/>
      </c>
      <c r="B1900" s="2" t="n">
        <v>43192.90521990741</v>
      </c>
      <c r="C1900" t="n">
        <v>0</v>
      </c>
      <c r="D1900" t="n">
        <v>35</v>
      </c>
      <c r="E1900" t="s">
        <v>1909</v>
      </c>
      <c r="F1900">
        <f>HYPERLINK("http://pbs.twimg.com/media/DZxah2BU8AAiDaI.jpg", "http://pbs.twimg.com/media/DZxah2BU8AAiDaI.jpg")</f>
        <v/>
      </c>
      <c r="G1900" t="s"/>
      <c r="H1900" t="s"/>
      <c r="I1900" t="s"/>
      <c r="J1900" t="n">
        <v>0</v>
      </c>
      <c r="K1900" t="n">
        <v>0</v>
      </c>
      <c r="L1900" t="n">
        <v>1</v>
      </c>
      <c r="M1900" t="n">
        <v>0</v>
      </c>
    </row>
    <row r="1901" spans="1:13">
      <c r="A1901" s="1">
        <f>HYPERLINK("http://www.twitter.com/NathanBLawrence/status/980923679742738432", "980923679742738432")</f>
        <v/>
      </c>
      <c r="B1901" s="2" t="n">
        <v>43192.90513888889</v>
      </c>
      <c r="C1901" t="n">
        <v>0</v>
      </c>
      <c r="D1901" t="n">
        <v>24</v>
      </c>
      <c r="E1901" t="s">
        <v>1910</v>
      </c>
      <c r="F1901">
        <f>HYPERLINK("http://pbs.twimg.com/media/DZxXLQ9X0Ag6PTK.jpg", "http://pbs.twimg.com/media/DZxXLQ9X0Ag6PTK.jpg")</f>
        <v/>
      </c>
      <c r="G1901" t="s"/>
      <c r="H1901" t="s"/>
      <c r="I1901" t="s"/>
      <c r="J1901" t="n">
        <v>0</v>
      </c>
      <c r="K1901" t="n">
        <v>0</v>
      </c>
      <c r="L1901" t="n">
        <v>1</v>
      </c>
      <c r="M1901" t="n">
        <v>0</v>
      </c>
    </row>
    <row r="1902" spans="1:13">
      <c r="A1902" s="1">
        <f>HYPERLINK("http://www.twitter.com/NathanBLawrence/status/980923637556547585", "980923637556547585")</f>
        <v/>
      </c>
      <c r="B1902" s="2" t="n">
        <v>43192.90502314815</v>
      </c>
      <c r="C1902" t="n">
        <v>0</v>
      </c>
      <c r="D1902" t="n">
        <v>12</v>
      </c>
      <c r="E1902" t="s">
        <v>1911</v>
      </c>
      <c r="F1902">
        <f>HYPERLINK("http://pbs.twimg.com/media/DZxbbYtU8AAGomC.jpg", "http://pbs.twimg.com/media/DZxbbYtU8AAGomC.jpg")</f>
        <v/>
      </c>
      <c r="G1902" t="s"/>
      <c r="H1902" t="s"/>
      <c r="I1902" t="s"/>
      <c r="J1902" t="n">
        <v>0</v>
      </c>
      <c r="K1902" t="n">
        <v>0</v>
      </c>
      <c r="L1902" t="n">
        <v>1</v>
      </c>
      <c r="M1902" t="n">
        <v>0</v>
      </c>
    </row>
    <row r="1903" spans="1:13">
      <c r="A1903" s="1">
        <f>HYPERLINK("http://www.twitter.com/NathanBLawrence/status/980923599652622336", "980923599652622336")</f>
        <v/>
      </c>
      <c r="B1903" s="2" t="n">
        <v>43192.90491898148</v>
      </c>
      <c r="C1903" t="n">
        <v>0</v>
      </c>
      <c r="D1903" t="n">
        <v>5</v>
      </c>
      <c r="E1903" t="s">
        <v>1912</v>
      </c>
      <c r="F1903" t="s"/>
      <c r="G1903" t="s"/>
      <c r="H1903" t="s"/>
      <c r="I1903" t="s"/>
      <c r="J1903" t="n">
        <v>0</v>
      </c>
      <c r="K1903" t="n">
        <v>0</v>
      </c>
      <c r="L1903" t="n">
        <v>1</v>
      </c>
      <c r="M1903" t="n">
        <v>0</v>
      </c>
    </row>
    <row r="1904" spans="1:13">
      <c r="A1904" s="1">
        <f>HYPERLINK("http://www.twitter.com/NathanBLawrence/status/980923537127960576", "980923537127960576")</f>
        <v/>
      </c>
      <c r="B1904" s="2" t="n">
        <v>43192.90474537037</v>
      </c>
      <c r="C1904" t="n">
        <v>0</v>
      </c>
      <c r="D1904" t="n">
        <v>108</v>
      </c>
      <c r="E1904" t="s">
        <v>1913</v>
      </c>
      <c r="F1904">
        <f>HYPERLINK("http://pbs.twimg.com/media/DZvhNpHUMAAzL0e.jpg", "http://pbs.twimg.com/media/DZvhNpHUMAAzL0e.jpg")</f>
        <v/>
      </c>
      <c r="G1904" t="s"/>
      <c r="H1904" t="s"/>
      <c r="I1904" t="s"/>
      <c r="J1904" t="n">
        <v>0</v>
      </c>
      <c r="K1904" t="n">
        <v>0</v>
      </c>
      <c r="L1904" t="n">
        <v>1</v>
      </c>
      <c r="M1904" t="n">
        <v>0</v>
      </c>
    </row>
    <row r="1905" spans="1:13">
      <c r="A1905" s="1">
        <f>HYPERLINK("http://www.twitter.com/NathanBLawrence/status/980923455964172289", "980923455964172289")</f>
        <v/>
      </c>
      <c r="B1905" s="2" t="n">
        <v>43192.90452546296</v>
      </c>
      <c r="C1905" t="n">
        <v>9</v>
      </c>
      <c r="D1905" t="n">
        <v>1</v>
      </c>
      <c r="E1905" t="s">
        <v>1914</v>
      </c>
      <c r="F1905" t="s"/>
      <c r="G1905" t="s"/>
      <c r="H1905" t="s"/>
      <c r="I1905" t="s"/>
      <c r="J1905" t="n">
        <v>0.5848</v>
      </c>
      <c r="K1905" t="n">
        <v>0</v>
      </c>
      <c r="L1905" t="n">
        <v>0.511</v>
      </c>
      <c r="M1905" t="n">
        <v>0.489</v>
      </c>
    </row>
    <row r="1906" spans="1:13">
      <c r="A1906" s="1">
        <f>HYPERLINK("http://www.twitter.com/NathanBLawrence/status/980923103957209097", "980923103957209097")</f>
        <v/>
      </c>
      <c r="B1906" s="2" t="n">
        <v>43192.90355324074</v>
      </c>
      <c r="C1906" t="n">
        <v>0</v>
      </c>
      <c r="D1906" t="n">
        <v>122</v>
      </c>
      <c r="E1906" t="s">
        <v>1915</v>
      </c>
      <c r="F1906">
        <f>HYPERLINK("http://pbs.twimg.com/media/DZx7b11W0AY7bIC.jpg", "http://pbs.twimg.com/media/DZx7b11W0AY7bIC.jpg")</f>
        <v/>
      </c>
      <c r="G1906" t="s"/>
      <c r="H1906" t="s"/>
      <c r="I1906" t="s"/>
      <c r="J1906" t="n">
        <v>0</v>
      </c>
      <c r="K1906" t="n">
        <v>0</v>
      </c>
      <c r="L1906" t="n">
        <v>1</v>
      </c>
      <c r="M1906" t="n">
        <v>0</v>
      </c>
    </row>
    <row r="1907" spans="1:13">
      <c r="A1907" s="1">
        <f>HYPERLINK("http://www.twitter.com/NathanBLawrence/status/980922824511578112", "980922824511578112")</f>
        <v/>
      </c>
      <c r="B1907" s="2" t="n">
        <v>43192.90277777778</v>
      </c>
      <c r="C1907" t="n">
        <v>3</v>
      </c>
      <c r="D1907" t="n">
        <v>2</v>
      </c>
      <c r="E1907" t="s">
        <v>1916</v>
      </c>
      <c r="F1907">
        <f>HYPERLINK("http://pbs.twimg.com/media/DZzwCCWVoAAKWme.png", "http://pbs.twimg.com/media/DZzwCCWVoAAKWme.png")</f>
        <v/>
      </c>
      <c r="G1907" t="s"/>
      <c r="H1907" t="s"/>
      <c r="I1907" t="s"/>
      <c r="J1907" t="n">
        <v>0.4753</v>
      </c>
      <c r="K1907" t="n">
        <v>0</v>
      </c>
      <c r="L1907" t="n">
        <v>0.853</v>
      </c>
      <c r="M1907" t="n">
        <v>0.147</v>
      </c>
    </row>
    <row r="1908" spans="1:13">
      <c r="A1908" s="1">
        <f>HYPERLINK("http://www.twitter.com/NathanBLawrence/status/980922107445071872", "980922107445071872")</f>
        <v/>
      </c>
      <c r="B1908" s="2" t="n">
        <v>43192.90079861111</v>
      </c>
      <c r="C1908" t="n">
        <v>0</v>
      </c>
      <c r="D1908" t="n">
        <v>5</v>
      </c>
      <c r="E1908" t="s">
        <v>1917</v>
      </c>
      <c r="F1908" t="s"/>
      <c r="G1908" t="s"/>
      <c r="H1908" t="s"/>
      <c r="I1908" t="s"/>
      <c r="J1908" t="n">
        <v>-0.7645</v>
      </c>
      <c r="K1908" t="n">
        <v>0.268</v>
      </c>
      <c r="L1908" t="n">
        <v>0.732</v>
      </c>
      <c r="M1908" t="n">
        <v>0</v>
      </c>
    </row>
    <row r="1909" spans="1:13">
      <c r="A1909" s="1">
        <f>HYPERLINK("http://www.twitter.com/NathanBLawrence/status/980767267628638208", "980767267628638208")</f>
        <v/>
      </c>
      <c r="B1909" s="2" t="n">
        <v>43192.47353009259</v>
      </c>
      <c r="C1909" t="n">
        <v>14</v>
      </c>
      <c r="D1909" t="n">
        <v>6</v>
      </c>
      <c r="E1909" t="s">
        <v>1918</v>
      </c>
      <c r="F1909">
        <f>HYPERLINK("http://pbs.twimg.com/media/DZxinlIUQAAD0di.jpg", "http://pbs.twimg.com/media/DZxinlIUQAAD0di.jpg")</f>
        <v/>
      </c>
      <c r="G1909" t="s"/>
      <c r="H1909" t="s"/>
      <c r="I1909" t="s"/>
      <c r="J1909" t="n">
        <v>0</v>
      </c>
      <c r="K1909" t="n">
        <v>0</v>
      </c>
      <c r="L1909" t="n">
        <v>1</v>
      </c>
      <c r="M1909" t="n">
        <v>0</v>
      </c>
    </row>
    <row r="1910" spans="1:13">
      <c r="A1910" s="1">
        <f>HYPERLINK("http://www.twitter.com/NathanBLawrence/status/980767083611893760", "980767083611893760")</f>
        <v/>
      </c>
      <c r="B1910" s="2" t="n">
        <v>43192.47302083333</v>
      </c>
      <c r="C1910" t="n">
        <v>25</v>
      </c>
      <c r="D1910" t="n">
        <v>8</v>
      </c>
      <c r="E1910" t="s">
        <v>1919</v>
      </c>
      <c r="F1910">
        <f>HYPERLINK("http://pbs.twimg.com/media/DZxicaWUQAAId0z.jpg", "http://pbs.twimg.com/media/DZxicaWUQAAId0z.jpg")</f>
        <v/>
      </c>
      <c r="G1910" t="s"/>
      <c r="H1910" t="s"/>
      <c r="I1910" t="s"/>
      <c r="J1910" t="n">
        <v>0</v>
      </c>
      <c r="K1910" t="n">
        <v>0</v>
      </c>
      <c r="L1910" t="n">
        <v>1</v>
      </c>
      <c r="M1910" t="n">
        <v>0</v>
      </c>
    </row>
    <row r="1911" spans="1:13">
      <c r="A1911" s="1">
        <f>HYPERLINK("http://www.twitter.com/NathanBLawrence/status/980766846776369152", "980766846776369152")</f>
        <v/>
      </c>
      <c r="B1911" s="2" t="n">
        <v>43192.47236111111</v>
      </c>
      <c r="C1911" t="n">
        <v>34</v>
      </c>
      <c r="D1911" t="n">
        <v>19</v>
      </c>
      <c r="E1911" t="s">
        <v>1920</v>
      </c>
      <c r="F1911">
        <f>HYPERLINK("http://pbs.twimg.com/media/DZxiEcLVoAA_Lpr.jpg", "http://pbs.twimg.com/media/DZxiEcLVoAA_Lpr.jpg")</f>
        <v/>
      </c>
      <c r="G1911" t="s"/>
      <c r="H1911" t="s"/>
      <c r="I1911" t="s"/>
      <c r="J1911" t="n">
        <v>0.3595</v>
      </c>
      <c r="K1911" t="n">
        <v>0</v>
      </c>
      <c r="L1911" t="n">
        <v>0.737</v>
      </c>
      <c r="M1911" t="n">
        <v>0.263</v>
      </c>
    </row>
    <row r="1912" spans="1:13">
      <c r="A1912" s="1">
        <f>HYPERLINK("http://www.twitter.com/NathanBLawrence/status/980764871670181888", "980764871670181888")</f>
        <v/>
      </c>
      <c r="B1912" s="2" t="n">
        <v>43192.46690972222</v>
      </c>
      <c r="C1912" t="n">
        <v>0</v>
      </c>
      <c r="D1912" t="n">
        <v>258</v>
      </c>
      <c r="E1912" t="s">
        <v>1921</v>
      </c>
      <c r="F1912">
        <f>HYPERLINK("https://video.twimg.com/amplify_video/980519288347004929/vid/1280x720/DTXMcJpeoVZMqCkD.mp4", "https://video.twimg.com/amplify_video/980519288347004929/vid/1280x720/DTXMcJpeoVZMqCkD.mp4")</f>
        <v/>
      </c>
      <c r="G1912" t="s"/>
      <c r="H1912" t="s"/>
      <c r="I1912" t="s"/>
      <c r="J1912" t="n">
        <v>0</v>
      </c>
      <c r="K1912" t="n">
        <v>0</v>
      </c>
      <c r="L1912" t="n">
        <v>1</v>
      </c>
      <c r="M1912" t="n">
        <v>0</v>
      </c>
    </row>
    <row r="1913" spans="1:13">
      <c r="A1913" s="1">
        <f>HYPERLINK("http://www.twitter.com/NathanBLawrence/status/980764776518135809", "980764776518135809")</f>
        <v/>
      </c>
      <c r="B1913" s="2" t="n">
        <v>43192.46665509259</v>
      </c>
      <c r="C1913" t="n">
        <v>0</v>
      </c>
      <c r="D1913" t="n">
        <v>23</v>
      </c>
      <c r="E1913" t="s">
        <v>1922</v>
      </c>
      <c r="F1913">
        <f>HYPERLINK("http://pbs.twimg.com/media/DZwaHeXVQAAmQzu.jpg", "http://pbs.twimg.com/media/DZwaHeXVQAAmQzu.jpg")</f>
        <v/>
      </c>
      <c r="G1913" t="s"/>
      <c r="H1913" t="s"/>
      <c r="I1913" t="s"/>
      <c r="J1913" t="n">
        <v>0</v>
      </c>
      <c r="K1913" t="n">
        <v>0</v>
      </c>
      <c r="L1913" t="n">
        <v>1</v>
      </c>
      <c r="M1913" t="n">
        <v>0</v>
      </c>
    </row>
    <row r="1914" spans="1:13">
      <c r="A1914" s="1">
        <f>HYPERLINK("http://www.twitter.com/NathanBLawrence/status/980764401811701761", "980764401811701761")</f>
        <v/>
      </c>
      <c r="B1914" s="2" t="n">
        <v>43192.46561342593</v>
      </c>
      <c r="C1914" t="n">
        <v>0</v>
      </c>
      <c r="D1914" t="n">
        <v>1955</v>
      </c>
      <c r="E1914" t="s">
        <v>1923</v>
      </c>
      <c r="F1914">
        <f>HYPERLINK("http://pbs.twimg.com/media/DZvrnxfV4AAH_nf.jpg", "http://pbs.twimg.com/media/DZvrnxfV4AAH_nf.jpg")</f>
        <v/>
      </c>
      <c r="G1914" t="s"/>
      <c r="H1914" t="s"/>
      <c r="I1914" t="s"/>
      <c r="J1914" t="n">
        <v>0.6874</v>
      </c>
      <c r="K1914" t="n">
        <v>0</v>
      </c>
      <c r="L1914" t="n">
        <v>0.795</v>
      </c>
      <c r="M1914" t="n">
        <v>0.205</v>
      </c>
    </row>
    <row r="1915" spans="1:13">
      <c r="A1915" s="1">
        <f>HYPERLINK("http://www.twitter.com/NathanBLawrence/status/980763468784549888", "980763468784549888")</f>
        <v/>
      </c>
      <c r="B1915" s="2" t="n">
        <v>43192.46304398148</v>
      </c>
      <c r="C1915" t="n">
        <v>0</v>
      </c>
      <c r="D1915" t="n">
        <v>175</v>
      </c>
      <c r="E1915" t="s">
        <v>1924</v>
      </c>
      <c r="F1915">
        <f>HYPERLINK("http://pbs.twimg.com/media/DZu_2PCUQAA1ZTC.jpg", "http://pbs.twimg.com/media/DZu_2PCUQAA1ZTC.jpg")</f>
        <v/>
      </c>
      <c r="G1915" t="s"/>
      <c r="H1915" t="s"/>
      <c r="I1915" t="s"/>
      <c r="J1915" t="n">
        <v>-0.8481</v>
      </c>
      <c r="K1915" t="n">
        <v>0.338</v>
      </c>
      <c r="L1915" t="n">
        <v>0.662</v>
      </c>
      <c r="M1915" t="n">
        <v>0</v>
      </c>
    </row>
    <row r="1916" spans="1:13">
      <c r="A1916" s="1">
        <f>HYPERLINK("http://www.twitter.com/NathanBLawrence/status/980763226735501312", "980763226735501312")</f>
        <v/>
      </c>
      <c r="B1916" s="2" t="n">
        <v>43192.46237268519</v>
      </c>
      <c r="C1916" t="n">
        <v>0</v>
      </c>
      <c r="D1916" t="n">
        <v>244</v>
      </c>
      <c r="E1916" t="s">
        <v>1925</v>
      </c>
      <c r="F1916">
        <f>HYPERLINK("https://video.twimg.com/amplify_video/980757123343831040/vid/1280x720/pRA_4Gjhsm7tWzP6.mp4?tag=2", "https://video.twimg.com/amplify_video/980757123343831040/vid/1280x720/pRA_4Gjhsm7tWzP6.mp4?tag=2")</f>
        <v/>
      </c>
      <c r="G1916" t="s"/>
      <c r="H1916" t="s"/>
      <c r="I1916" t="s"/>
      <c r="J1916" t="n">
        <v>0.4939</v>
      </c>
      <c r="K1916" t="n">
        <v>0</v>
      </c>
      <c r="L1916" t="n">
        <v>0.868</v>
      </c>
      <c r="M1916" t="n">
        <v>0.132</v>
      </c>
    </row>
    <row r="1917" spans="1:13">
      <c r="A1917" s="1">
        <f>HYPERLINK("http://www.twitter.com/NathanBLawrence/status/980763113816403974", "980763113816403974")</f>
        <v/>
      </c>
      <c r="B1917" s="2" t="n">
        <v>43192.46206018519</v>
      </c>
      <c r="C1917" t="n">
        <v>0</v>
      </c>
      <c r="D1917" t="n">
        <v>55</v>
      </c>
      <c r="E1917" t="s">
        <v>1926</v>
      </c>
      <c r="F1917">
        <f>HYPERLINK("http://pbs.twimg.com/media/DZv3-RTWkAINP4R.jpg", "http://pbs.twimg.com/media/DZv3-RTWkAINP4R.jpg")</f>
        <v/>
      </c>
      <c r="G1917" t="s"/>
      <c r="H1917" t="s"/>
      <c r="I1917" t="s"/>
      <c r="J1917" t="n">
        <v>0</v>
      </c>
      <c r="K1917" t="n">
        <v>0</v>
      </c>
      <c r="L1917" t="n">
        <v>1</v>
      </c>
      <c r="M1917" t="n">
        <v>0</v>
      </c>
    </row>
    <row r="1918" spans="1:13">
      <c r="A1918" s="1">
        <f>HYPERLINK("http://www.twitter.com/NathanBLawrence/status/980760708911579136", "980760708911579136")</f>
        <v/>
      </c>
      <c r="B1918" s="2" t="n">
        <v>43192.45542824074</v>
      </c>
      <c r="C1918" t="n">
        <v>1</v>
      </c>
      <c r="D1918" t="n">
        <v>0</v>
      </c>
      <c r="E1918" t="s">
        <v>1927</v>
      </c>
      <c r="F1918" t="s"/>
      <c r="G1918" t="s"/>
      <c r="H1918" t="s"/>
      <c r="I1918" t="s"/>
      <c r="J1918" t="n">
        <v>0</v>
      </c>
      <c r="K1918" t="n">
        <v>0</v>
      </c>
      <c r="L1918" t="n">
        <v>1</v>
      </c>
      <c r="M1918" t="n">
        <v>0</v>
      </c>
    </row>
    <row r="1919" spans="1:13">
      <c r="A1919" s="1">
        <f>HYPERLINK("http://www.twitter.com/NathanBLawrence/status/980760359467298816", "980760359467298816")</f>
        <v/>
      </c>
      <c r="B1919" s="2" t="n">
        <v>43192.45446759259</v>
      </c>
      <c r="C1919" t="n">
        <v>13</v>
      </c>
      <c r="D1919" t="n">
        <v>5</v>
      </c>
      <c r="E1919" t="s">
        <v>1928</v>
      </c>
      <c r="F1919" t="s"/>
      <c r="G1919" t="s"/>
      <c r="H1919" t="s"/>
      <c r="I1919" t="s"/>
      <c r="J1919" t="n">
        <v>0</v>
      </c>
      <c r="K1919" t="n">
        <v>0</v>
      </c>
      <c r="L1919" t="n">
        <v>1</v>
      </c>
      <c r="M1919" t="n">
        <v>0</v>
      </c>
    </row>
    <row r="1920" spans="1:13">
      <c r="A1920" s="1">
        <f>HYPERLINK("http://www.twitter.com/NathanBLawrence/status/980759810227429376", "980759810227429376")</f>
        <v/>
      </c>
      <c r="B1920" s="2" t="n">
        <v>43192.45295138889</v>
      </c>
      <c r="C1920" t="n">
        <v>33</v>
      </c>
      <c r="D1920" t="n">
        <v>12</v>
      </c>
      <c r="E1920" t="s">
        <v>1929</v>
      </c>
      <c r="F1920">
        <f>HYPERLINK("http://pbs.twimg.com/media/DZxbbYtU8AAGomC.jpg", "http://pbs.twimg.com/media/DZxbbYtU8AAGomC.jpg")</f>
        <v/>
      </c>
      <c r="G1920" t="s"/>
      <c r="H1920" t="s"/>
      <c r="I1920" t="s"/>
      <c r="J1920" t="n">
        <v>0</v>
      </c>
      <c r="K1920" t="n">
        <v>0</v>
      </c>
      <c r="L1920" t="n">
        <v>1</v>
      </c>
      <c r="M1920" t="n">
        <v>0</v>
      </c>
    </row>
    <row r="1921" spans="1:13">
      <c r="A1921" s="1">
        <f>HYPERLINK("http://www.twitter.com/NathanBLawrence/status/980758406796488705", "980758406796488705")</f>
        <v/>
      </c>
      <c r="B1921" s="2" t="n">
        <v>43192.44907407407</v>
      </c>
      <c r="C1921" t="n">
        <v>43</v>
      </c>
      <c r="D1921" t="n">
        <v>35</v>
      </c>
      <c r="E1921" t="s">
        <v>1930</v>
      </c>
      <c r="F1921">
        <f>HYPERLINK("http://pbs.twimg.com/media/DZxah2BU8AAiDaI.jpg", "http://pbs.twimg.com/media/DZxah2BU8AAiDaI.jpg")</f>
        <v/>
      </c>
      <c r="G1921" t="s"/>
      <c r="H1921" t="s"/>
      <c r="I1921" t="s"/>
      <c r="J1921" t="n">
        <v>0</v>
      </c>
      <c r="K1921" t="n">
        <v>0</v>
      </c>
      <c r="L1921" t="n">
        <v>1</v>
      </c>
      <c r="M1921" t="n">
        <v>0</v>
      </c>
    </row>
    <row r="1922" spans="1:13">
      <c r="A1922" s="1">
        <f>HYPERLINK("http://www.twitter.com/NathanBLawrence/status/980758192173891585", "980758192173891585")</f>
        <v/>
      </c>
      <c r="B1922" s="2" t="n">
        <v>43192.4484837963</v>
      </c>
      <c r="C1922" t="n">
        <v>42</v>
      </c>
      <c r="D1922" t="n">
        <v>24</v>
      </c>
      <c r="E1922" t="s">
        <v>1931</v>
      </c>
      <c r="F1922">
        <f>HYPERLINK("http://pbs.twimg.com/media/DZxaTKTUMAAZL34.jpg", "http://pbs.twimg.com/media/DZxaTKTUMAAZL34.jpg")</f>
        <v/>
      </c>
      <c r="G1922" t="s"/>
      <c r="H1922" t="s"/>
      <c r="I1922" t="s"/>
      <c r="J1922" t="n">
        <v>0</v>
      </c>
      <c r="K1922" t="n">
        <v>0</v>
      </c>
      <c r="L1922" t="n">
        <v>1</v>
      </c>
      <c r="M1922" t="n">
        <v>0</v>
      </c>
    </row>
    <row r="1923" spans="1:13">
      <c r="A1923" s="1">
        <f>HYPERLINK("http://www.twitter.com/NathanBLawrence/status/980757921310031872", "980757921310031872")</f>
        <v/>
      </c>
      <c r="B1923" s="2" t="n">
        <v>43192.44773148148</v>
      </c>
      <c r="C1923" t="n">
        <v>34</v>
      </c>
      <c r="D1923" t="n">
        <v>19</v>
      </c>
      <c r="E1923" t="s">
        <v>1932</v>
      </c>
      <c r="F1923">
        <f>HYPERLINK("http://pbs.twimg.com/media/DZxaBjKU8AAsz3O.jpg", "http://pbs.twimg.com/media/DZxaBjKU8AAsz3O.jpg")</f>
        <v/>
      </c>
      <c r="G1923" t="s"/>
      <c r="H1923" t="s"/>
      <c r="I1923" t="s"/>
      <c r="J1923" t="n">
        <v>0</v>
      </c>
      <c r="K1923" t="n">
        <v>0</v>
      </c>
      <c r="L1923" t="n">
        <v>1</v>
      </c>
      <c r="M1923" t="n">
        <v>0</v>
      </c>
    </row>
    <row r="1924" spans="1:13">
      <c r="A1924" s="1">
        <f>HYPERLINK("http://www.twitter.com/NathanBLawrence/status/980757671664959488", "980757671664959488")</f>
        <v/>
      </c>
      <c r="B1924" s="2" t="n">
        <v>43192.44704861111</v>
      </c>
      <c r="C1924" t="n">
        <v>0</v>
      </c>
      <c r="D1924" t="n">
        <v>59</v>
      </c>
      <c r="E1924" t="s">
        <v>1933</v>
      </c>
      <c r="F1924">
        <f>HYPERLINK("http://pbs.twimg.com/media/DZxX-eEUQAA8Slm.jpg", "http://pbs.twimg.com/media/DZxX-eEUQAA8Slm.jpg")</f>
        <v/>
      </c>
      <c r="G1924" t="s"/>
      <c r="H1924" t="s"/>
      <c r="I1924" t="s"/>
      <c r="J1924" t="n">
        <v>0.752</v>
      </c>
      <c r="K1924" t="n">
        <v>0.07199999999999999</v>
      </c>
      <c r="L1924" t="n">
        <v>0.632</v>
      </c>
      <c r="M1924" t="n">
        <v>0.296</v>
      </c>
    </row>
    <row r="1925" spans="1:13">
      <c r="A1925" s="1">
        <f>HYPERLINK("http://www.twitter.com/NathanBLawrence/status/980754012206067712", "980754012206067712")</f>
        <v/>
      </c>
      <c r="B1925" s="2" t="n">
        <v>43192.43694444445</v>
      </c>
      <c r="C1925" t="n">
        <v>0</v>
      </c>
      <c r="D1925" t="n">
        <v>89</v>
      </c>
      <c r="E1925" t="s">
        <v>1934</v>
      </c>
      <c r="F1925">
        <f>HYPERLINK("http://pbs.twimg.com/media/DZtQXEHUMAEZ-X7.jpg", "http://pbs.twimg.com/media/DZtQXEHUMAEZ-X7.jpg")</f>
        <v/>
      </c>
      <c r="G1925" t="s"/>
      <c r="H1925" t="s"/>
      <c r="I1925" t="s"/>
      <c r="J1925" t="n">
        <v>0.25</v>
      </c>
      <c r="K1925" t="n">
        <v>0.179</v>
      </c>
      <c r="L1925" t="n">
        <v>0.641</v>
      </c>
      <c r="M1925" t="n">
        <v>0.179</v>
      </c>
    </row>
    <row r="1926" spans="1:13">
      <c r="A1926" s="1">
        <f>HYPERLINK("http://www.twitter.com/NathanBLawrence/status/980753852927393793", "980753852927393793")</f>
        <v/>
      </c>
      <c r="B1926" s="2" t="n">
        <v>43192.43650462963</v>
      </c>
      <c r="C1926" t="n">
        <v>0</v>
      </c>
      <c r="D1926" t="n">
        <v>1914</v>
      </c>
      <c r="E1926" t="s">
        <v>1935</v>
      </c>
      <c r="F1926">
        <f>HYPERLINK("https://video.twimg.com/amplify_video/980473893734543360/vid/1280x720/bsB7iFl_i-nHrfqL.mp4", "https://video.twimg.com/amplify_video/980473893734543360/vid/1280x720/bsB7iFl_i-nHrfqL.mp4")</f>
        <v/>
      </c>
      <c r="G1926" t="s"/>
      <c r="H1926" t="s"/>
      <c r="I1926" t="s"/>
      <c r="J1926" t="n">
        <v>0.743</v>
      </c>
      <c r="K1926" t="n">
        <v>0</v>
      </c>
      <c r="L1926" t="n">
        <v>0.777</v>
      </c>
      <c r="M1926" t="n">
        <v>0.223</v>
      </c>
    </row>
    <row r="1927" spans="1:13">
      <c r="A1927" s="1">
        <f>HYPERLINK("http://www.twitter.com/NathanBLawrence/status/980753494352080897", "980753494352080897")</f>
        <v/>
      </c>
      <c r="B1927" s="2" t="n">
        <v>43192.43552083334</v>
      </c>
      <c r="C1927" t="n">
        <v>2</v>
      </c>
      <c r="D1927" t="n">
        <v>0</v>
      </c>
      <c r="E1927" t="s">
        <v>1936</v>
      </c>
      <c r="F1927" t="s"/>
      <c r="G1927" t="s"/>
      <c r="H1927" t="s"/>
      <c r="I1927" t="s"/>
      <c r="J1927" t="n">
        <v>0</v>
      </c>
      <c r="K1927" t="n">
        <v>0</v>
      </c>
      <c r="L1927" t="n">
        <v>1</v>
      </c>
      <c r="M1927" t="n">
        <v>0</v>
      </c>
    </row>
    <row r="1928" spans="1:13">
      <c r="A1928" s="1">
        <f>HYPERLINK("http://www.twitter.com/NathanBLawrence/status/980748983566913536", "980748983566913536")</f>
        <v/>
      </c>
      <c r="B1928" s="2" t="n">
        <v>43192.42306712963</v>
      </c>
      <c r="C1928" t="n">
        <v>2</v>
      </c>
      <c r="D1928" t="n">
        <v>0</v>
      </c>
      <c r="E1928" t="s">
        <v>1937</v>
      </c>
      <c r="F1928" t="s"/>
      <c r="G1928" t="s"/>
      <c r="H1928" t="s"/>
      <c r="I1928" t="s"/>
      <c r="J1928" t="n">
        <v>0</v>
      </c>
      <c r="K1928" t="n">
        <v>0</v>
      </c>
      <c r="L1928" t="n">
        <v>1</v>
      </c>
      <c r="M1928" t="n">
        <v>0</v>
      </c>
    </row>
    <row r="1929" spans="1:13">
      <c r="A1929" s="1">
        <f>HYPERLINK("http://www.twitter.com/NathanBLawrence/status/980748796928802816", "980748796928802816")</f>
        <v/>
      </c>
      <c r="B1929" s="2" t="n">
        <v>43192.42255787037</v>
      </c>
      <c r="C1929" t="n">
        <v>4</v>
      </c>
      <c r="D1929" t="n">
        <v>2</v>
      </c>
      <c r="E1929" t="s">
        <v>1938</v>
      </c>
      <c r="F1929" t="s"/>
      <c r="G1929" t="s"/>
      <c r="H1929" t="s"/>
      <c r="I1929" t="s"/>
      <c r="J1929" t="n">
        <v>0</v>
      </c>
      <c r="K1929" t="n">
        <v>0</v>
      </c>
      <c r="L1929" t="n">
        <v>1</v>
      </c>
      <c r="M1929" t="n">
        <v>0</v>
      </c>
    </row>
    <row r="1930" spans="1:13">
      <c r="A1930" s="1">
        <f>HYPERLINK("http://www.twitter.com/NathanBLawrence/status/980748403641430017", "980748403641430017")</f>
        <v/>
      </c>
      <c r="B1930" s="2" t="n">
        <v>43192.42146990741</v>
      </c>
      <c r="C1930" t="n">
        <v>13</v>
      </c>
      <c r="D1930" t="n">
        <v>6</v>
      </c>
      <c r="E1930" t="s">
        <v>1939</v>
      </c>
      <c r="F1930" t="s"/>
      <c r="G1930" t="s"/>
      <c r="H1930" t="s"/>
      <c r="I1930" t="s"/>
      <c r="J1930" t="n">
        <v>0.8176</v>
      </c>
      <c r="K1930" t="n">
        <v>0</v>
      </c>
      <c r="L1930" t="n">
        <v>0.348</v>
      </c>
      <c r="M1930" t="n">
        <v>0.652</v>
      </c>
    </row>
    <row r="1931" spans="1:13">
      <c r="A1931" s="1">
        <f>HYPERLINK("http://www.twitter.com/NathanBLawrence/status/980748171100938242", "980748171100938242")</f>
        <v/>
      </c>
      <c r="B1931" s="2" t="n">
        <v>43192.42083333333</v>
      </c>
      <c r="C1931" t="n">
        <v>2</v>
      </c>
      <c r="D1931" t="n">
        <v>0</v>
      </c>
      <c r="E1931" t="s">
        <v>1940</v>
      </c>
      <c r="F1931" t="s"/>
      <c r="G1931" t="s"/>
      <c r="H1931" t="s"/>
      <c r="I1931" t="s"/>
      <c r="J1931" t="n">
        <v>0</v>
      </c>
      <c r="K1931" t="n">
        <v>0</v>
      </c>
      <c r="L1931" t="n">
        <v>1</v>
      </c>
      <c r="M1931" t="n">
        <v>0</v>
      </c>
    </row>
    <row r="1932" spans="1:13">
      <c r="A1932" s="1">
        <f>HYPERLINK("http://www.twitter.com/NathanBLawrence/status/980747948186218496", "980747948186218496")</f>
        <v/>
      </c>
      <c r="B1932" s="2" t="n">
        <v>43192.42020833334</v>
      </c>
      <c r="C1932" t="n">
        <v>1</v>
      </c>
      <c r="D1932" t="n">
        <v>0</v>
      </c>
      <c r="E1932" t="s">
        <v>1941</v>
      </c>
      <c r="F1932" t="s"/>
      <c r="G1932" t="s"/>
      <c r="H1932" t="s"/>
      <c r="I1932" t="s"/>
      <c r="J1932" t="n">
        <v>0</v>
      </c>
      <c r="K1932" t="n">
        <v>0</v>
      </c>
      <c r="L1932" t="n">
        <v>1</v>
      </c>
      <c r="M1932" t="n">
        <v>0</v>
      </c>
    </row>
    <row r="1933" spans="1:13">
      <c r="A1933" s="1">
        <f>HYPERLINK("http://www.twitter.com/NathanBLawrence/status/980744554608394240", "980744554608394240")</f>
        <v/>
      </c>
      <c r="B1933" s="2" t="n">
        <v>43192.4108449074</v>
      </c>
      <c r="C1933" t="n">
        <v>1</v>
      </c>
      <c r="D1933" t="n">
        <v>0</v>
      </c>
      <c r="E1933" t="s">
        <v>1942</v>
      </c>
      <c r="F1933" t="s"/>
      <c r="G1933" t="s"/>
      <c r="H1933" t="s"/>
      <c r="I1933" t="s"/>
      <c r="J1933" t="n">
        <v>0</v>
      </c>
      <c r="K1933" t="n">
        <v>0</v>
      </c>
      <c r="L1933" t="n">
        <v>1</v>
      </c>
      <c r="M1933" t="n">
        <v>0</v>
      </c>
    </row>
    <row r="1934" spans="1:13">
      <c r="A1934" s="1">
        <f>HYPERLINK("http://www.twitter.com/NathanBLawrence/status/980744048343367680", "980744048343367680")</f>
        <v/>
      </c>
      <c r="B1934" s="2" t="n">
        <v>43192.40945601852</v>
      </c>
      <c r="C1934" t="n">
        <v>2</v>
      </c>
      <c r="D1934" t="n">
        <v>1</v>
      </c>
      <c r="E1934" t="s">
        <v>1943</v>
      </c>
      <c r="F1934" t="s"/>
      <c r="G1934" t="s"/>
      <c r="H1934" t="s"/>
      <c r="I1934" t="s"/>
      <c r="J1934" t="n">
        <v>0</v>
      </c>
      <c r="K1934" t="n">
        <v>0</v>
      </c>
      <c r="L1934" t="n">
        <v>1</v>
      </c>
      <c r="M1934" t="n">
        <v>0</v>
      </c>
    </row>
    <row r="1935" spans="1:13">
      <c r="A1935" s="1">
        <f>HYPERLINK("http://www.twitter.com/NathanBLawrence/status/980743228872785920", "980743228872785920")</f>
        <v/>
      </c>
      <c r="B1935" s="2" t="n">
        <v>43192.4071875</v>
      </c>
      <c r="C1935" t="n">
        <v>1</v>
      </c>
      <c r="D1935" t="n">
        <v>0</v>
      </c>
      <c r="E1935" t="s">
        <v>1944</v>
      </c>
      <c r="F1935" t="s"/>
      <c r="G1935" t="s"/>
      <c r="H1935" t="s"/>
      <c r="I1935" t="s"/>
      <c r="J1935" t="n">
        <v>-0.4466</v>
      </c>
      <c r="K1935" t="n">
        <v>0.37</v>
      </c>
      <c r="L1935" t="n">
        <v>0.63</v>
      </c>
      <c r="M1935" t="n">
        <v>0</v>
      </c>
    </row>
    <row r="1936" spans="1:13">
      <c r="A1936" s="1">
        <f>HYPERLINK("http://www.twitter.com/NathanBLawrence/status/980742732661473280", "980742732661473280")</f>
        <v/>
      </c>
      <c r="B1936" s="2" t="n">
        <v>43192.40582175926</v>
      </c>
      <c r="C1936" t="n">
        <v>1</v>
      </c>
      <c r="D1936" t="n">
        <v>0</v>
      </c>
      <c r="E1936" t="s">
        <v>1945</v>
      </c>
      <c r="F1936" t="s"/>
      <c r="G1936" t="s"/>
      <c r="H1936" t="s"/>
      <c r="I1936" t="s"/>
      <c r="J1936" t="n">
        <v>0.6369</v>
      </c>
      <c r="K1936" t="n">
        <v>0</v>
      </c>
      <c r="L1936" t="n">
        <v>0.543</v>
      </c>
      <c r="M1936" t="n">
        <v>0.457</v>
      </c>
    </row>
    <row r="1937" spans="1:13">
      <c r="A1937" s="1">
        <f>HYPERLINK("http://www.twitter.com/NathanBLawrence/status/980731130830733312", "980731130830733312")</f>
        <v/>
      </c>
      <c r="B1937" s="2" t="n">
        <v>43192.37380787037</v>
      </c>
      <c r="C1937" t="n">
        <v>7</v>
      </c>
      <c r="D1937" t="n">
        <v>4</v>
      </c>
      <c r="E1937" t="s">
        <v>1946</v>
      </c>
      <c r="F1937">
        <f>HYPERLINK("http://pbs.twimg.com/media/DZxAc0cVoAAr02h.png", "http://pbs.twimg.com/media/DZxAc0cVoAAr02h.png")</f>
        <v/>
      </c>
      <c r="G1937" t="s"/>
      <c r="H1937" t="s"/>
      <c r="I1937" t="s"/>
      <c r="J1937" t="n">
        <v>0.6597</v>
      </c>
      <c r="K1937" t="n">
        <v>0</v>
      </c>
      <c r="L1937" t="n">
        <v>0.838</v>
      </c>
      <c r="M1937" t="n">
        <v>0.162</v>
      </c>
    </row>
    <row r="1938" spans="1:13">
      <c r="A1938" s="1">
        <f>HYPERLINK("http://www.twitter.com/NathanBLawrence/status/980728988828971008", "980728988828971008")</f>
        <v/>
      </c>
      <c r="B1938" s="2" t="n">
        <v>43192.36789351852</v>
      </c>
      <c r="C1938" t="n">
        <v>0</v>
      </c>
      <c r="D1938" t="n">
        <v>2993</v>
      </c>
      <c r="E1938" t="s">
        <v>1947</v>
      </c>
      <c r="F1938">
        <f>HYPERLINK("http://pbs.twimg.com/media/DJOjDTaXYAA1nBo.jpg", "http://pbs.twimg.com/media/DJOjDTaXYAA1nBo.jpg")</f>
        <v/>
      </c>
      <c r="G1938" t="s"/>
      <c r="H1938" t="s"/>
      <c r="I1938" t="s"/>
      <c r="J1938" t="n">
        <v>-0.4939</v>
      </c>
      <c r="K1938" t="n">
        <v>0.203</v>
      </c>
      <c r="L1938" t="n">
        <v>0.696</v>
      </c>
      <c r="M1938" t="n">
        <v>0.101</v>
      </c>
    </row>
    <row r="1939" spans="1:13">
      <c r="A1939" s="1">
        <f>HYPERLINK("http://www.twitter.com/NathanBLawrence/status/980728694833479680", "980728694833479680")</f>
        <v/>
      </c>
      <c r="B1939" s="2" t="n">
        <v>43192.36708333333</v>
      </c>
      <c r="C1939" t="n">
        <v>0</v>
      </c>
      <c r="D1939" t="n">
        <v>344</v>
      </c>
      <c r="E1939" t="s">
        <v>1948</v>
      </c>
      <c r="F1939">
        <f>HYPERLINK("http://pbs.twimg.com/media/DZvBdLgU0AAmLwg.jpg", "http://pbs.twimg.com/media/DZvBdLgU0AAmLwg.jpg")</f>
        <v/>
      </c>
      <c r="G1939" t="s"/>
      <c r="H1939" t="s"/>
      <c r="I1939" t="s"/>
      <c r="J1939" t="n">
        <v>0.8172</v>
      </c>
      <c r="K1939" t="n">
        <v>0</v>
      </c>
      <c r="L1939" t="n">
        <v>0.746</v>
      </c>
      <c r="M1939" t="n">
        <v>0.254</v>
      </c>
    </row>
    <row r="1940" spans="1:13">
      <c r="A1940" s="1">
        <f>HYPERLINK("http://www.twitter.com/NathanBLawrence/status/980655060198633473", "980655060198633473")</f>
        <v/>
      </c>
      <c r="B1940" s="2" t="n">
        <v>43192.16388888889</v>
      </c>
      <c r="C1940" t="n">
        <v>0</v>
      </c>
      <c r="D1940" t="n">
        <v>4</v>
      </c>
      <c r="E1940" t="s">
        <v>1949</v>
      </c>
      <c r="F1940" t="s"/>
      <c r="G1940" t="s"/>
      <c r="H1940" t="s"/>
      <c r="I1940" t="s"/>
      <c r="J1940" t="n">
        <v>0</v>
      </c>
      <c r="K1940" t="n">
        <v>0</v>
      </c>
      <c r="L1940" t="n">
        <v>1</v>
      </c>
      <c r="M1940" t="n">
        <v>0</v>
      </c>
    </row>
    <row r="1941" spans="1:13">
      <c r="A1941" s="1">
        <f>HYPERLINK("http://www.twitter.com/NathanBLawrence/status/980654769940267008", "980654769940267008")</f>
        <v/>
      </c>
      <c r="B1941" s="2" t="n">
        <v>43192.16309027778</v>
      </c>
      <c r="C1941" t="n">
        <v>0</v>
      </c>
      <c r="D1941" t="n">
        <v>187</v>
      </c>
      <c r="E1941" t="s">
        <v>1950</v>
      </c>
      <c r="F1941">
        <f>HYPERLINK("http://pbs.twimg.com/media/DZuu4wqXcAAQtyJ.jpg", "http://pbs.twimg.com/media/DZuu4wqXcAAQtyJ.jpg")</f>
        <v/>
      </c>
      <c r="G1941" t="s"/>
      <c r="H1941" t="s"/>
      <c r="I1941" t="s"/>
      <c r="J1941" t="n">
        <v>-0.2023</v>
      </c>
      <c r="K1941" t="n">
        <v>0.079</v>
      </c>
      <c r="L1941" t="n">
        <v>0.921</v>
      </c>
      <c r="M1941" t="n">
        <v>0</v>
      </c>
    </row>
    <row r="1942" spans="1:13">
      <c r="A1942" s="1">
        <f>HYPERLINK("http://www.twitter.com/NathanBLawrence/status/980654672825401344", "980654672825401344")</f>
        <v/>
      </c>
      <c r="B1942" s="2" t="n">
        <v>43192.16282407408</v>
      </c>
      <c r="C1942" t="n">
        <v>0</v>
      </c>
      <c r="D1942" t="n">
        <v>113</v>
      </c>
      <c r="E1942" t="s">
        <v>1951</v>
      </c>
      <c r="F1942">
        <f>HYPERLINK("http://pbs.twimg.com/media/DZor1Z4WsAAzPIV.jpg", "http://pbs.twimg.com/media/DZor1Z4WsAAzPIV.jpg")</f>
        <v/>
      </c>
      <c r="G1942" t="s"/>
      <c r="H1942" t="s"/>
      <c r="I1942" t="s"/>
      <c r="J1942" t="n">
        <v>0.1027</v>
      </c>
      <c r="K1942" t="n">
        <v>0.19</v>
      </c>
      <c r="L1942" t="n">
        <v>0.536</v>
      </c>
      <c r="M1942" t="n">
        <v>0.274</v>
      </c>
    </row>
    <row r="1943" spans="1:13">
      <c r="A1943" s="1">
        <f>HYPERLINK("http://www.twitter.com/NathanBLawrence/status/980654507846610944", "980654507846610944")</f>
        <v/>
      </c>
      <c r="B1943" s="2" t="n">
        <v>43192.16237268518</v>
      </c>
      <c r="C1943" t="n">
        <v>0</v>
      </c>
      <c r="D1943" t="n">
        <v>23</v>
      </c>
      <c r="E1943" t="s">
        <v>1952</v>
      </c>
      <c r="F1943" t="s"/>
      <c r="G1943" t="s"/>
      <c r="H1943" t="s"/>
      <c r="I1943" t="s"/>
      <c r="J1943" t="n">
        <v>0</v>
      </c>
      <c r="K1943" t="n">
        <v>0</v>
      </c>
      <c r="L1943" t="n">
        <v>1</v>
      </c>
      <c r="M1943" t="n">
        <v>0</v>
      </c>
    </row>
    <row r="1944" spans="1:13">
      <c r="A1944" s="1">
        <f>HYPERLINK("http://www.twitter.com/NathanBLawrence/status/980654450409799680", "980654450409799680")</f>
        <v/>
      </c>
      <c r="B1944" s="2" t="n">
        <v>43192.16221064814</v>
      </c>
      <c r="C1944" t="n">
        <v>0</v>
      </c>
      <c r="D1944" t="n">
        <v>15</v>
      </c>
      <c r="E1944" t="s">
        <v>1953</v>
      </c>
      <c r="F1944" t="s"/>
      <c r="G1944" t="s"/>
      <c r="H1944" t="s"/>
      <c r="I1944" t="s"/>
      <c r="J1944" t="n">
        <v>-0.6486</v>
      </c>
      <c r="K1944" t="n">
        <v>0.231</v>
      </c>
      <c r="L1944" t="n">
        <v>0.769</v>
      </c>
      <c r="M1944" t="n">
        <v>0</v>
      </c>
    </row>
    <row r="1945" spans="1:13">
      <c r="A1945" s="1">
        <f>HYPERLINK("http://www.twitter.com/NathanBLawrence/status/980654427710283776", "980654427710283776")</f>
        <v/>
      </c>
      <c r="B1945" s="2" t="n">
        <v>43192.16214120371</v>
      </c>
      <c r="C1945" t="n">
        <v>0</v>
      </c>
      <c r="D1945" t="n">
        <v>3</v>
      </c>
      <c r="E1945" t="s">
        <v>1954</v>
      </c>
      <c r="F1945" t="s"/>
      <c r="G1945" t="s"/>
      <c r="H1945" t="s"/>
      <c r="I1945" t="s"/>
      <c r="J1945" t="n">
        <v>0.6908</v>
      </c>
      <c r="K1945" t="n">
        <v>0.08400000000000001</v>
      </c>
      <c r="L1945" t="n">
        <v>0.615</v>
      </c>
      <c r="M1945" t="n">
        <v>0.301</v>
      </c>
    </row>
    <row r="1946" spans="1:13">
      <c r="A1946" s="1">
        <f>HYPERLINK("http://www.twitter.com/NathanBLawrence/status/980653729824227328", "980653729824227328")</f>
        <v/>
      </c>
      <c r="B1946" s="2" t="n">
        <v>43192.1602199074</v>
      </c>
      <c r="C1946" t="n">
        <v>0</v>
      </c>
      <c r="D1946" t="n">
        <v>78</v>
      </c>
      <c r="E1946" t="s">
        <v>1955</v>
      </c>
      <c r="F1946">
        <f>HYPERLINK("http://pbs.twimg.com/media/DZndhlBVAAEAzpJ.jpg", "http://pbs.twimg.com/media/DZndhlBVAAEAzpJ.jpg")</f>
        <v/>
      </c>
      <c r="G1946" t="s"/>
      <c r="H1946" t="s"/>
      <c r="I1946" t="s"/>
      <c r="J1946" t="n">
        <v>0</v>
      </c>
      <c r="K1946" t="n">
        <v>0</v>
      </c>
      <c r="L1946" t="n">
        <v>1</v>
      </c>
      <c r="M1946" t="n">
        <v>0</v>
      </c>
    </row>
    <row r="1947" spans="1:13">
      <c r="A1947" s="1">
        <f>HYPERLINK("http://www.twitter.com/NathanBLawrence/status/980653095616065537", "980653095616065537")</f>
        <v/>
      </c>
      <c r="B1947" s="2" t="n">
        <v>43192.15847222223</v>
      </c>
      <c r="C1947" t="n">
        <v>0</v>
      </c>
      <c r="D1947" t="n">
        <v>60</v>
      </c>
      <c r="E1947" t="s">
        <v>1956</v>
      </c>
      <c r="F1947">
        <f>HYPERLINK("http://pbs.twimg.com/media/DZqaaKhW0AABbtm.jpg", "http://pbs.twimg.com/media/DZqaaKhW0AABbtm.jpg")</f>
        <v/>
      </c>
      <c r="G1947" t="s"/>
      <c r="H1947" t="s"/>
      <c r="I1947" t="s"/>
      <c r="J1947" t="n">
        <v>0.8957000000000001</v>
      </c>
      <c r="K1947" t="n">
        <v>0</v>
      </c>
      <c r="L1947" t="n">
        <v>0.576</v>
      </c>
      <c r="M1947" t="n">
        <v>0.424</v>
      </c>
    </row>
    <row r="1948" spans="1:13">
      <c r="A1948" s="1">
        <f>HYPERLINK("http://www.twitter.com/NathanBLawrence/status/980653057590534145", "980653057590534145")</f>
        <v/>
      </c>
      <c r="B1948" s="2" t="n">
        <v>43192.15836805556</v>
      </c>
      <c r="C1948" t="n">
        <v>0</v>
      </c>
      <c r="D1948" t="n">
        <v>35</v>
      </c>
      <c r="E1948" t="s">
        <v>1957</v>
      </c>
      <c r="F1948">
        <f>HYPERLINK("http://pbs.twimg.com/media/DZrZnwnWkAI9aN8.jpg", "http://pbs.twimg.com/media/DZrZnwnWkAI9aN8.jpg")</f>
        <v/>
      </c>
      <c r="G1948" t="s"/>
      <c r="H1948" t="s"/>
      <c r="I1948" t="s"/>
      <c r="J1948" t="n">
        <v>0</v>
      </c>
      <c r="K1948" t="n">
        <v>0</v>
      </c>
      <c r="L1948" t="n">
        <v>1</v>
      </c>
      <c r="M1948" t="n">
        <v>0</v>
      </c>
    </row>
    <row r="1949" spans="1:13">
      <c r="A1949" s="1">
        <f>HYPERLINK("http://www.twitter.com/NathanBLawrence/status/980652911372861440", "980652911372861440")</f>
        <v/>
      </c>
      <c r="B1949" s="2" t="n">
        <v>43192.15796296296</v>
      </c>
      <c r="C1949" t="n">
        <v>0</v>
      </c>
      <c r="D1949" t="n">
        <v>10</v>
      </c>
      <c r="E1949" t="s">
        <v>1958</v>
      </c>
      <c r="F1949" t="s"/>
      <c r="G1949" t="s"/>
      <c r="H1949" t="s"/>
      <c r="I1949" t="s"/>
      <c r="J1949" t="n">
        <v>0</v>
      </c>
      <c r="K1949" t="n">
        <v>0</v>
      </c>
      <c r="L1949" t="n">
        <v>1</v>
      </c>
      <c r="M1949" t="n">
        <v>0</v>
      </c>
    </row>
    <row r="1950" spans="1:13">
      <c r="A1950" s="1">
        <f>HYPERLINK("http://www.twitter.com/NathanBLawrence/status/980652120553631745", "980652120553631745")</f>
        <v/>
      </c>
      <c r="B1950" s="2" t="n">
        <v>43192.15577546296</v>
      </c>
      <c r="C1950" t="n">
        <v>0</v>
      </c>
      <c r="D1950" t="n">
        <v>53</v>
      </c>
      <c r="E1950" t="s">
        <v>1959</v>
      </c>
      <c r="F1950" t="s"/>
      <c r="G1950" t="s"/>
      <c r="H1950" t="s"/>
      <c r="I1950" t="s"/>
      <c r="J1950" t="n">
        <v>0</v>
      </c>
      <c r="K1950" t="n">
        <v>0</v>
      </c>
      <c r="L1950" t="n">
        <v>1</v>
      </c>
      <c r="M1950" t="n">
        <v>0</v>
      </c>
    </row>
    <row r="1951" spans="1:13">
      <c r="A1951" s="1">
        <f>HYPERLINK("http://www.twitter.com/NathanBLawrence/status/980650863160049664", "980650863160049664")</f>
        <v/>
      </c>
      <c r="B1951" s="2" t="n">
        <v>43192.15231481481</v>
      </c>
      <c r="C1951" t="n">
        <v>0</v>
      </c>
      <c r="D1951" t="n">
        <v>262</v>
      </c>
      <c r="E1951" t="s">
        <v>1960</v>
      </c>
      <c r="F1951">
        <f>HYPERLINK("http://pbs.twimg.com/media/DZkNYbGX4AIhhUB.jpg", "http://pbs.twimg.com/media/DZkNYbGX4AIhhUB.jpg")</f>
        <v/>
      </c>
      <c r="G1951" t="s"/>
      <c r="H1951" t="s"/>
      <c r="I1951" t="s"/>
      <c r="J1951" t="n">
        <v>0</v>
      </c>
      <c r="K1951" t="n">
        <v>0</v>
      </c>
      <c r="L1951" t="n">
        <v>1</v>
      </c>
      <c r="M1951" t="n">
        <v>0</v>
      </c>
    </row>
    <row r="1952" spans="1:13">
      <c r="A1952" s="1">
        <f>HYPERLINK("http://www.twitter.com/NathanBLawrence/status/980650761573998593", "980650761573998593")</f>
        <v/>
      </c>
      <c r="B1952" s="2" t="n">
        <v>43192.15202546296</v>
      </c>
      <c r="C1952" t="n">
        <v>0</v>
      </c>
      <c r="D1952" t="n">
        <v>70</v>
      </c>
      <c r="E1952" t="s">
        <v>1961</v>
      </c>
      <c r="F1952">
        <f>HYPERLINK("http://pbs.twimg.com/media/DZlIzUPXcAAKes7.jpg", "http://pbs.twimg.com/media/DZlIzUPXcAAKes7.jpg")</f>
        <v/>
      </c>
      <c r="G1952" t="s"/>
      <c r="H1952" t="s"/>
      <c r="I1952" t="s"/>
      <c r="J1952" t="n">
        <v>0</v>
      </c>
      <c r="K1952" t="n">
        <v>0</v>
      </c>
      <c r="L1952" t="n">
        <v>1</v>
      </c>
      <c r="M1952" t="n">
        <v>0</v>
      </c>
    </row>
    <row r="1953" spans="1:13">
      <c r="A1953" s="1">
        <f>HYPERLINK("http://www.twitter.com/NathanBLawrence/status/980650442374791168", "980650442374791168")</f>
        <v/>
      </c>
      <c r="B1953" s="2" t="n">
        <v>43192.15114583333</v>
      </c>
      <c r="C1953" t="n">
        <v>0</v>
      </c>
      <c r="D1953" t="n">
        <v>200</v>
      </c>
      <c r="E1953" t="s">
        <v>1962</v>
      </c>
      <c r="F1953">
        <f>HYPERLINK("http://pbs.twimg.com/media/DZoBdicXcAAMQyX.jpg", "http://pbs.twimg.com/media/DZoBdicXcAAMQyX.jpg")</f>
        <v/>
      </c>
      <c r="G1953" t="s"/>
      <c r="H1953" t="s"/>
      <c r="I1953" t="s"/>
      <c r="J1953" t="n">
        <v>0</v>
      </c>
      <c r="K1953" t="n">
        <v>0</v>
      </c>
      <c r="L1953" t="n">
        <v>1</v>
      </c>
      <c r="M1953" t="n">
        <v>0</v>
      </c>
    </row>
    <row r="1954" spans="1:13">
      <c r="A1954" s="1">
        <f>HYPERLINK("http://www.twitter.com/NathanBLawrence/status/980647967861358593", "980647967861358593")</f>
        <v/>
      </c>
      <c r="B1954" s="2" t="n">
        <v>43192.14431712963</v>
      </c>
      <c r="C1954" t="n">
        <v>0</v>
      </c>
      <c r="D1954" t="n">
        <v>28</v>
      </c>
      <c r="E1954" t="s">
        <v>1963</v>
      </c>
      <c r="F1954">
        <f>HYPERLINK("http://pbs.twimg.com/media/DZv169eVQAAa3Jk.jpg", "http://pbs.twimg.com/media/DZv169eVQAAa3Jk.jpg")</f>
        <v/>
      </c>
      <c r="G1954" t="s"/>
      <c r="H1954" t="s"/>
      <c r="I1954" t="s"/>
      <c r="J1954" t="n">
        <v>0</v>
      </c>
      <c r="K1954" t="n">
        <v>0</v>
      </c>
      <c r="L1954" t="n">
        <v>1</v>
      </c>
      <c r="M1954" t="n">
        <v>0</v>
      </c>
    </row>
    <row r="1955" spans="1:13">
      <c r="A1955" s="1">
        <f>HYPERLINK("http://www.twitter.com/NathanBLawrence/status/980647785308409856", "980647785308409856")</f>
        <v/>
      </c>
      <c r="B1955" s="2" t="n">
        <v>43192.14381944444</v>
      </c>
      <c r="C1955" t="n">
        <v>0</v>
      </c>
      <c r="D1955" t="n">
        <v>6</v>
      </c>
      <c r="E1955" t="s">
        <v>1964</v>
      </c>
      <c r="F1955">
        <f>HYPERLINK("http://pbs.twimg.com/media/DW5tOoDUMAEFawg.jpg", "http://pbs.twimg.com/media/DW5tOoDUMAEFawg.jpg")</f>
        <v/>
      </c>
      <c r="G1955" t="s"/>
      <c r="H1955" t="s"/>
      <c r="I1955" t="s"/>
      <c r="J1955" t="n">
        <v>0</v>
      </c>
      <c r="K1955" t="n">
        <v>0</v>
      </c>
      <c r="L1955" t="n">
        <v>1</v>
      </c>
      <c r="M1955" t="n">
        <v>0</v>
      </c>
    </row>
    <row r="1956" spans="1:13">
      <c r="A1956" s="1">
        <f>HYPERLINK("http://www.twitter.com/NathanBLawrence/status/980647737099091969", "980647737099091969")</f>
        <v/>
      </c>
      <c r="B1956" s="2" t="n">
        <v>43192.14368055556</v>
      </c>
      <c r="C1956" t="n">
        <v>0</v>
      </c>
      <c r="D1956" t="n">
        <v>197</v>
      </c>
      <c r="E1956" t="s">
        <v>1965</v>
      </c>
      <c r="F1956">
        <f>HYPERLINK("http://pbs.twimg.com/media/DW1cPFTWkAEI5BC.jpg", "http://pbs.twimg.com/media/DW1cPFTWkAEI5BC.jpg")</f>
        <v/>
      </c>
      <c r="G1956" t="s"/>
      <c r="H1956" t="s"/>
      <c r="I1956" t="s"/>
      <c r="J1956" t="n">
        <v>0</v>
      </c>
      <c r="K1956" t="n">
        <v>0</v>
      </c>
      <c r="L1956" t="n">
        <v>1</v>
      </c>
      <c r="M1956" t="n">
        <v>0</v>
      </c>
    </row>
    <row r="1957" spans="1:13">
      <c r="A1957" s="1">
        <f>HYPERLINK("http://www.twitter.com/NathanBLawrence/status/980647297083060224", "980647297083060224")</f>
        <v/>
      </c>
      <c r="B1957" s="2" t="n">
        <v>43192.14246527778</v>
      </c>
      <c r="C1957" t="n">
        <v>0</v>
      </c>
      <c r="D1957" t="n">
        <v>8</v>
      </c>
      <c r="E1957" t="s">
        <v>1966</v>
      </c>
      <c r="F1957">
        <f>HYPERLINK("http://pbs.twimg.com/media/DZtp1mfVMAAT5Rm.jpg", "http://pbs.twimg.com/media/DZtp1mfVMAAT5Rm.jpg")</f>
        <v/>
      </c>
      <c r="G1957">
        <f>HYPERLINK("http://pbs.twimg.com/media/DZtqBPIUMAAmHCH.jpg", "http://pbs.twimg.com/media/DZtqBPIUMAAmHCH.jpg")</f>
        <v/>
      </c>
      <c r="H1957" t="s"/>
      <c r="I1957" t="s"/>
      <c r="J1957" t="n">
        <v>-0.0191</v>
      </c>
      <c r="K1957" t="n">
        <v>0.045</v>
      </c>
      <c r="L1957" t="n">
        <v>0.955</v>
      </c>
      <c r="M1957" t="n">
        <v>0</v>
      </c>
    </row>
    <row r="1958" spans="1:13">
      <c r="A1958" s="1">
        <f>HYPERLINK("http://www.twitter.com/NathanBLawrence/status/980647065083559937", "980647065083559937")</f>
        <v/>
      </c>
      <c r="B1958" s="2" t="n">
        <v>43192.1418287037</v>
      </c>
      <c r="C1958" t="n">
        <v>0</v>
      </c>
      <c r="D1958" t="n">
        <v>26</v>
      </c>
      <c r="E1958" t="s">
        <v>1967</v>
      </c>
      <c r="F1958" t="s"/>
      <c r="G1958" t="s"/>
      <c r="H1958" t="s"/>
      <c r="I1958" t="s"/>
      <c r="J1958" t="n">
        <v>0.8074</v>
      </c>
      <c r="K1958" t="n">
        <v>0</v>
      </c>
      <c r="L1958" t="n">
        <v>0.733</v>
      </c>
      <c r="M1958" t="n">
        <v>0.267</v>
      </c>
    </row>
    <row r="1959" spans="1:13">
      <c r="A1959" s="1">
        <f>HYPERLINK("http://www.twitter.com/NathanBLawrence/status/980646936909787137", "980646936909787137")</f>
        <v/>
      </c>
      <c r="B1959" s="2" t="n">
        <v>43192.14146990741</v>
      </c>
      <c r="C1959" t="n">
        <v>0</v>
      </c>
      <c r="D1959" t="n">
        <v>397</v>
      </c>
      <c r="E1959" t="s">
        <v>1968</v>
      </c>
      <c r="F1959" t="s"/>
      <c r="G1959" t="s"/>
      <c r="H1959" t="s"/>
      <c r="I1959" t="s"/>
      <c r="J1959" t="n">
        <v>0</v>
      </c>
      <c r="K1959" t="n">
        <v>0</v>
      </c>
      <c r="L1959" t="n">
        <v>1</v>
      </c>
      <c r="M1959" t="n">
        <v>0</v>
      </c>
    </row>
    <row r="1960" spans="1:13">
      <c r="A1960" s="1">
        <f>HYPERLINK("http://www.twitter.com/NathanBLawrence/status/980646046559715328", "980646046559715328")</f>
        <v/>
      </c>
      <c r="B1960" s="2" t="n">
        <v>43192.13901620371</v>
      </c>
      <c r="C1960" t="n">
        <v>0</v>
      </c>
      <c r="D1960" t="n">
        <v>574</v>
      </c>
      <c r="E1960" t="s">
        <v>1969</v>
      </c>
      <c r="F1960">
        <f>HYPERLINK("http://pbs.twimg.com/media/DZE6AGzWkAEAPQP.jpg", "http://pbs.twimg.com/media/DZE6AGzWkAEAPQP.jpg")</f>
        <v/>
      </c>
      <c r="G1960" t="s"/>
      <c r="H1960" t="s"/>
      <c r="I1960" t="s"/>
      <c r="J1960" t="n">
        <v>0</v>
      </c>
      <c r="K1960" t="n">
        <v>0</v>
      </c>
      <c r="L1960" t="n">
        <v>1</v>
      </c>
      <c r="M1960" t="n">
        <v>0</v>
      </c>
    </row>
    <row r="1961" spans="1:13">
      <c r="A1961" s="1">
        <f>HYPERLINK("http://www.twitter.com/NathanBLawrence/status/980645676315942912", "980645676315942912")</f>
        <v/>
      </c>
      <c r="B1961" s="2" t="n">
        <v>43192.13799768518</v>
      </c>
      <c r="C1961" t="n">
        <v>0</v>
      </c>
      <c r="D1961" t="n">
        <v>240</v>
      </c>
      <c r="E1961" t="s">
        <v>1970</v>
      </c>
      <c r="F1961" t="s"/>
      <c r="G1961" t="s"/>
      <c r="H1961" t="s"/>
      <c r="I1961" t="s"/>
      <c r="J1961" t="n">
        <v>-0.7955</v>
      </c>
      <c r="K1961" t="n">
        <v>0.252</v>
      </c>
      <c r="L1961" t="n">
        <v>0.748</v>
      </c>
      <c r="M1961" t="n">
        <v>0</v>
      </c>
    </row>
    <row r="1962" spans="1:13">
      <c r="A1962" s="1">
        <f>HYPERLINK("http://www.twitter.com/NathanBLawrence/status/980645600080273410", "980645600080273410")</f>
        <v/>
      </c>
      <c r="B1962" s="2" t="n">
        <v>43192.13778935185</v>
      </c>
      <c r="C1962" t="n">
        <v>0</v>
      </c>
      <c r="D1962" t="n">
        <v>4982</v>
      </c>
      <c r="E1962" t="s">
        <v>1971</v>
      </c>
      <c r="F1962" t="s"/>
      <c r="G1962" t="s"/>
      <c r="H1962" t="s"/>
      <c r="I1962" t="s"/>
      <c r="J1962" t="n">
        <v>0.4019</v>
      </c>
      <c r="K1962" t="n">
        <v>0</v>
      </c>
      <c r="L1962" t="n">
        <v>0.895</v>
      </c>
      <c r="M1962" t="n">
        <v>0.105</v>
      </c>
    </row>
    <row r="1963" spans="1:13">
      <c r="A1963" s="1">
        <f>HYPERLINK("http://www.twitter.com/NathanBLawrence/status/980645443670482944", "980645443670482944")</f>
        <v/>
      </c>
      <c r="B1963" s="2" t="n">
        <v>43192.13734953704</v>
      </c>
      <c r="C1963" t="n">
        <v>0</v>
      </c>
      <c r="D1963" t="n">
        <v>22713</v>
      </c>
      <c r="E1963" t="s">
        <v>1972</v>
      </c>
      <c r="F1963">
        <f>HYPERLINK("http://pbs.twimg.com/media/C45IxvuVUAAI1JE.jpg", "http://pbs.twimg.com/media/C45IxvuVUAAI1JE.jpg")</f>
        <v/>
      </c>
      <c r="G1963" t="s"/>
      <c r="H1963" t="s"/>
      <c r="I1963" t="s"/>
      <c r="J1963" t="n">
        <v>0.7003</v>
      </c>
      <c r="K1963" t="n">
        <v>0.048</v>
      </c>
      <c r="L1963" t="n">
        <v>0.652</v>
      </c>
      <c r="M1963" t="n">
        <v>0.3</v>
      </c>
    </row>
    <row r="1964" spans="1:13">
      <c r="A1964" s="1">
        <f>HYPERLINK("http://www.twitter.com/NathanBLawrence/status/980645376293130240", "980645376293130240")</f>
        <v/>
      </c>
      <c r="B1964" s="2" t="n">
        <v>43192.13716435185</v>
      </c>
      <c r="C1964" t="n">
        <v>0</v>
      </c>
      <c r="D1964" t="n">
        <v>4235</v>
      </c>
      <c r="E1964" t="s">
        <v>1973</v>
      </c>
      <c r="F1964">
        <f>HYPERLINK("http://pbs.twimg.com/media/DVrQCMQX4AAE-Am.jpg", "http://pbs.twimg.com/media/DVrQCMQX4AAE-Am.jpg")</f>
        <v/>
      </c>
      <c r="G1964" t="s"/>
      <c r="H1964" t="s"/>
      <c r="I1964" t="s"/>
      <c r="J1964" t="n">
        <v>0.6369</v>
      </c>
      <c r="K1964" t="n">
        <v>0</v>
      </c>
      <c r="L1964" t="n">
        <v>0.656</v>
      </c>
      <c r="M1964" t="n">
        <v>0.344</v>
      </c>
    </row>
    <row r="1965" spans="1:13">
      <c r="A1965" s="1">
        <f>HYPERLINK("http://www.twitter.com/NathanBLawrence/status/980645003373379584", "980645003373379584")</f>
        <v/>
      </c>
      <c r="B1965" s="2" t="n">
        <v>43192.13613425926</v>
      </c>
      <c r="C1965" t="n">
        <v>0</v>
      </c>
      <c r="D1965" t="n">
        <v>6388</v>
      </c>
      <c r="E1965" t="s">
        <v>1974</v>
      </c>
      <c r="F1965">
        <f>HYPERLINK("http://pbs.twimg.com/media/DWBtTgDX0AYhzId.jpg", "http://pbs.twimg.com/media/DWBtTgDX0AYhzId.jpg")</f>
        <v/>
      </c>
      <c r="G1965" t="s"/>
      <c r="H1965" t="s"/>
      <c r="I1965" t="s"/>
      <c r="J1965" t="n">
        <v>-0.8359</v>
      </c>
      <c r="K1965" t="n">
        <v>0.434</v>
      </c>
      <c r="L1965" t="n">
        <v>0.42</v>
      </c>
      <c r="M1965" t="n">
        <v>0.146</v>
      </c>
    </row>
    <row r="1966" spans="1:13">
      <c r="A1966" s="1">
        <f>HYPERLINK("http://www.twitter.com/NathanBLawrence/status/980644687617736704", "980644687617736704")</f>
        <v/>
      </c>
      <c r="B1966" s="2" t="n">
        <v>43192.1352662037</v>
      </c>
      <c r="C1966" t="n">
        <v>0</v>
      </c>
      <c r="D1966" t="n">
        <v>3026</v>
      </c>
      <c r="E1966" t="s">
        <v>1975</v>
      </c>
      <c r="F1966">
        <f>HYPERLINK("http://pbs.twimg.com/media/DWvNyIeXcAEAaig.jpg", "http://pbs.twimg.com/media/DWvNyIeXcAEAaig.jpg")</f>
        <v/>
      </c>
      <c r="G1966" t="s"/>
      <c r="H1966" t="s"/>
      <c r="I1966" t="s"/>
      <c r="J1966" t="n">
        <v>-0.2732</v>
      </c>
      <c r="K1966" t="n">
        <v>0.091</v>
      </c>
      <c r="L1966" t="n">
        <v>0.864</v>
      </c>
      <c r="M1966" t="n">
        <v>0.045</v>
      </c>
    </row>
    <row r="1967" spans="1:13">
      <c r="A1967" s="1">
        <f>HYPERLINK("http://www.twitter.com/NathanBLawrence/status/980644498354012160", "980644498354012160")</f>
        <v/>
      </c>
      <c r="B1967" s="2" t="n">
        <v>43192.13474537037</v>
      </c>
      <c r="C1967" t="n">
        <v>0</v>
      </c>
      <c r="D1967" t="n">
        <v>3633</v>
      </c>
      <c r="E1967" t="s">
        <v>1976</v>
      </c>
      <c r="F1967">
        <f>HYPERLINK("http://pbs.twimg.com/media/DSgy5h2VQAAQ-qo.jpg", "http://pbs.twimg.com/media/DSgy5h2VQAAQ-qo.jpg")</f>
        <v/>
      </c>
      <c r="G1967" t="s"/>
      <c r="H1967" t="s"/>
      <c r="I1967" t="s"/>
      <c r="J1967" t="n">
        <v>0.2732</v>
      </c>
      <c r="K1967" t="n">
        <v>0</v>
      </c>
      <c r="L1967" t="n">
        <v>0.861</v>
      </c>
      <c r="M1967" t="n">
        <v>0.139</v>
      </c>
    </row>
    <row r="1968" spans="1:13">
      <c r="A1968" s="1">
        <f>HYPERLINK("http://www.twitter.com/NathanBLawrence/status/980644292073963520", "980644292073963520")</f>
        <v/>
      </c>
      <c r="B1968" s="2" t="n">
        <v>43192.13417824074</v>
      </c>
      <c r="C1968" t="n">
        <v>0</v>
      </c>
      <c r="D1968" t="n">
        <v>1005</v>
      </c>
      <c r="E1968" t="s">
        <v>1977</v>
      </c>
      <c r="F1968">
        <f>HYPERLINK("http://pbs.twimg.com/media/DZne7OpWsAAjzUt.jpg", "http://pbs.twimg.com/media/DZne7OpWsAAjzUt.jpg")</f>
        <v/>
      </c>
      <c r="G1968" t="s"/>
      <c r="H1968" t="s"/>
      <c r="I1968" t="s"/>
      <c r="J1968" t="n">
        <v>0</v>
      </c>
      <c r="K1968" t="n">
        <v>0</v>
      </c>
      <c r="L1968" t="n">
        <v>1</v>
      </c>
      <c r="M1968" t="n">
        <v>0</v>
      </c>
    </row>
    <row r="1969" spans="1:13">
      <c r="A1969" s="1">
        <f>HYPERLINK("http://www.twitter.com/NathanBLawrence/status/980643491926519810", "980643491926519810")</f>
        <v/>
      </c>
      <c r="B1969" s="2" t="n">
        <v>43192.13196759259</v>
      </c>
      <c r="C1969" t="n">
        <v>0</v>
      </c>
      <c r="D1969" t="n">
        <v>28</v>
      </c>
      <c r="E1969" t="s">
        <v>1978</v>
      </c>
      <c r="F1969">
        <f>HYPERLINK("http://pbs.twimg.com/media/DZvwUIDV4AES0C1.jpg", "http://pbs.twimg.com/media/DZvwUIDV4AES0C1.jpg")</f>
        <v/>
      </c>
      <c r="G1969" t="s"/>
      <c r="H1969" t="s"/>
      <c r="I1969" t="s"/>
      <c r="J1969" t="n">
        <v>0.5719</v>
      </c>
      <c r="K1969" t="n">
        <v>0</v>
      </c>
      <c r="L1969" t="n">
        <v>0.73</v>
      </c>
      <c r="M1969" t="n">
        <v>0.27</v>
      </c>
    </row>
    <row r="1970" spans="1:13">
      <c r="A1970" s="1">
        <f>HYPERLINK("http://www.twitter.com/NathanBLawrence/status/980642998609309696", "980642998609309696")</f>
        <v/>
      </c>
      <c r="B1970" s="2" t="n">
        <v>43192.13060185185</v>
      </c>
      <c r="C1970" t="n">
        <v>0</v>
      </c>
      <c r="D1970" t="n">
        <v>297</v>
      </c>
      <c r="E1970" t="s">
        <v>1979</v>
      </c>
      <c r="F1970" t="s"/>
      <c r="G1970" t="s"/>
      <c r="H1970" t="s"/>
      <c r="I1970" t="s"/>
      <c r="J1970" t="n">
        <v>0</v>
      </c>
      <c r="K1970" t="n">
        <v>0</v>
      </c>
      <c r="L1970" t="n">
        <v>1</v>
      </c>
      <c r="M1970" t="n">
        <v>0</v>
      </c>
    </row>
    <row r="1971" spans="1:13">
      <c r="A1971" s="1">
        <f>HYPERLINK("http://www.twitter.com/NathanBLawrence/status/980641565205934080", "980641565205934080")</f>
        <v/>
      </c>
      <c r="B1971" s="2" t="n">
        <v>43192.12665509259</v>
      </c>
      <c r="C1971" t="n">
        <v>0</v>
      </c>
      <c r="D1971" t="n">
        <v>7</v>
      </c>
      <c r="E1971" t="s">
        <v>1980</v>
      </c>
      <c r="F1971">
        <f>HYPERLINK("http://pbs.twimg.com/media/DZvv2HxVAAA0NGG.jpg", "http://pbs.twimg.com/media/DZvv2HxVAAA0NGG.jpg")</f>
        <v/>
      </c>
      <c r="G1971" t="s"/>
      <c r="H1971" t="s"/>
      <c r="I1971" t="s"/>
      <c r="J1971" t="n">
        <v>0.7959000000000001</v>
      </c>
      <c r="K1971" t="n">
        <v>0</v>
      </c>
      <c r="L1971" t="n">
        <v>0.53</v>
      </c>
      <c r="M1971" t="n">
        <v>0.47</v>
      </c>
    </row>
    <row r="1972" spans="1:13">
      <c r="A1972" s="1">
        <f>HYPERLINK("http://www.twitter.com/NathanBLawrence/status/980640469989212160", "980640469989212160")</f>
        <v/>
      </c>
      <c r="B1972" s="2" t="n">
        <v>43192.12363425926</v>
      </c>
      <c r="C1972" t="n">
        <v>0</v>
      </c>
      <c r="D1972" t="n">
        <v>2344</v>
      </c>
      <c r="E1972" t="s">
        <v>1981</v>
      </c>
      <c r="F1972">
        <f>HYPERLINK("http://pbs.twimg.com/media/DZtvp1BVAAEFBXV.jpg", "http://pbs.twimg.com/media/DZtvp1BVAAEFBXV.jpg")</f>
        <v/>
      </c>
      <c r="G1972" t="s"/>
      <c r="H1972" t="s"/>
      <c r="I1972" t="s"/>
      <c r="J1972" t="n">
        <v>0.6114000000000001</v>
      </c>
      <c r="K1972" t="n">
        <v>0</v>
      </c>
      <c r="L1972" t="n">
        <v>0.556</v>
      </c>
      <c r="M1972" t="n">
        <v>0.444</v>
      </c>
    </row>
    <row r="1973" spans="1:13">
      <c r="A1973" s="1">
        <f>HYPERLINK("http://www.twitter.com/NathanBLawrence/status/980629424541331456", "980629424541331456")</f>
        <v/>
      </c>
      <c r="B1973" s="2" t="n">
        <v>43192.09314814815</v>
      </c>
      <c r="C1973" t="n">
        <v>0</v>
      </c>
      <c r="D1973" t="n">
        <v>5102</v>
      </c>
      <c r="E1973" t="s">
        <v>1982</v>
      </c>
      <c r="F1973">
        <f>HYPERLINK("http://pbs.twimg.com/media/DZpgf1kX4AYHR1D.jpg", "http://pbs.twimg.com/media/DZpgf1kX4AYHR1D.jpg")</f>
        <v/>
      </c>
      <c r="G1973" t="s"/>
      <c r="H1973" t="s"/>
      <c r="I1973" t="s"/>
      <c r="J1973" t="n">
        <v>0</v>
      </c>
      <c r="K1973" t="n">
        <v>0</v>
      </c>
      <c r="L1973" t="n">
        <v>1</v>
      </c>
      <c r="M1973" t="n">
        <v>0</v>
      </c>
    </row>
    <row r="1974" spans="1:13">
      <c r="A1974" s="1">
        <f>HYPERLINK("http://www.twitter.com/NathanBLawrence/status/980629207930859520", "980629207930859520")</f>
        <v/>
      </c>
      <c r="B1974" s="2" t="n">
        <v>43192.09255787037</v>
      </c>
      <c r="C1974" t="n">
        <v>7</v>
      </c>
      <c r="D1974" t="n">
        <v>0</v>
      </c>
      <c r="E1974" t="s">
        <v>1983</v>
      </c>
      <c r="F1974">
        <f>HYPERLINK("http://pbs.twimg.com/media/DZvlERMXcAA5_jR.jpg", "http://pbs.twimg.com/media/DZvlERMXcAA5_jR.jpg")</f>
        <v/>
      </c>
      <c r="G1974" t="s"/>
      <c r="H1974" t="s"/>
      <c r="I1974" t="s"/>
      <c r="J1974" t="n">
        <v>0</v>
      </c>
      <c r="K1974" t="n">
        <v>0</v>
      </c>
      <c r="L1974" t="n">
        <v>1</v>
      </c>
      <c r="M1974" t="n">
        <v>0</v>
      </c>
    </row>
    <row r="1975" spans="1:13">
      <c r="A1975" s="1">
        <f>HYPERLINK("http://www.twitter.com/NathanBLawrence/status/980629027009454081", "980629027009454081")</f>
        <v/>
      </c>
      <c r="B1975" s="2" t="n">
        <v>43192.09204861111</v>
      </c>
      <c r="C1975" t="n">
        <v>0</v>
      </c>
      <c r="D1975" t="n">
        <v>268</v>
      </c>
      <c r="E1975" t="s">
        <v>1984</v>
      </c>
      <c r="F1975">
        <f>HYPERLINK("http://pbs.twimg.com/media/DZkv4N9WsAA3S6S.jpg", "http://pbs.twimg.com/media/DZkv4N9WsAA3S6S.jpg")</f>
        <v/>
      </c>
      <c r="G1975" t="s"/>
      <c r="H1975" t="s"/>
      <c r="I1975" t="s"/>
      <c r="J1975" t="n">
        <v>0.3612</v>
      </c>
      <c r="K1975" t="n">
        <v>0</v>
      </c>
      <c r="L1975" t="n">
        <v>0.848</v>
      </c>
      <c r="M1975" t="n">
        <v>0.152</v>
      </c>
    </row>
    <row r="1976" spans="1:13">
      <c r="A1976" s="1">
        <f>HYPERLINK("http://www.twitter.com/NathanBLawrence/status/980628318113251328", "980628318113251328")</f>
        <v/>
      </c>
      <c r="B1976" s="2" t="n">
        <v>43192.0900925926</v>
      </c>
      <c r="C1976" t="n">
        <v>0</v>
      </c>
      <c r="D1976" t="n">
        <v>6</v>
      </c>
      <c r="E1976" t="s">
        <v>1985</v>
      </c>
      <c r="F1976" t="s"/>
      <c r="G1976" t="s"/>
      <c r="H1976" t="s"/>
      <c r="I1976" t="s"/>
      <c r="J1976" t="n">
        <v>0</v>
      </c>
      <c r="K1976" t="n">
        <v>0</v>
      </c>
      <c r="L1976" t="n">
        <v>1</v>
      </c>
      <c r="M1976" t="n">
        <v>0</v>
      </c>
    </row>
    <row r="1977" spans="1:13">
      <c r="A1977" s="1">
        <f>HYPERLINK("http://www.twitter.com/NathanBLawrence/status/980628088428965888", "980628088428965888")</f>
        <v/>
      </c>
      <c r="B1977" s="2" t="n">
        <v>43192.0894675926</v>
      </c>
      <c r="C1977" t="n">
        <v>0</v>
      </c>
      <c r="D1977" t="n">
        <v>20</v>
      </c>
      <c r="E1977" t="s">
        <v>1986</v>
      </c>
      <c r="F1977">
        <f>HYPERLINK("http://pbs.twimg.com/media/DZvE6WWU8AAd2_d.jpg", "http://pbs.twimg.com/media/DZvE6WWU8AAd2_d.jpg")</f>
        <v/>
      </c>
      <c r="G1977" t="s"/>
      <c r="H1977" t="s"/>
      <c r="I1977" t="s"/>
      <c r="J1977" t="n">
        <v>0</v>
      </c>
      <c r="K1977" t="n">
        <v>0</v>
      </c>
      <c r="L1977" t="n">
        <v>1</v>
      </c>
      <c r="M1977" t="n">
        <v>0</v>
      </c>
    </row>
    <row r="1978" spans="1:13">
      <c r="A1978" s="1">
        <f>HYPERLINK("http://www.twitter.com/NathanBLawrence/status/980627659628584960", "980627659628584960")</f>
        <v/>
      </c>
      <c r="B1978" s="2" t="n">
        <v>43192.08827546296</v>
      </c>
      <c r="C1978" t="n">
        <v>0</v>
      </c>
      <c r="D1978" t="n">
        <v>8958</v>
      </c>
      <c r="E1978" t="s">
        <v>1987</v>
      </c>
      <c r="F1978" t="s"/>
      <c r="G1978" t="s"/>
      <c r="H1978" t="s"/>
      <c r="I1978" t="s"/>
      <c r="J1978" t="n">
        <v>-0.296</v>
      </c>
      <c r="K1978" t="n">
        <v>0.091</v>
      </c>
      <c r="L1978" t="n">
        <v>0.909</v>
      </c>
      <c r="M1978" t="n">
        <v>0</v>
      </c>
    </row>
    <row r="1979" spans="1:13">
      <c r="A1979" s="1">
        <f>HYPERLINK("http://www.twitter.com/NathanBLawrence/status/980625650829598720", "980625650829598720")</f>
        <v/>
      </c>
      <c r="B1979" s="2" t="n">
        <v>43192.08273148148</v>
      </c>
      <c r="C1979" t="n">
        <v>0</v>
      </c>
      <c r="D1979" t="n">
        <v>341</v>
      </c>
      <c r="E1979" t="s">
        <v>1988</v>
      </c>
      <c r="F1979">
        <f>HYPERLINK("https://video.twimg.com/ext_tw_video/979253582108209152/pu/vid/480x480/qjeXfGLISYgEmnoV.mp4", "https://video.twimg.com/ext_tw_video/979253582108209152/pu/vid/480x480/qjeXfGLISYgEmnoV.mp4")</f>
        <v/>
      </c>
      <c r="G1979" t="s"/>
      <c r="H1979" t="s"/>
      <c r="I1979" t="s"/>
      <c r="J1979" t="n">
        <v>0</v>
      </c>
      <c r="K1979" t="n">
        <v>0</v>
      </c>
      <c r="L1979" t="n">
        <v>1</v>
      </c>
      <c r="M1979" t="n">
        <v>0</v>
      </c>
    </row>
    <row r="1980" spans="1:13">
      <c r="A1980" s="1">
        <f>HYPERLINK("http://www.twitter.com/NathanBLawrence/status/980624937776902146", "980624937776902146")</f>
        <v/>
      </c>
      <c r="B1980" s="2" t="n">
        <v>43192.08076388889</v>
      </c>
      <c r="C1980" t="n">
        <v>0</v>
      </c>
      <c r="D1980" t="n">
        <v>570</v>
      </c>
      <c r="E1980" t="s">
        <v>1989</v>
      </c>
      <c r="F1980">
        <f>HYPERLINK("http://pbs.twimg.com/media/DZlSEAKVMAE8ZVW.jpg", "http://pbs.twimg.com/media/DZlSEAKVMAE8ZVW.jpg")</f>
        <v/>
      </c>
      <c r="G1980" t="s"/>
      <c r="H1980" t="s"/>
      <c r="I1980" t="s"/>
      <c r="J1980" t="n">
        <v>0</v>
      </c>
      <c r="K1980" t="n">
        <v>0</v>
      </c>
      <c r="L1980" t="n">
        <v>1</v>
      </c>
      <c r="M1980" t="n">
        <v>0</v>
      </c>
    </row>
    <row r="1981" spans="1:13">
      <c r="A1981" s="1">
        <f>HYPERLINK("http://www.twitter.com/NathanBLawrence/status/980615516107653120", "980615516107653120")</f>
        <v/>
      </c>
      <c r="B1981" s="2" t="n">
        <v>43192.05476851852</v>
      </c>
      <c r="C1981" t="n">
        <v>0</v>
      </c>
      <c r="D1981" t="n">
        <v>1085</v>
      </c>
      <c r="E1981" t="s">
        <v>1990</v>
      </c>
      <c r="F1981">
        <f>HYPERLINK("http://pbs.twimg.com/media/DZvORv7U0AAX2SV.jpg", "http://pbs.twimg.com/media/DZvORv7U0AAX2SV.jpg")</f>
        <v/>
      </c>
      <c r="G1981" t="s"/>
      <c r="H1981" t="s"/>
      <c r="I1981" t="s"/>
      <c r="J1981" t="n">
        <v>0</v>
      </c>
      <c r="K1981" t="n">
        <v>0</v>
      </c>
      <c r="L1981" t="n">
        <v>1</v>
      </c>
      <c r="M1981" t="n">
        <v>0</v>
      </c>
    </row>
    <row r="1982" spans="1:13">
      <c r="A1982" s="1">
        <f>HYPERLINK("http://www.twitter.com/NathanBLawrence/status/980615469639000064", "980615469639000064")</f>
        <v/>
      </c>
      <c r="B1982" s="2" t="n">
        <v>43192.0546412037</v>
      </c>
      <c r="C1982" t="n">
        <v>0</v>
      </c>
      <c r="D1982" t="n">
        <v>465</v>
      </c>
      <c r="E1982" t="s">
        <v>1991</v>
      </c>
      <c r="F1982">
        <f>HYPERLINK("http://pbs.twimg.com/media/DZuXuLbWAAISFNJ.jpg", "http://pbs.twimg.com/media/DZuXuLbWAAISFNJ.jpg")</f>
        <v/>
      </c>
      <c r="G1982" t="s"/>
      <c r="H1982" t="s"/>
      <c r="I1982" t="s"/>
      <c r="J1982" t="n">
        <v>-0.3595</v>
      </c>
      <c r="K1982" t="n">
        <v>0.106</v>
      </c>
      <c r="L1982" t="n">
        <v>0.894</v>
      </c>
      <c r="M1982" t="n">
        <v>0</v>
      </c>
    </row>
    <row r="1983" spans="1:13">
      <c r="A1983" s="1">
        <f>HYPERLINK("http://www.twitter.com/NathanBLawrence/status/980615422864113664", "980615422864113664")</f>
        <v/>
      </c>
      <c r="B1983" s="2" t="n">
        <v>43192.05451388889</v>
      </c>
      <c r="C1983" t="n">
        <v>0</v>
      </c>
      <c r="D1983" t="n">
        <v>500</v>
      </c>
      <c r="E1983" t="s">
        <v>1992</v>
      </c>
      <c r="F1983" t="s"/>
      <c r="G1983" t="s"/>
      <c r="H1983" t="s"/>
      <c r="I1983" t="s"/>
      <c r="J1983" t="n">
        <v>0.9536</v>
      </c>
      <c r="K1983" t="n">
        <v>0</v>
      </c>
      <c r="L1983" t="n">
        <v>0.549</v>
      </c>
      <c r="M1983" t="n">
        <v>0.451</v>
      </c>
    </row>
    <row r="1984" spans="1:13">
      <c r="A1984" s="1">
        <f>HYPERLINK("http://www.twitter.com/NathanBLawrence/status/980615338881703936", "980615338881703936")</f>
        <v/>
      </c>
      <c r="B1984" s="2" t="n">
        <v>43192.05428240741</v>
      </c>
      <c r="C1984" t="n">
        <v>0</v>
      </c>
      <c r="D1984" t="n">
        <v>3755</v>
      </c>
      <c r="E1984" t="s">
        <v>1993</v>
      </c>
      <c r="F1984" t="s"/>
      <c r="G1984" t="s"/>
      <c r="H1984" t="s"/>
      <c r="I1984" t="s"/>
      <c r="J1984" t="n">
        <v>-0.9042</v>
      </c>
      <c r="K1984" t="n">
        <v>0.371</v>
      </c>
      <c r="L1984" t="n">
        <v>0.629</v>
      </c>
      <c r="M1984" t="n">
        <v>0</v>
      </c>
    </row>
    <row r="1985" spans="1:13">
      <c r="A1985" s="1">
        <f>HYPERLINK("http://www.twitter.com/NathanBLawrence/status/980615254806708225", "980615254806708225")</f>
        <v/>
      </c>
      <c r="B1985" s="2" t="n">
        <v>43192.05405092592</v>
      </c>
      <c r="C1985" t="n">
        <v>0</v>
      </c>
      <c r="D1985" t="n">
        <v>279</v>
      </c>
      <c r="E1985" t="s">
        <v>1994</v>
      </c>
      <c r="F1985" t="s"/>
      <c r="G1985" t="s"/>
      <c r="H1985" t="s"/>
      <c r="I1985" t="s"/>
      <c r="J1985" t="n">
        <v>0</v>
      </c>
      <c r="K1985" t="n">
        <v>0</v>
      </c>
      <c r="L1985" t="n">
        <v>1</v>
      </c>
      <c r="M1985" t="n">
        <v>0</v>
      </c>
    </row>
    <row r="1986" spans="1:13">
      <c r="A1986" s="1">
        <f>HYPERLINK("http://www.twitter.com/NathanBLawrence/status/980615145440264192", "980615145440264192")</f>
        <v/>
      </c>
      <c r="B1986" s="2" t="n">
        <v>43192.05375</v>
      </c>
      <c r="C1986" t="n">
        <v>0</v>
      </c>
      <c r="D1986" t="n">
        <v>17</v>
      </c>
      <c r="E1986" t="s">
        <v>1995</v>
      </c>
      <c r="F1986" t="s"/>
      <c r="G1986" t="s"/>
      <c r="H1986" t="s"/>
      <c r="I1986" t="s"/>
      <c r="J1986" t="n">
        <v>0</v>
      </c>
      <c r="K1986" t="n">
        <v>0</v>
      </c>
      <c r="L1986" t="n">
        <v>1</v>
      </c>
      <c r="M1986" t="n">
        <v>0</v>
      </c>
    </row>
    <row r="1987" spans="1:13">
      <c r="A1987" s="1">
        <f>HYPERLINK("http://www.twitter.com/NathanBLawrence/status/980615118210809856", "980615118210809856")</f>
        <v/>
      </c>
      <c r="B1987" s="2" t="n">
        <v>43192.05366898148</v>
      </c>
      <c r="C1987" t="n">
        <v>0</v>
      </c>
      <c r="D1987" t="n">
        <v>119</v>
      </c>
      <c r="E1987" t="s">
        <v>1996</v>
      </c>
      <c r="F1987">
        <f>HYPERLINK("http://pbs.twimg.com/media/DZuSpSIU8AA54bh.jpg", "http://pbs.twimg.com/media/DZuSpSIU8AA54bh.jpg")</f>
        <v/>
      </c>
      <c r="G1987" t="s"/>
      <c r="H1987" t="s"/>
      <c r="I1987" t="s"/>
      <c r="J1987" t="n">
        <v>0.9349</v>
      </c>
      <c r="K1987" t="n">
        <v>0</v>
      </c>
      <c r="L1987" t="n">
        <v>0.496</v>
      </c>
      <c r="M1987" t="n">
        <v>0.504</v>
      </c>
    </row>
    <row r="1988" spans="1:13">
      <c r="A1988" s="1">
        <f>HYPERLINK("http://www.twitter.com/NathanBLawrence/status/980614013519212545", "980614013519212545")</f>
        <v/>
      </c>
      <c r="B1988" s="2" t="n">
        <v>43192.050625</v>
      </c>
      <c r="C1988" t="n">
        <v>0</v>
      </c>
      <c r="D1988" t="n">
        <v>252</v>
      </c>
      <c r="E1988" t="s">
        <v>1997</v>
      </c>
      <c r="F1988">
        <f>HYPERLINK("http://pbs.twimg.com/media/DZsGvNyU0AE8SW3.jpg", "http://pbs.twimg.com/media/DZsGvNyU0AE8SW3.jpg")</f>
        <v/>
      </c>
      <c r="G1988" t="s"/>
      <c r="H1988" t="s"/>
      <c r="I1988" t="s"/>
      <c r="J1988" t="n">
        <v>0</v>
      </c>
      <c r="K1988" t="n">
        <v>0</v>
      </c>
      <c r="L1988" t="n">
        <v>1</v>
      </c>
      <c r="M1988" t="n">
        <v>0</v>
      </c>
    </row>
    <row r="1989" spans="1:13">
      <c r="A1989" s="1">
        <f>HYPERLINK("http://www.twitter.com/NathanBLawrence/status/980588222781603840", "980588222781603840")</f>
        <v/>
      </c>
      <c r="B1989" s="2" t="n">
        <v>43191.97945601852</v>
      </c>
      <c r="C1989" t="n">
        <v>14</v>
      </c>
      <c r="D1989" t="n">
        <v>4</v>
      </c>
      <c r="E1989" t="s">
        <v>1998</v>
      </c>
      <c r="F1989" t="s"/>
      <c r="G1989" t="s"/>
      <c r="H1989" t="s"/>
      <c r="I1989" t="s"/>
      <c r="J1989" t="n">
        <v>0</v>
      </c>
      <c r="K1989" t="n">
        <v>0</v>
      </c>
      <c r="L1989" t="n">
        <v>1</v>
      </c>
      <c r="M1989" t="n">
        <v>0</v>
      </c>
    </row>
    <row r="1990" spans="1:13">
      <c r="A1990" s="1">
        <f>HYPERLINK("http://www.twitter.com/NathanBLawrence/status/980587888218746880", "980587888218746880")</f>
        <v/>
      </c>
      <c r="B1990" s="2" t="n">
        <v>43191.97853009259</v>
      </c>
      <c r="C1990" t="n">
        <v>27</v>
      </c>
      <c r="D1990" t="n">
        <v>13</v>
      </c>
      <c r="E1990" t="s">
        <v>1999</v>
      </c>
      <c r="F1990" t="s"/>
      <c r="G1990" t="s"/>
      <c r="H1990" t="s"/>
      <c r="I1990" t="s"/>
      <c r="J1990" t="n">
        <v>0.4023</v>
      </c>
      <c r="K1990" t="n">
        <v>0</v>
      </c>
      <c r="L1990" t="n">
        <v>0.787</v>
      </c>
      <c r="M1990" t="n">
        <v>0.213</v>
      </c>
    </row>
    <row r="1991" spans="1:13">
      <c r="A1991" s="1">
        <f>HYPERLINK("http://www.twitter.com/NathanBLawrence/status/980587327562039296", "980587327562039296")</f>
        <v/>
      </c>
      <c r="B1991" s="2" t="n">
        <v>43191.97697916667</v>
      </c>
      <c r="C1991" t="n">
        <v>0</v>
      </c>
      <c r="D1991" t="n">
        <v>218</v>
      </c>
      <c r="E1991" t="s">
        <v>2000</v>
      </c>
      <c r="F1991" t="s"/>
      <c r="G1991" t="s"/>
      <c r="H1991" t="s"/>
      <c r="I1991" t="s"/>
      <c r="J1991" t="n">
        <v>-0.128</v>
      </c>
      <c r="K1991" t="n">
        <v>0.091</v>
      </c>
      <c r="L1991" t="n">
        <v>0.909</v>
      </c>
      <c r="M1991" t="n">
        <v>0</v>
      </c>
    </row>
    <row r="1992" spans="1:13">
      <c r="A1992" s="1">
        <f>HYPERLINK("http://www.twitter.com/NathanBLawrence/status/980537919289966592", "980537919289966592")</f>
        <v/>
      </c>
      <c r="B1992" s="2" t="n">
        <v>43191.84064814815</v>
      </c>
      <c r="C1992" t="n">
        <v>0</v>
      </c>
      <c r="D1992" t="n">
        <v>379</v>
      </c>
      <c r="E1992" t="s">
        <v>2001</v>
      </c>
      <c r="F1992" t="s"/>
      <c r="G1992" t="s"/>
      <c r="H1992" t="s"/>
      <c r="I1992" t="s"/>
      <c r="J1992" t="n">
        <v>-0.6808</v>
      </c>
      <c r="K1992" t="n">
        <v>0.295</v>
      </c>
      <c r="L1992" t="n">
        <v>0.705</v>
      </c>
      <c r="M1992" t="n">
        <v>0</v>
      </c>
    </row>
    <row r="1993" spans="1:13">
      <c r="A1993" s="1">
        <f>HYPERLINK("http://www.twitter.com/NathanBLawrence/status/980537888503812096", "980537888503812096")</f>
        <v/>
      </c>
      <c r="B1993" s="2" t="n">
        <v>43191.84055555556</v>
      </c>
      <c r="C1993" t="n">
        <v>0</v>
      </c>
      <c r="D1993" t="n">
        <v>605</v>
      </c>
      <c r="E1993" t="s">
        <v>2002</v>
      </c>
      <c r="F1993">
        <f>HYPERLINK("http://pbs.twimg.com/media/DZp8PaqVMAA5lv5.jpg", "http://pbs.twimg.com/media/DZp8PaqVMAA5lv5.jpg")</f>
        <v/>
      </c>
      <c r="G1993" t="s"/>
      <c r="H1993" t="s"/>
      <c r="I1993" t="s"/>
      <c r="J1993" t="n">
        <v>0</v>
      </c>
      <c r="K1993" t="n">
        <v>0</v>
      </c>
      <c r="L1993" t="n">
        <v>1</v>
      </c>
      <c r="M1993" t="n">
        <v>0</v>
      </c>
    </row>
    <row r="1994" spans="1:13">
      <c r="A1994" s="1">
        <f>HYPERLINK("http://www.twitter.com/NathanBLawrence/status/980537760304873472", "980537760304873472")</f>
        <v/>
      </c>
      <c r="B1994" s="2" t="n">
        <v>43191.84020833333</v>
      </c>
      <c r="C1994" t="n">
        <v>0</v>
      </c>
      <c r="D1994" t="n">
        <v>89</v>
      </c>
      <c r="E1994" t="s">
        <v>2003</v>
      </c>
      <c r="F1994">
        <f>HYPERLINK("http://pbs.twimg.com/media/DZqElPeU8AEULQe.jpg", "http://pbs.twimg.com/media/DZqElPeU8AEULQe.jpg")</f>
        <v/>
      </c>
      <c r="G1994" t="s"/>
      <c r="H1994" t="s"/>
      <c r="I1994" t="s"/>
      <c r="J1994" t="n">
        <v>0</v>
      </c>
      <c r="K1994" t="n">
        <v>0</v>
      </c>
      <c r="L1994" t="n">
        <v>1</v>
      </c>
      <c r="M1994" t="n">
        <v>0</v>
      </c>
    </row>
    <row r="1995" spans="1:13">
      <c r="A1995" s="1">
        <f>HYPERLINK("http://www.twitter.com/NathanBLawrence/status/980537697407135744", "980537697407135744")</f>
        <v/>
      </c>
      <c r="B1995" s="2" t="n">
        <v>43191.84003472222</v>
      </c>
      <c r="C1995" t="n">
        <v>0</v>
      </c>
      <c r="D1995" t="n">
        <v>1852</v>
      </c>
      <c r="E1995" t="s">
        <v>2004</v>
      </c>
      <c r="F1995" t="s"/>
      <c r="G1995" t="s"/>
      <c r="H1995" t="s"/>
      <c r="I1995" t="s"/>
      <c r="J1995" t="n">
        <v>-0.8218</v>
      </c>
      <c r="K1995" t="n">
        <v>0.361</v>
      </c>
      <c r="L1995" t="n">
        <v>0.497</v>
      </c>
      <c r="M1995" t="n">
        <v>0.142</v>
      </c>
    </row>
    <row r="1996" spans="1:13">
      <c r="A1996" s="1">
        <f>HYPERLINK("http://www.twitter.com/NathanBLawrence/status/980537585662439424", "980537585662439424")</f>
        <v/>
      </c>
      <c r="B1996" s="2" t="n">
        <v>43191.83972222222</v>
      </c>
      <c r="C1996" t="n">
        <v>0</v>
      </c>
      <c r="D1996" t="n">
        <v>4777</v>
      </c>
      <c r="E1996" t="s">
        <v>2005</v>
      </c>
      <c r="F1996" t="s"/>
      <c r="G1996" t="s"/>
      <c r="H1996" t="s"/>
      <c r="I1996" t="s"/>
      <c r="J1996" t="n">
        <v>-0.3736</v>
      </c>
      <c r="K1996" t="n">
        <v>0.15</v>
      </c>
      <c r="L1996" t="n">
        <v>0.759</v>
      </c>
      <c r="M1996" t="n">
        <v>0.091</v>
      </c>
    </row>
    <row r="1997" spans="1:13">
      <c r="A1997" s="1">
        <f>HYPERLINK("http://www.twitter.com/NathanBLawrence/status/980537446352891904", "980537446352891904")</f>
        <v/>
      </c>
      <c r="B1997" s="2" t="n">
        <v>43191.83934027778</v>
      </c>
      <c r="C1997" t="n">
        <v>0</v>
      </c>
      <c r="D1997" t="n">
        <v>65</v>
      </c>
      <c r="E1997" t="s">
        <v>2006</v>
      </c>
      <c r="F1997" t="s"/>
      <c r="G1997" t="s"/>
      <c r="H1997" t="s"/>
      <c r="I1997" t="s"/>
      <c r="J1997" t="n">
        <v>0.6369</v>
      </c>
      <c r="K1997" t="n">
        <v>0</v>
      </c>
      <c r="L1997" t="n">
        <v>0.802</v>
      </c>
      <c r="M1997" t="n">
        <v>0.198</v>
      </c>
    </row>
    <row r="1998" spans="1:13">
      <c r="A1998" s="1">
        <f>HYPERLINK("http://www.twitter.com/NathanBLawrence/status/980537292614877185", "980537292614877185")</f>
        <v/>
      </c>
      <c r="B1998" s="2" t="n">
        <v>43191.83891203703</v>
      </c>
      <c r="C1998" t="n">
        <v>0</v>
      </c>
      <c r="D1998" t="n">
        <v>156</v>
      </c>
      <c r="E1998" t="s">
        <v>2007</v>
      </c>
      <c r="F1998">
        <f>HYPERLINK("http://pbs.twimg.com/media/DZp14hJW4AUgnAX.jpg", "http://pbs.twimg.com/media/DZp14hJW4AUgnAX.jpg")</f>
        <v/>
      </c>
      <c r="G1998" t="s"/>
      <c r="H1998" t="s"/>
      <c r="I1998" t="s"/>
      <c r="J1998" t="n">
        <v>0</v>
      </c>
      <c r="K1998" t="n">
        <v>0</v>
      </c>
      <c r="L1998" t="n">
        <v>1</v>
      </c>
      <c r="M1998" t="n">
        <v>0</v>
      </c>
    </row>
    <row r="1999" spans="1:13">
      <c r="A1999" s="1">
        <f>HYPERLINK("http://www.twitter.com/NathanBLawrence/status/980395446823673857", "980395446823673857")</f>
        <v/>
      </c>
      <c r="B1999" s="2" t="n">
        <v>43191.4475</v>
      </c>
      <c r="C1999" t="n">
        <v>8</v>
      </c>
      <c r="D1999" t="n">
        <v>2</v>
      </c>
      <c r="E1999" t="s">
        <v>2008</v>
      </c>
      <c r="F1999" t="s"/>
      <c r="G1999" t="s"/>
      <c r="H1999" t="s"/>
      <c r="I1999" t="s"/>
      <c r="J1999" t="n">
        <v>0</v>
      </c>
      <c r="K1999" t="n">
        <v>0</v>
      </c>
      <c r="L1999" t="n">
        <v>1</v>
      </c>
      <c r="M1999" t="n">
        <v>0</v>
      </c>
    </row>
    <row r="2000" spans="1:13">
      <c r="A2000" s="1">
        <f>HYPERLINK("http://www.twitter.com/NathanBLawrence/status/980395074251993095", "980395074251993095")</f>
        <v/>
      </c>
      <c r="B2000" s="2" t="n">
        <v>43191.44646990741</v>
      </c>
      <c r="C2000" t="n">
        <v>3</v>
      </c>
      <c r="D2000" t="n">
        <v>1</v>
      </c>
      <c r="E2000" t="s">
        <v>2009</v>
      </c>
      <c r="F2000" t="s"/>
      <c r="G2000" t="s"/>
      <c r="H2000" t="s"/>
      <c r="I2000" t="s"/>
      <c r="J2000" t="n">
        <v>0.6369</v>
      </c>
      <c r="K2000" t="n">
        <v>0</v>
      </c>
      <c r="L2000" t="n">
        <v>0.488</v>
      </c>
      <c r="M2000" t="n">
        <v>0.512</v>
      </c>
    </row>
    <row r="2001" spans="1:13">
      <c r="A2001" s="1">
        <f>HYPERLINK("http://www.twitter.com/NathanBLawrence/status/980394309781368837", "980394309781368837")</f>
        <v/>
      </c>
      <c r="B2001" s="2" t="n">
        <v>43191.44435185185</v>
      </c>
      <c r="C2001" t="n">
        <v>0</v>
      </c>
      <c r="D2001" t="n">
        <v>299</v>
      </c>
      <c r="E2001" t="s">
        <v>2010</v>
      </c>
      <c r="F2001" t="s"/>
      <c r="G2001" t="s"/>
      <c r="H2001" t="s"/>
      <c r="I2001" t="s"/>
      <c r="J2001" t="n">
        <v>0.296</v>
      </c>
      <c r="K2001" t="n">
        <v>0</v>
      </c>
      <c r="L2001" t="n">
        <v>0.879</v>
      </c>
      <c r="M2001" t="n">
        <v>0.121</v>
      </c>
    </row>
    <row r="2002" spans="1:13">
      <c r="A2002" s="1">
        <f>HYPERLINK("http://www.twitter.com/NathanBLawrence/status/980394243796623360", "980394243796623360")</f>
        <v/>
      </c>
      <c r="B2002" s="2" t="n">
        <v>43191.44417824074</v>
      </c>
      <c r="C2002" t="n">
        <v>0</v>
      </c>
      <c r="D2002" t="n">
        <v>75</v>
      </c>
      <c r="E2002" t="s">
        <v>2011</v>
      </c>
      <c r="F2002">
        <f>HYPERLINK("http://pbs.twimg.com/media/DZrpf9IX4AAo-kJ.jpg", "http://pbs.twimg.com/media/DZrpf9IX4AAo-kJ.jpg")</f>
        <v/>
      </c>
      <c r="G2002" t="s"/>
      <c r="H2002" t="s"/>
      <c r="I2002" t="s"/>
      <c r="J2002" t="n">
        <v>0</v>
      </c>
      <c r="K2002" t="n">
        <v>0</v>
      </c>
      <c r="L2002" t="n">
        <v>1</v>
      </c>
      <c r="M2002" t="n">
        <v>0</v>
      </c>
    </row>
    <row r="2003" spans="1:13">
      <c r="A2003" s="1">
        <f>HYPERLINK("http://www.twitter.com/NathanBLawrence/status/980394183801229312", "980394183801229312")</f>
        <v/>
      </c>
      <c r="B2003" s="2" t="n">
        <v>43191.44400462963</v>
      </c>
      <c r="C2003" t="n">
        <v>4</v>
      </c>
      <c r="D2003" t="n">
        <v>1</v>
      </c>
      <c r="E2003" t="s">
        <v>2012</v>
      </c>
      <c r="F2003" t="s"/>
      <c r="G2003" t="s"/>
      <c r="H2003" t="s"/>
      <c r="I2003" t="s"/>
      <c r="J2003" t="n">
        <v>0.4753</v>
      </c>
      <c r="K2003" t="n">
        <v>0</v>
      </c>
      <c r="L2003" t="n">
        <v>0.492</v>
      </c>
      <c r="M2003" t="n">
        <v>0.508</v>
      </c>
    </row>
    <row r="2004" spans="1:13">
      <c r="A2004" s="1">
        <f>HYPERLINK("http://www.twitter.com/NathanBLawrence/status/980393806783660033", "980393806783660033")</f>
        <v/>
      </c>
      <c r="B2004" s="2" t="n">
        <v>43191.44297453704</v>
      </c>
      <c r="C2004" t="n">
        <v>4</v>
      </c>
      <c r="D2004" t="n">
        <v>1</v>
      </c>
      <c r="E2004" t="s">
        <v>2013</v>
      </c>
      <c r="F2004" t="s"/>
      <c r="G2004" t="s"/>
      <c r="H2004" t="s"/>
      <c r="I2004" t="s"/>
      <c r="J2004" t="n">
        <v>0</v>
      </c>
      <c r="K2004" t="n">
        <v>0</v>
      </c>
      <c r="L2004" t="n">
        <v>1</v>
      </c>
      <c r="M2004" t="n">
        <v>0</v>
      </c>
    </row>
    <row r="2005" spans="1:13">
      <c r="A2005" s="1">
        <f>HYPERLINK("http://www.twitter.com/NathanBLawrence/status/980390599990829056", "980390599990829056")</f>
        <v/>
      </c>
      <c r="B2005" s="2" t="n">
        <v>43191.43412037037</v>
      </c>
      <c r="C2005" t="n">
        <v>4</v>
      </c>
      <c r="D2005" t="n">
        <v>0</v>
      </c>
      <c r="E2005" t="s">
        <v>2014</v>
      </c>
      <c r="F2005" t="s"/>
      <c r="G2005" t="s"/>
      <c r="H2005" t="s"/>
      <c r="I2005" t="s"/>
      <c r="J2005" t="n">
        <v>0</v>
      </c>
      <c r="K2005" t="n">
        <v>0</v>
      </c>
      <c r="L2005" t="n">
        <v>1</v>
      </c>
      <c r="M2005" t="n">
        <v>0</v>
      </c>
    </row>
    <row r="2006" spans="1:13">
      <c r="A2006" s="1">
        <f>HYPERLINK("http://www.twitter.com/NathanBLawrence/status/980388767738417152", "980388767738417152")</f>
        <v/>
      </c>
      <c r="B2006" s="2" t="n">
        <v>43191.4290625</v>
      </c>
      <c r="C2006" t="n">
        <v>2</v>
      </c>
      <c r="D2006" t="n">
        <v>1</v>
      </c>
      <c r="E2006" t="s">
        <v>2015</v>
      </c>
      <c r="F2006" t="s"/>
      <c r="G2006" t="s"/>
      <c r="H2006" t="s"/>
      <c r="I2006" t="s"/>
      <c r="J2006" t="n">
        <v>0</v>
      </c>
      <c r="K2006" t="n">
        <v>0</v>
      </c>
      <c r="L2006" t="n">
        <v>1</v>
      </c>
      <c r="M2006" t="n">
        <v>0</v>
      </c>
    </row>
    <row r="2007" spans="1:13">
      <c r="A2007" s="1">
        <f>HYPERLINK("http://www.twitter.com/NathanBLawrence/status/980352280330317824", "980352280330317824")</f>
        <v/>
      </c>
      <c r="B2007" s="2" t="n">
        <v>43191.32837962963</v>
      </c>
      <c r="C2007" t="n">
        <v>0</v>
      </c>
      <c r="D2007" t="n">
        <v>62</v>
      </c>
      <c r="E2007" t="s">
        <v>2016</v>
      </c>
      <c r="F2007">
        <f>HYPERLINK("http://pbs.twimg.com/media/DZqFg-lXkAA8-hb.jpg", "http://pbs.twimg.com/media/DZqFg-lXkAA8-hb.jpg")</f>
        <v/>
      </c>
      <c r="G2007" t="s"/>
      <c r="H2007" t="s"/>
      <c r="I2007" t="s"/>
      <c r="J2007" t="n">
        <v>0.1531</v>
      </c>
      <c r="K2007" t="n">
        <v>0.078</v>
      </c>
      <c r="L2007" t="n">
        <v>0.821</v>
      </c>
      <c r="M2007" t="n">
        <v>0.101</v>
      </c>
    </row>
    <row r="2008" spans="1:13">
      <c r="A2008" s="1">
        <f>HYPERLINK("http://www.twitter.com/NathanBLawrence/status/980352117763325952", "980352117763325952")</f>
        <v/>
      </c>
      <c r="B2008" s="2" t="n">
        <v>43191.32792824074</v>
      </c>
      <c r="C2008" t="n">
        <v>0</v>
      </c>
      <c r="D2008" t="n">
        <v>15</v>
      </c>
      <c r="E2008" t="s">
        <v>2017</v>
      </c>
      <c r="F2008" t="s"/>
      <c r="G2008" t="s"/>
      <c r="H2008" t="s"/>
      <c r="I2008" t="s"/>
      <c r="J2008" t="n">
        <v>-0.1027</v>
      </c>
      <c r="K2008" t="n">
        <v>0.145</v>
      </c>
      <c r="L2008" t="n">
        <v>0.726</v>
      </c>
      <c r="M2008" t="n">
        <v>0.129</v>
      </c>
    </row>
    <row r="2009" spans="1:13">
      <c r="A2009" s="1">
        <f>HYPERLINK("http://www.twitter.com/NathanBLawrence/status/980351705610051584", "980351705610051584")</f>
        <v/>
      </c>
      <c r="B2009" s="2" t="n">
        <v>43191.32679398148</v>
      </c>
      <c r="C2009" t="n">
        <v>0</v>
      </c>
      <c r="D2009" t="n">
        <v>18671</v>
      </c>
      <c r="E2009" t="s">
        <v>2018</v>
      </c>
      <c r="F2009">
        <f>HYPERLINK("http://pbs.twimg.com/media/DZpogXkWkAAoiq6.jpg", "http://pbs.twimg.com/media/DZpogXkWkAAoiq6.jpg")</f>
        <v/>
      </c>
      <c r="G2009" t="s"/>
      <c r="H2009" t="s"/>
      <c r="I2009" t="s"/>
      <c r="J2009" t="n">
        <v>0.4019</v>
      </c>
      <c r="K2009" t="n">
        <v>0</v>
      </c>
      <c r="L2009" t="n">
        <v>0.748</v>
      </c>
      <c r="M2009" t="n">
        <v>0.252</v>
      </c>
    </row>
    <row r="2010" spans="1:13">
      <c r="A2010" s="1">
        <f>HYPERLINK("http://www.twitter.com/NathanBLawrence/status/980351556250775553", "980351556250775553")</f>
        <v/>
      </c>
      <c r="B2010" s="2" t="n">
        <v>43191.32637731481</v>
      </c>
      <c r="C2010" t="n">
        <v>0</v>
      </c>
      <c r="D2010" t="n">
        <v>1008</v>
      </c>
      <c r="E2010" t="s">
        <v>2019</v>
      </c>
      <c r="F2010">
        <f>HYPERLINK("http://pbs.twimg.com/media/DZmzW5lVQAENE_p.jpg", "http://pbs.twimg.com/media/DZmzW5lVQAENE_p.jpg")</f>
        <v/>
      </c>
      <c r="G2010" t="s"/>
      <c r="H2010" t="s"/>
      <c r="I2010" t="s"/>
      <c r="J2010" t="n">
        <v>0</v>
      </c>
      <c r="K2010" t="n">
        <v>0</v>
      </c>
      <c r="L2010" t="n">
        <v>1</v>
      </c>
      <c r="M2010" t="n">
        <v>0</v>
      </c>
    </row>
    <row r="2011" spans="1:13">
      <c r="A2011" s="1">
        <f>HYPERLINK("http://www.twitter.com/NathanBLawrence/status/980351515872264193", "980351515872264193")</f>
        <v/>
      </c>
      <c r="B2011" s="2" t="n">
        <v>43191.32627314814</v>
      </c>
      <c r="C2011" t="n">
        <v>0</v>
      </c>
      <c r="D2011" t="n">
        <v>51</v>
      </c>
      <c r="E2011" t="s">
        <v>2020</v>
      </c>
      <c r="F2011" t="s"/>
      <c r="G2011" t="s"/>
      <c r="H2011" t="s"/>
      <c r="I2011" t="s"/>
      <c r="J2011" t="n">
        <v>0</v>
      </c>
      <c r="K2011" t="n">
        <v>0</v>
      </c>
      <c r="L2011" t="n">
        <v>1</v>
      </c>
      <c r="M2011" t="n">
        <v>0</v>
      </c>
    </row>
    <row r="2012" spans="1:13">
      <c r="A2012" s="1">
        <f>HYPERLINK("http://www.twitter.com/NathanBLawrence/status/980341149935198209", "980341149935198209")</f>
        <v/>
      </c>
      <c r="B2012" s="2" t="n">
        <v>43191.29766203704</v>
      </c>
      <c r="C2012" t="n">
        <v>0</v>
      </c>
      <c r="D2012" t="n">
        <v>1182</v>
      </c>
      <c r="E2012" t="s">
        <v>2021</v>
      </c>
      <c r="F2012">
        <f>HYPERLINK("https://video.twimg.com/ext_tw_video/980263077433061377/pu/vid/720x720/Uy6i_zdNYIPWtSql.mp4", "https://video.twimg.com/ext_tw_video/980263077433061377/pu/vid/720x720/Uy6i_zdNYIPWtSql.mp4")</f>
        <v/>
      </c>
      <c r="G2012" t="s"/>
      <c r="H2012" t="s"/>
      <c r="I2012" t="s"/>
      <c r="J2012" t="n">
        <v>-0.6597</v>
      </c>
      <c r="K2012" t="n">
        <v>0.252</v>
      </c>
      <c r="L2012" t="n">
        <v>0.748</v>
      </c>
      <c r="M2012" t="n">
        <v>0</v>
      </c>
    </row>
    <row r="2013" spans="1:13">
      <c r="A2013" s="1">
        <f>HYPERLINK("http://www.twitter.com/NathanBLawrence/status/980340936168239104", "980340936168239104")</f>
        <v/>
      </c>
      <c r="B2013" s="2" t="n">
        <v>43191.29707175926</v>
      </c>
      <c r="C2013" t="n">
        <v>0</v>
      </c>
      <c r="D2013" t="n">
        <v>3975</v>
      </c>
      <c r="E2013" t="s">
        <v>2022</v>
      </c>
      <c r="F2013" t="s"/>
      <c r="G2013" t="s"/>
      <c r="H2013" t="s"/>
      <c r="I2013" t="s"/>
      <c r="J2013" t="n">
        <v>-0.1531</v>
      </c>
      <c r="K2013" t="n">
        <v>0.13</v>
      </c>
      <c r="L2013" t="n">
        <v>0.763</v>
      </c>
      <c r="M2013" t="n">
        <v>0.107</v>
      </c>
    </row>
    <row r="2014" spans="1:13">
      <c r="A2014" s="1">
        <f>HYPERLINK("http://www.twitter.com/NathanBLawrence/status/980340865217347584", "980340865217347584")</f>
        <v/>
      </c>
      <c r="B2014" s="2" t="n">
        <v>43191.296875</v>
      </c>
      <c r="C2014" t="n">
        <v>0</v>
      </c>
      <c r="D2014" t="n">
        <v>844</v>
      </c>
      <c r="E2014" t="s">
        <v>2023</v>
      </c>
      <c r="F2014">
        <f>HYPERLINK("http://pbs.twimg.com/media/DZop4wqVQAAz6cq.jpg", "http://pbs.twimg.com/media/DZop4wqVQAAz6cq.jpg")</f>
        <v/>
      </c>
      <c r="G2014" t="s"/>
      <c r="H2014" t="s"/>
      <c r="I2014" t="s"/>
      <c r="J2014" t="n">
        <v>0.2732</v>
      </c>
      <c r="K2014" t="n">
        <v>0</v>
      </c>
      <c r="L2014" t="n">
        <v>0.916</v>
      </c>
      <c r="M2014" t="n">
        <v>0.08400000000000001</v>
      </c>
    </row>
    <row r="2015" spans="1:13">
      <c r="A2015" s="1">
        <f>HYPERLINK("http://www.twitter.com/NathanBLawrence/status/980340752428314624", "980340752428314624")</f>
        <v/>
      </c>
      <c r="B2015" s="2" t="n">
        <v>43191.2965625</v>
      </c>
      <c r="C2015" t="n">
        <v>0</v>
      </c>
      <c r="D2015" t="n">
        <v>132</v>
      </c>
      <c r="E2015" t="s">
        <v>2024</v>
      </c>
      <c r="F2015">
        <f>HYPERLINK("http://pbs.twimg.com/media/DZp0-edX0AAHPqC.jpg", "http://pbs.twimg.com/media/DZp0-edX0AAHPqC.jpg")</f>
        <v/>
      </c>
      <c r="G2015" t="s"/>
      <c r="H2015" t="s"/>
      <c r="I2015" t="s"/>
      <c r="J2015" t="n">
        <v>0</v>
      </c>
      <c r="K2015" t="n">
        <v>0</v>
      </c>
      <c r="L2015" t="n">
        <v>1</v>
      </c>
      <c r="M2015" t="n">
        <v>0</v>
      </c>
    </row>
    <row r="2016" spans="1:13">
      <c r="A2016" s="1">
        <f>HYPERLINK("http://www.twitter.com/NathanBLawrence/status/980340450446884864", "980340450446884864")</f>
        <v/>
      </c>
      <c r="B2016" s="2" t="n">
        <v>43191.29572916667</v>
      </c>
      <c r="C2016" t="n">
        <v>0</v>
      </c>
      <c r="D2016" t="n">
        <v>964</v>
      </c>
      <c r="E2016" t="s">
        <v>2025</v>
      </c>
      <c r="F2016">
        <f>HYPERLINK("http://pbs.twimg.com/media/DZp2TUdWAAAigHK.jpg", "http://pbs.twimg.com/media/DZp2TUdWAAAigHK.jpg")</f>
        <v/>
      </c>
      <c r="G2016" t="s"/>
      <c r="H2016" t="s"/>
      <c r="I2016" t="s"/>
      <c r="J2016" t="n">
        <v>0.6808</v>
      </c>
      <c r="K2016" t="n">
        <v>0</v>
      </c>
      <c r="L2016" t="n">
        <v>0.781</v>
      </c>
      <c r="M2016" t="n">
        <v>0.219</v>
      </c>
    </row>
    <row r="2017" spans="1:13">
      <c r="A2017" s="1">
        <f>HYPERLINK("http://www.twitter.com/NathanBLawrence/status/980340360504225792", "980340360504225792")</f>
        <v/>
      </c>
      <c r="B2017" s="2" t="n">
        <v>43191.29548611111</v>
      </c>
      <c r="C2017" t="n">
        <v>0</v>
      </c>
      <c r="D2017" t="n">
        <v>27</v>
      </c>
      <c r="E2017" t="s">
        <v>2026</v>
      </c>
      <c r="F2017">
        <f>HYPERLINK("http://pbs.twimg.com/media/DZrdmj9XkAE7ASY.jpg", "http://pbs.twimg.com/media/DZrdmj9XkAE7ASY.jpg")</f>
        <v/>
      </c>
      <c r="G2017" t="s"/>
      <c r="H2017" t="s"/>
      <c r="I2017" t="s"/>
      <c r="J2017" t="n">
        <v>0.7845</v>
      </c>
      <c r="K2017" t="n">
        <v>0</v>
      </c>
      <c r="L2017" t="n">
        <v>0.6830000000000001</v>
      </c>
      <c r="M2017" t="n">
        <v>0.317</v>
      </c>
    </row>
    <row r="2018" spans="1:13">
      <c r="A2018" s="1">
        <f>HYPERLINK("http://www.twitter.com/NathanBLawrence/status/980247399980396544", "980247399980396544")</f>
        <v/>
      </c>
      <c r="B2018" s="2" t="n">
        <v>43191.03895833333</v>
      </c>
      <c r="C2018" t="n">
        <v>0</v>
      </c>
      <c r="D2018" t="n">
        <v>1264</v>
      </c>
      <c r="E2018" t="s">
        <v>2027</v>
      </c>
      <c r="F2018" t="s"/>
      <c r="G2018" t="s"/>
      <c r="H2018" t="s"/>
      <c r="I2018" t="s"/>
      <c r="J2018" t="n">
        <v>-0.5423</v>
      </c>
      <c r="K2018" t="n">
        <v>0.211</v>
      </c>
      <c r="L2018" t="n">
        <v>0.702</v>
      </c>
      <c r="M2018" t="n">
        <v>0.08799999999999999</v>
      </c>
    </row>
    <row r="2019" spans="1:13">
      <c r="A2019" s="1">
        <f>HYPERLINK("http://www.twitter.com/NathanBLawrence/status/980247286784520192", "980247286784520192")</f>
        <v/>
      </c>
      <c r="B2019" s="2" t="n">
        <v>43191.03864583333</v>
      </c>
      <c r="C2019" t="n">
        <v>0</v>
      </c>
      <c r="D2019" t="n">
        <v>924</v>
      </c>
      <c r="E2019" t="s">
        <v>2028</v>
      </c>
      <c r="F2019" t="s"/>
      <c r="G2019" t="s"/>
      <c r="H2019" t="s"/>
      <c r="I2019" t="s"/>
      <c r="J2019" t="n">
        <v>0.3802</v>
      </c>
      <c r="K2019" t="n">
        <v>0.109</v>
      </c>
      <c r="L2019" t="n">
        <v>0.652</v>
      </c>
      <c r="M2019" t="n">
        <v>0.239</v>
      </c>
    </row>
    <row r="2020" spans="1:13">
      <c r="A2020" s="1">
        <f>HYPERLINK("http://www.twitter.com/NathanBLawrence/status/980247209567387648", "980247209567387648")</f>
        <v/>
      </c>
      <c r="B2020" s="2" t="n">
        <v>43191.0384375</v>
      </c>
      <c r="C2020" t="n">
        <v>0</v>
      </c>
      <c r="D2020" t="n">
        <v>965</v>
      </c>
      <c r="E2020" t="s">
        <v>2029</v>
      </c>
      <c r="F2020" t="s"/>
      <c r="G2020" t="s"/>
      <c r="H2020" t="s"/>
      <c r="I2020" t="s"/>
      <c r="J2020" t="n">
        <v>0.6369</v>
      </c>
      <c r="K2020" t="n">
        <v>0.097</v>
      </c>
      <c r="L2020" t="n">
        <v>0.694</v>
      </c>
      <c r="M2020" t="n">
        <v>0.208</v>
      </c>
    </row>
    <row r="2021" spans="1:13">
      <c r="A2021" s="1">
        <f>HYPERLINK("http://www.twitter.com/NathanBLawrence/status/980246706875854848", "980246706875854848")</f>
        <v/>
      </c>
      <c r="B2021" s="2" t="n">
        <v>43191.03704861111</v>
      </c>
      <c r="C2021" t="n">
        <v>0</v>
      </c>
      <c r="D2021" t="n">
        <v>980</v>
      </c>
      <c r="E2021" t="s">
        <v>2030</v>
      </c>
      <c r="F2021" t="s"/>
      <c r="G2021" t="s"/>
      <c r="H2021" t="s"/>
      <c r="I2021" t="s"/>
      <c r="J2021" t="n">
        <v>0.2732</v>
      </c>
      <c r="K2021" t="n">
        <v>0</v>
      </c>
      <c r="L2021" t="n">
        <v>0.916</v>
      </c>
      <c r="M2021" t="n">
        <v>0.08400000000000001</v>
      </c>
    </row>
    <row r="2022" spans="1:13">
      <c r="A2022" s="1">
        <f>HYPERLINK("http://www.twitter.com/NathanBLawrence/status/980246560205193216", "980246560205193216")</f>
        <v/>
      </c>
      <c r="B2022" s="2" t="n">
        <v>43191.03664351852</v>
      </c>
      <c r="C2022" t="n">
        <v>0</v>
      </c>
      <c r="D2022" t="n">
        <v>1013</v>
      </c>
      <c r="E2022" t="s">
        <v>2031</v>
      </c>
      <c r="F2022" t="s"/>
      <c r="G2022" t="s"/>
      <c r="H2022" t="s"/>
      <c r="I2022" t="s"/>
      <c r="J2022" t="n">
        <v>-0.128</v>
      </c>
      <c r="K2022" t="n">
        <v>0.21</v>
      </c>
      <c r="L2022" t="n">
        <v>0.644</v>
      </c>
      <c r="M2022" t="n">
        <v>0.146</v>
      </c>
    </row>
    <row r="2023" spans="1:13">
      <c r="A2023" s="1">
        <f>HYPERLINK("http://www.twitter.com/NathanBLawrence/status/980246435647012864", "980246435647012864")</f>
        <v/>
      </c>
      <c r="B2023" s="2" t="n">
        <v>43191.03630787037</v>
      </c>
      <c r="C2023" t="n">
        <v>0</v>
      </c>
      <c r="D2023" t="n">
        <v>692</v>
      </c>
      <c r="E2023" t="s">
        <v>2032</v>
      </c>
      <c r="F2023" t="s"/>
      <c r="G2023" t="s"/>
      <c r="H2023" t="s"/>
      <c r="I2023" t="s"/>
      <c r="J2023" t="n">
        <v>-0.7691</v>
      </c>
      <c r="K2023" t="n">
        <v>0.294</v>
      </c>
      <c r="L2023" t="n">
        <v>0.706</v>
      </c>
      <c r="M2023" t="n">
        <v>0</v>
      </c>
    </row>
    <row r="2024" spans="1:13">
      <c r="A2024" s="1">
        <f>HYPERLINK("http://www.twitter.com/NathanBLawrence/status/979819613243416578", "979819613243416578")</f>
        <v/>
      </c>
      <c r="B2024" s="2" t="n">
        <v>43189.85849537037</v>
      </c>
      <c r="C2024" t="n">
        <v>0</v>
      </c>
      <c r="D2024" t="n">
        <v>124</v>
      </c>
      <c r="E2024" t="s">
        <v>2033</v>
      </c>
      <c r="F2024" t="s"/>
      <c r="G2024" t="s"/>
      <c r="H2024" t="s"/>
      <c r="I2024" t="s"/>
      <c r="J2024" t="n">
        <v>0</v>
      </c>
      <c r="K2024" t="n">
        <v>0</v>
      </c>
      <c r="L2024" t="n">
        <v>1</v>
      </c>
      <c r="M2024" t="n">
        <v>0</v>
      </c>
    </row>
    <row r="2025" spans="1:13">
      <c r="A2025" s="1">
        <f>HYPERLINK("http://www.twitter.com/NathanBLawrence/status/979819149059809280", "979819149059809280")</f>
        <v/>
      </c>
      <c r="B2025" s="2" t="n">
        <v>43189.85721064815</v>
      </c>
      <c r="C2025" t="n">
        <v>0</v>
      </c>
      <c r="D2025" t="n">
        <v>161</v>
      </c>
      <c r="E2025" t="s">
        <v>2034</v>
      </c>
      <c r="F2025">
        <f>HYPERLINK("http://pbs.twimg.com/media/DZjfq-hV4AArwJ2.jpg", "http://pbs.twimg.com/media/DZjfq-hV4AArwJ2.jpg")</f>
        <v/>
      </c>
      <c r="G2025" t="s"/>
      <c r="H2025" t="s"/>
      <c r="I2025" t="s"/>
      <c r="J2025" t="n">
        <v>0</v>
      </c>
      <c r="K2025" t="n">
        <v>0</v>
      </c>
      <c r="L2025" t="n">
        <v>1</v>
      </c>
      <c r="M2025" t="n">
        <v>0</v>
      </c>
    </row>
    <row r="2026" spans="1:13">
      <c r="A2026" s="1">
        <f>HYPERLINK("http://www.twitter.com/NathanBLawrence/status/979818515984101377", "979818515984101377")</f>
        <v/>
      </c>
      <c r="B2026" s="2" t="n">
        <v>43189.85547453703</v>
      </c>
      <c r="C2026" t="n">
        <v>0</v>
      </c>
      <c r="D2026" t="n">
        <v>173</v>
      </c>
      <c r="E2026" t="s">
        <v>2035</v>
      </c>
      <c r="F2026">
        <f>HYPERLINK("http://pbs.twimg.com/media/DZjykNvVoAAjOtU.jpg", "http://pbs.twimg.com/media/DZjykNvVoAAjOtU.jpg")</f>
        <v/>
      </c>
      <c r="G2026" t="s"/>
      <c r="H2026" t="s"/>
      <c r="I2026" t="s"/>
      <c r="J2026" t="n">
        <v>0</v>
      </c>
      <c r="K2026" t="n">
        <v>0</v>
      </c>
      <c r="L2026" t="n">
        <v>1</v>
      </c>
      <c r="M2026" t="n">
        <v>0</v>
      </c>
    </row>
    <row r="2027" spans="1:13">
      <c r="A2027" s="1">
        <f>HYPERLINK("http://www.twitter.com/NathanBLawrence/status/979818312111611904", "979818312111611904")</f>
        <v/>
      </c>
      <c r="B2027" s="2" t="n">
        <v>43189.85490740741</v>
      </c>
      <c r="C2027" t="n">
        <v>0</v>
      </c>
      <c r="D2027" t="n">
        <v>1742</v>
      </c>
      <c r="E2027" t="s">
        <v>2036</v>
      </c>
      <c r="F2027" t="s"/>
      <c r="G2027" t="s"/>
      <c r="H2027" t="s"/>
      <c r="I2027" t="s"/>
      <c r="J2027" t="n">
        <v>0</v>
      </c>
      <c r="K2027" t="n">
        <v>0</v>
      </c>
      <c r="L2027" t="n">
        <v>1</v>
      </c>
      <c r="M2027" t="n">
        <v>0</v>
      </c>
    </row>
    <row r="2028" spans="1:13">
      <c r="A2028" s="1">
        <f>HYPERLINK("http://www.twitter.com/NathanBLawrence/status/979796694337376256", "979796694337376256")</f>
        <v/>
      </c>
      <c r="B2028" s="2" t="n">
        <v>43189.79525462963</v>
      </c>
      <c r="C2028" t="n">
        <v>6</v>
      </c>
      <c r="D2028" t="n">
        <v>8</v>
      </c>
      <c r="E2028" t="s">
        <v>2037</v>
      </c>
      <c r="F2028" t="s"/>
      <c r="G2028" t="s"/>
      <c r="H2028" t="s"/>
      <c r="I2028" t="s"/>
      <c r="J2028" t="n">
        <v>-0.4404</v>
      </c>
      <c r="K2028" t="n">
        <v>0.172</v>
      </c>
      <c r="L2028" t="n">
        <v>0.828</v>
      </c>
      <c r="M2028" t="n">
        <v>0</v>
      </c>
    </row>
    <row r="2029" spans="1:13">
      <c r="A2029" s="1">
        <f>HYPERLINK("http://www.twitter.com/NathanBLawrence/status/979795679013871616", "979795679013871616")</f>
        <v/>
      </c>
      <c r="B2029" s="2" t="n">
        <v>43189.7924537037</v>
      </c>
      <c r="C2029" t="n">
        <v>0</v>
      </c>
      <c r="D2029" t="n">
        <v>448</v>
      </c>
      <c r="E2029" t="s">
        <v>2038</v>
      </c>
      <c r="F2029" t="s"/>
      <c r="G2029" t="s"/>
      <c r="H2029" t="s"/>
      <c r="I2029" t="s"/>
      <c r="J2029" t="n">
        <v>-0.128</v>
      </c>
      <c r="K2029" t="n">
        <v>0.115</v>
      </c>
      <c r="L2029" t="n">
        <v>0.791</v>
      </c>
      <c r="M2029" t="n">
        <v>0.095</v>
      </c>
    </row>
    <row r="2030" spans="1:13">
      <c r="A2030" s="1">
        <f>HYPERLINK("http://www.twitter.com/NathanBLawrence/status/979795555533561856", "979795555533561856")</f>
        <v/>
      </c>
      <c r="B2030" s="2" t="n">
        <v>43189.79210648148</v>
      </c>
      <c r="C2030" t="n">
        <v>0</v>
      </c>
      <c r="D2030" t="n">
        <v>435</v>
      </c>
      <c r="E2030" t="s">
        <v>2039</v>
      </c>
      <c r="F2030" t="s"/>
      <c r="G2030" t="s"/>
      <c r="H2030" t="s"/>
      <c r="I2030" t="s"/>
      <c r="J2030" t="n">
        <v>-0.128</v>
      </c>
      <c r="K2030" t="n">
        <v>0.129</v>
      </c>
      <c r="L2030" t="n">
        <v>0.763</v>
      </c>
      <c r="M2030" t="n">
        <v>0.108</v>
      </c>
    </row>
    <row r="2031" spans="1:13">
      <c r="A2031" s="1">
        <f>HYPERLINK("http://www.twitter.com/NathanBLawrence/status/979795436260098048", "979795436260098048")</f>
        <v/>
      </c>
      <c r="B2031" s="2" t="n">
        <v>43189.79178240741</v>
      </c>
      <c r="C2031" t="n">
        <v>0</v>
      </c>
      <c r="D2031" t="n">
        <v>5505</v>
      </c>
      <c r="E2031" t="s">
        <v>2040</v>
      </c>
      <c r="F2031">
        <f>HYPERLINK("http://pbs.twimg.com/media/DZjgmWIW4AAasNe.jpg", "http://pbs.twimg.com/media/DZjgmWIW4AAasNe.jpg")</f>
        <v/>
      </c>
      <c r="G2031" t="s"/>
      <c r="H2031" t="s"/>
      <c r="I2031" t="s"/>
      <c r="J2031" t="n">
        <v>0.8016</v>
      </c>
      <c r="K2031" t="n">
        <v>0</v>
      </c>
      <c r="L2031" t="n">
        <v>0.703</v>
      </c>
      <c r="M2031" t="n">
        <v>0.297</v>
      </c>
    </row>
    <row r="2032" spans="1:13">
      <c r="A2032" s="1">
        <f>HYPERLINK("http://www.twitter.com/NathanBLawrence/status/979794482328625153", "979794482328625153")</f>
        <v/>
      </c>
      <c r="B2032" s="2" t="n">
        <v>43189.78914351852</v>
      </c>
      <c r="C2032" t="n">
        <v>0</v>
      </c>
      <c r="D2032" t="n">
        <v>373</v>
      </c>
      <c r="E2032" t="s">
        <v>2041</v>
      </c>
      <c r="F2032">
        <f>HYPERLINK("http://pbs.twimg.com/media/DZiohv3WkAIsMIz.png", "http://pbs.twimg.com/media/DZiohv3WkAIsMIz.png")</f>
        <v/>
      </c>
      <c r="G2032" t="s"/>
      <c r="H2032" t="s"/>
      <c r="I2032" t="s"/>
      <c r="J2032" t="n">
        <v>0.2732</v>
      </c>
      <c r="K2032" t="n">
        <v>0.123</v>
      </c>
      <c r="L2032" t="n">
        <v>0.672</v>
      </c>
      <c r="M2032" t="n">
        <v>0.206</v>
      </c>
    </row>
    <row r="2033" spans="1:13">
      <c r="A2033" s="1">
        <f>HYPERLINK("http://www.twitter.com/NathanBLawrence/status/979794361561989120", "979794361561989120")</f>
        <v/>
      </c>
      <c r="B2033" s="2" t="n">
        <v>43189.78881944445</v>
      </c>
      <c r="C2033" t="n">
        <v>0</v>
      </c>
      <c r="D2033" t="n">
        <v>9353</v>
      </c>
      <c r="E2033" t="s">
        <v>2042</v>
      </c>
      <c r="F2033">
        <f>HYPERLINK("https://video.twimg.com/amplify_video/979774529798012929/vid/1280x720/AyPTlP-CScBfj0vS.mp4", "https://video.twimg.com/amplify_video/979774529798012929/vid/1280x720/AyPTlP-CScBfj0vS.mp4")</f>
        <v/>
      </c>
      <c r="G2033" t="s"/>
      <c r="H2033" t="s"/>
      <c r="I2033" t="s"/>
      <c r="J2033" t="n">
        <v>0.6705</v>
      </c>
      <c r="K2033" t="n">
        <v>0</v>
      </c>
      <c r="L2033" t="n">
        <v>0.621</v>
      </c>
      <c r="M2033" t="n">
        <v>0.379</v>
      </c>
    </row>
    <row r="2034" spans="1:13">
      <c r="A2034" s="1">
        <f>HYPERLINK("http://www.twitter.com/NathanBLawrence/status/979792276237905922", "979792276237905922")</f>
        <v/>
      </c>
      <c r="B2034" s="2" t="n">
        <v>43189.78305555556</v>
      </c>
      <c r="C2034" t="n">
        <v>0</v>
      </c>
      <c r="D2034" t="n">
        <v>771</v>
      </c>
      <c r="E2034" t="s">
        <v>2043</v>
      </c>
      <c r="F2034">
        <f>HYPERLINK("http://pbs.twimg.com/media/DZiyJ35X0AAxnor.jpg", "http://pbs.twimg.com/media/DZiyJ35X0AAxnor.jpg")</f>
        <v/>
      </c>
      <c r="G2034" t="s"/>
      <c r="H2034" t="s"/>
      <c r="I2034" t="s"/>
      <c r="J2034" t="n">
        <v>-0.7184</v>
      </c>
      <c r="K2034" t="n">
        <v>0.226</v>
      </c>
      <c r="L2034" t="n">
        <v>0.73</v>
      </c>
      <c r="M2034" t="n">
        <v>0.044</v>
      </c>
    </row>
    <row r="2035" spans="1:13">
      <c r="A2035" s="1">
        <f>HYPERLINK("http://www.twitter.com/NathanBLawrence/status/979792166116446208", "979792166116446208")</f>
        <v/>
      </c>
      <c r="B2035" s="2" t="n">
        <v>43189.78275462963</v>
      </c>
      <c r="C2035" t="n">
        <v>0</v>
      </c>
      <c r="D2035" t="n">
        <v>1546</v>
      </c>
      <c r="E2035" t="s">
        <v>2044</v>
      </c>
      <c r="F2035">
        <f>HYPERLINK("http://pbs.twimg.com/media/DZjPt3gUMAEEYlR.jpg", "http://pbs.twimg.com/media/DZjPt3gUMAEEYlR.jpg")</f>
        <v/>
      </c>
      <c r="G2035" t="s"/>
      <c r="H2035" t="s"/>
      <c r="I2035" t="s"/>
      <c r="J2035" t="n">
        <v>0.4404</v>
      </c>
      <c r="K2035" t="n">
        <v>0</v>
      </c>
      <c r="L2035" t="n">
        <v>0.828</v>
      </c>
      <c r="M2035" t="n">
        <v>0.172</v>
      </c>
    </row>
    <row r="2036" spans="1:13">
      <c r="A2036" s="1">
        <f>HYPERLINK("http://www.twitter.com/NathanBLawrence/status/979791013446279168", "979791013446279168")</f>
        <v/>
      </c>
      <c r="B2036" s="2" t="n">
        <v>43189.77957175926</v>
      </c>
      <c r="C2036" t="n">
        <v>0</v>
      </c>
      <c r="D2036" t="n">
        <v>169</v>
      </c>
      <c r="E2036" t="s">
        <v>2045</v>
      </c>
      <c r="F2036" t="s"/>
      <c r="G2036" t="s"/>
      <c r="H2036" t="s"/>
      <c r="I2036" t="s"/>
      <c r="J2036" t="n">
        <v>0.627</v>
      </c>
      <c r="K2036" t="n">
        <v>0</v>
      </c>
      <c r="L2036" t="n">
        <v>0.829</v>
      </c>
      <c r="M2036" t="n">
        <v>0.171</v>
      </c>
    </row>
    <row r="2037" spans="1:13">
      <c r="A2037" s="1">
        <f>HYPERLINK("http://www.twitter.com/NathanBLawrence/status/979790650697633794", "979790650697633794")</f>
        <v/>
      </c>
      <c r="B2037" s="2" t="n">
        <v>43189.77857638889</v>
      </c>
      <c r="C2037" t="n">
        <v>0</v>
      </c>
      <c r="D2037" t="n">
        <v>10</v>
      </c>
      <c r="E2037" t="s">
        <v>2046</v>
      </c>
      <c r="F2037">
        <f>HYPERLINK("http://pbs.twimg.com/media/DZjLMJnUQAADKuN.jpg", "http://pbs.twimg.com/media/DZjLMJnUQAADKuN.jpg")</f>
        <v/>
      </c>
      <c r="G2037" t="s"/>
      <c r="H2037" t="s"/>
      <c r="I2037" t="s"/>
      <c r="J2037" t="n">
        <v>-0.4981</v>
      </c>
      <c r="K2037" t="n">
        <v>0.139</v>
      </c>
      <c r="L2037" t="n">
        <v>0.861</v>
      </c>
      <c r="M2037" t="n">
        <v>0</v>
      </c>
    </row>
    <row r="2038" spans="1:13">
      <c r="A2038" s="1">
        <f>HYPERLINK("http://www.twitter.com/NathanBLawrence/status/979790565691637765", "979790565691637765")</f>
        <v/>
      </c>
      <c r="B2038" s="2" t="n">
        <v>43189.7783449074</v>
      </c>
      <c r="C2038" t="n">
        <v>0</v>
      </c>
      <c r="D2038" t="n">
        <v>2586</v>
      </c>
      <c r="E2038" t="s">
        <v>2047</v>
      </c>
      <c r="F2038">
        <f>HYPERLINK("https://video.twimg.com/ext_tw_video/979759187642241024/pu/vid/480x480/86KTQsC75MGHNjXR.mp4", "https://video.twimg.com/ext_tw_video/979759187642241024/pu/vid/480x480/86KTQsC75MGHNjXR.mp4")</f>
        <v/>
      </c>
      <c r="G2038" t="s"/>
      <c r="H2038" t="s"/>
      <c r="I2038" t="s"/>
      <c r="J2038" t="n">
        <v>-0.6322</v>
      </c>
      <c r="K2038" t="n">
        <v>0.197</v>
      </c>
      <c r="L2038" t="n">
        <v>0.803</v>
      </c>
      <c r="M2038" t="n">
        <v>0</v>
      </c>
    </row>
    <row r="2039" spans="1:13">
      <c r="A2039" s="1">
        <f>HYPERLINK("http://www.twitter.com/NathanBLawrence/status/979670599806013440", "979670599806013440")</f>
        <v/>
      </c>
      <c r="B2039" s="2" t="n">
        <v>43189.44730324074</v>
      </c>
      <c r="C2039" t="n">
        <v>0</v>
      </c>
      <c r="D2039" t="n">
        <v>690</v>
      </c>
      <c r="E2039" t="s">
        <v>2048</v>
      </c>
      <c r="F2039">
        <f>HYPERLINK("http://pbs.twimg.com/media/DZfbihRX4AA5lmR.jpg", "http://pbs.twimg.com/media/DZfbihRX4AA5lmR.jpg")</f>
        <v/>
      </c>
      <c r="G2039" t="s"/>
      <c r="H2039" t="s"/>
      <c r="I2039" t="s"/>
      <c r="J2039" t="n">
        <v>-0.5423</v>
      </c>
      <c r="K2039" t="n">
        <v>0.391</v>
      </c>
      <c r="L2039" t="n">
        <v>0.435</v>
      </c>
      <c r="M2039" t="n">
        <v>0.174</v>
      </c>
    </row>
    <row r="2040" spans="1:13">
      <c r="A2040" s="1">
        <f>HYPERLINK("http://www.twitter.com/NathanBLawrence/status/979670291889532930", "979670291889532930")</f>
        <v/>
      </c>
      <c r="B2040" s="2" t="n">
        <v>43189.44644675926</v>
      </c>
      <c r="C2040" t="n">
        <v>0</v>
      </c>
      <c r="D2040" t="n">
        <v>304</v>
      </c>
      <c r="E2040" t="s">
        <v>2049</v>
      </c>
      <c r="F2040">
        <f>HYPERLINK("https://video.twimg.com/ext_tw_video/979653117225590784/pu/vid/1280x720/Fn0YM4pMupoWxFI2.mp4", "https://video.twimg.com/ext_tw_video/979653117225590784/pu/vid/1280x720/Fn0YM4pMupoWxFI2.mp4")</f>
        <v/>
      </c>
      <c r="G2040" t="s"/>
      <c r="H2040" t="s"/>
      <c r="I2040" t="s"/>
      <c r="J2040" t="n">
        <v>0.1027</v>
      </c>
      <c r="K2040" t="n">
        <v>0.204</v>
      </c>
      <c r="L2040" t="n">
        <v>0.556</v>
      </c>
      <c r="M2040" t="n">
        <v>0.241</v>
      </c>
    </row>
    <row r="2041" spans="1:13">
      <c r="A2041" s="1">
        <f>HYPERLINK("http://www.twitter.com/NathanBLawrence/status/979670126113964035", "979670126113964035")</f>
        <v/>
      </c>
      <c r="B2041" s="2" t="n">
        <v>43189.44599537037</v>
      </c>
      <c r="C2041" t="n">
        <v>0</v>
      </c>
      <c r="D2041" t="n">
        <v>295</v>
      </c>
      <c r="E2041" t="s">
        <v>2050</v>
      </c>
      <c r="F2041">
        <f>HYPERLINK("http://pbs.twimg.com/media/DZehcleWsAIoRum.jpg", "http://pbs.twimg.com/media/DZehcleWsAIoRum.jpg")</f>
        <v/>
      </c>
      <c r="G2041" t="s"/>
      <c r="H2041" t="s"/>
      <c r="I2041" t="s"/>
      <c r="J2041" t="n">
        <v>-0.6671</v>
      </c>
      <c r="K2041" t="n">
        <v>0.208</v>
      </c>
      <c r="L2041" t="n">
        <v>0.792</v>
      </c>
      <c r="M2041" t="n">
        <v>0</v>
      </c>
    </row>
    <row r="2042" spans="1:13">
      <c r="A2042" s="1">
        <f>HYPERLINK("http://www.twitter.com/NathanBLawrence/status/979670067771097088", "979670067771097088")</f>
        <v/>
      </c>
      <c r="B2042" s="2" t="n">
        <v>43189.44583333333</v>
      </c>
      <c r="C2042" t="n">
        <v>0</v>
      </c>
      <c r="D2042" t="n">
        <v>737</v>
      </c>
      <c r="E2042" t="s">
        <v>2051</v>
      </c>
      <c r="F2042">
        <f>HYPERLINK("http://pbs.twimg.com/media/DZfyrdaVwAAatcL.jpg", "http://pbs.twimg.com/media/DZfyrdaVwAAatcL.jpg")</f>
        <v/>
      </c>
      <c r="G2042" t="s"/>
      <c r="H2042" t="s"/>
      <c r="I2042" t="s"/>
      <c r="J2042" t="n">
        <v>0.8748</v>
      </c>
      <c r="K2042" t="n">
        <v>0</v>
      </c>
      <c r="L2042" t="n">
        <v>0.643</v>
      </c>
      <c r="M2042" t="n">
        <v>0.357</v>
      </c>
    </row>
    <row r="2043" spans="1:13">
      <c r="A2043" s="1">
        <f>HYPERLINK("http://www.twitter.com/NathanBLawrence/status/979669618200494080", "979669618200494080")</f>
        <v/>
      </c>
      <c r="B2043" s="2" t="n">
        <v>43189.44459490741</v>
      </c>
      <c r="C2043" t="n">
        <v>0</v>
      </c>
      <c r="D2043" t="n">
        <v>6</v>
      </c>
      <c r="E2043" t="s">
        <v>2052</v>
      </c>
      <c r="F2043" t="s"/>
      <c r="G2043" t="s"/>
      <c r="H2043" t="s"/>
      <c r="I2043" t="s"/>
      <c r="J2043" t="n">
        <v>0</v>
      </c>
      <c r="K2043" t="n">
        <v>0</v>
      </c>
      <c r="L2043" t="n">
        <v>1</v>
      </c>
      <c r="M2043" t="n">
        <v>0</v>
      </c>
    </row>
    <row r="2044" spans="1:13">
      <c r="A2044" s="1">
        <f>HYPERLINK("http://www.twitter.com/NathanBLawrence/status/979669447324545026", "979669447324545026")</f>
        <v/>
      </c>
      <c r="B2044" s="2" t="n">
        <v>43189.44412037037</v>
      </c>
      <c r="C2044" t="n">
        <v>0</v>
      </c>
      <c r="D2044" t="n">
        <v>2</v>
      </c>
      <c r="E2044" t="s">
        <v>2053</v>
      </c>
      <c r="F2044" t="s"/>
      <c r="G2044" t="s"/>
      <c r="H2044" t="s"/>
      <c r="I2044" t="s"/>
      <c r="J2044" t="n">
        <v>0.4574</v>
      </c>
      <c r="K2044" t="n">
        <v>0</v>
      </c>
      <c r="L2044" t="n">
        <v>0.85</v>
      </c>
      <c r="M2044" t="n">
        <v>0.15</v>
      </c>
    </row>
    <row r="2045" spans="1:13">
      <c r="A2045" s="1">
        <f>HYPERLINK("http://www.twitter.com/NathanBLawrence/status/979668797320605696", "979668797320605696")</f>
        <v/>
      </c>
      <c r="B2045" s="2" t="n">
        <v>43189.44232638889</v>
      </c>
      <c r="C2045" t="n">
        <v>0</v>
      </c>
      <c r="D2045" t="n">
        <v>6</v>
      </c>
      <c r="E2045" t="s">
        <v>2054</v>
      </c>
      <c r="F2045" t="s"/>
      <c r="G2045" t="s"/>
      <c r="H2045" t="s"/>
      <c r="I2045" t="s"/>
      <c r="J2045" t="n">
        <v>0</v>
      </c>
      <c r="K2045" t="n">
        <v>0</v>
      </c>
      <c r="L2045" t="n">
        <v>1</v>
      </c>
      <c r="M2045" t="n">
        <v>0</v>
      </c>
    </row>
    <row r="2046" spans="1:13">
      <c r="A2046" s="1">
        <f>HYPERLINK("http://www.twitter.com/NathanBLawrence/status/979668701745004544", "979668701745004544")</f>
        <v/>
      </c>
      <c r="B2046" s="2" t="n">
        <v>43189.44206018518</v>
      </c>
      <c r="C2046" t="n">
        <v>0</v>
      </c>
      <c r="D2046" t="n">
        <v>21</v>
      </c>
      <c r="E2046" t="s">
        <v>2055</v>
      </c>
      <c r="F2046">
        <f>HYPERLINK("http://pbs.twimg.com/media/DZh5FAZVwAAnUMi.jpg", "http://pbs.twimg.com/media/DZh5FAZVwAAnUMi.jpg")</f>
        <v/>
      </c>
      <c r="G2046" t="s"/>
      <c r="H2046" t="s"/>
      <c r="I2046" t="s"/>
      <c r="J2046" t="n">
        <v>-0.34</v>
      </c>
      <c r="K2046" t="n">
        <v>0.107</v>
      </c>
      <c r="L2046" t="n">
        <v>0.893</v>
      </c>
      <c r="M2046" t="n">
        <v>0</v>
      </c>
    </row>
    <row r="2047" spans="1:13">
      <c r="A2047" s="1">
        <f>HYPERLINK("http://www.twitter.com/NathanBLawrence/status/979653512857448449", "979653512857448449")</f>
        <v/>
      </c>
      <c r="B2047" s="2" t="n">
        <v>43189.40015046296</v>
      </c>
      <c r="C2047" t="n">
        <v>4</v>
      </c>
      <c r="D2047" t="n">
        <v>2</v>
      </c>
      <c r="E2047" t="s">
        <v>2056</v>
      </c>
      <c r="F2047" t="s"/>
      <c r="G2047" t="s"/>
      <c r="H2047" t="s"/>
      <c r="I2047" t="s"/>
      <c r="J2047" t="n">
        <v>0.6249</v>
      </c>
      <c r="K2047" t="n">
        <v>0</v>
      </c>
      <c r="L2047" t="n">
        <v>0.423</v>
      </c>
      <c r="M2047" t="n">
        <v>0.577</v>
      </c>
    </row>
    <row r="2048" spans="1:13">
      <c r="A2048" s="1">
        <f>HYPERLINK("http://www.twitter.com/NathanBLawrence/status/979639843239034880", "979639843239034880")</f>
        <v/>
      </c>
      <c r="B2048" s="2" t="n">
        <v>43189.36243055556</v>
      </c>
      <c r="C2048" t="n">
        <v>5</v>
      </c>
      <c r="D2048" t="n">
        <v>0</v>
      </c>
      <c r="E2048" t="s">
        <v>2057</v>
      </c>
      <c r="F2048" t="s"/>
      <c r="G2048" t="s"/>
      <c r="H2048" t="s"/>
      <c r="I2048" t="s"/>
      <c r="J2048" t="n">
        <v>0</v>
      </c>
      <c r="K2048" t="n">
        <v>0</v>
      </c>
      <c r="L2048" t="n">
        <v>1</v>
      </c>
      <c r="M2048" t="n">
        <v>0</v>
      </c>
    </row>
    <row r="2049" spans="1:13">
      <c r="A2049" s="1">
        <f>HYPERLINK("http://www.twitter.com/NathanBLawrence/status/979639411649343488", "979639411649343488")</f>
        <v/>
      </c>
      <c r="B2049" s="2" t="n">
        <v>43189.36123842592</v>
      </c>
      <c r="C2049" t="n">
        <v>0</v>
      </c>
      <c r="D2049" t="n">
        <v>659</v>
      </c>
      <c r="E2049" t="s">
        <v>2058</v>
      </c>
      <c r="F2049">
        <f>HYPERLINK("http://pbs.twimg.com/media/DZckHsqVQAA5jjg.jpg", "http://pbs.twimg.com/media/DZckHsqVQAA5jjg.jpg")</f>
        <v/>
      </c>
      <c r="G2049" t="s"/>
      <c r="H2049" t="s"/>
      <c r="I2049" t="s"/>
      <c r="J2049" t="n">
        <v>0</v>
      </c>
      <c r="K2049" t="n">
        <v>0</v>
      </c>
      <c r="L2049" t="n">
        <v>1</v>
      </c>
      <c r="M2049" t="n">
        <v>0</v>
      </c>
    </row>
    <row r="2050" spans="1:13">
      <c r="A2050" s="1">
        <f>HYPERLINK("http://www.twitter.com/NathanBLawrence/status/979633855983333376", "979633855983333376")</f>
        <v/>
      </c>
      <c r="B2050" s="2" t="n">
        <v>43189.34590277778</v>
      </c>
      <c r="C2050" t="n">
        <v>4</v>
      </c>
      <c r="D2050" t="n">
        <v>2</v>
      </c>
      <c r="E2050" t="s">
        <v>2059</v>
      </c>
      <c r="F2050" t="s"/>
      <c r="G2050" t="s"/>
      <c r="H2050" t="s"/>
      <c r="I2050" t="s"/>
      <c r="J2050" t="n">
        <v>0</v>
      </c>
      <c r="K2050" t="n">
        <v>0</v>
      </c>
      <c r="L2050" t="n">
        <v>1</v>
      </c>
      <c r="M2050" t="n">
        <v>0</v>
      </c>
    </row>
    <row r="2051" spans="1:13">
      <c r="A2051" s="1">
        <f>HYPERLINK("http://www.twitter.com/NathanBLawrence/status/979633676286803968", "979633676286803968")</f>
        <v/>
      </c>
      <c r="B2051" s="2" t="n">
        <v>43189.34540509259</v>
      </c>
      <c r="C2051" t="n">
        <v>1</v>
      </c>
      <c r="D2051" t="n">
        <v>1</v>
      </c>
      <c r="E2051" t="s">
        <v>2060</v>
      </c>
      <c r="F2051" t="s"/>
      <c r="G2051" t="s"/>
      <c r="H2051" t="s"/>
      <c r="I2051" t="s"/>
      <c r="J2051" t="n">
        <v>0</v>
      </c>
      <c r="K2051" t="n">
        <v>0</v>
      </c>
      <c r="L2051" t="n">
        <v>1</v>
      </c>
      <c r="M2051" t="n">
        <v>0</v>
      </c>
    </row>
    <row r="2052" spans="1:13">
      <c r="A2052" s="1">
        <f>HYPERLINK("http://www.twitter.com/NathanBLawrence/status/979633512247525376", "979633512247525376")</f>
        <v/>
      </c>
      <c r="B2052" s="2" t="n">
        <v>43189.3449537037</v>
      </c>
      <c r="C2052" t="n">
        <v>1</v>
      </c>
      <c r="D2052" t="n">
        <v>0</v>
      </c>
      <c r="E2052" t="s">
        <v>2061</v>
      </c>
      <c r="F2052" t="s"/>
      <c r="G2052" t="s"/>
      <c r="H2052" t="s"/>
      <c r="I2052" t="s"/>
      <c r="J2052" t="n">
        <v>0</v>
      </c>
      <c r="K2052" t="n">
        <v>0</v>
      </c>
      <c r="L2052" t="n">
        <v>1</v>
      </c>
      <c r="M2052" t="n">
        <v>0</v>
      </c>
    </row>
    <row r="2053" spans="1:13">
      <c r="A2053" s="1">
        <f>HYPERLINK("http://www.twitter.com/NathanBLawrence/status/979633173477736448", "979633173477736448")</f>
        <v/>
      </c>
      <c r="B2053" s="2" t="n">
        <v>43189.3440162037</v>
      </c>
      <c r="C2053" t="n">
        <v>1</v>
      </c>
      <c r="D2053" t="n">
        <v>0</v>
      </c>
      <c r="E2053" t="s">
        <v>2062</v>
      </c>
      <c r="F2053" t="s"/>
      <c r="G2053" t="s"/>
      <c r="H2053" t="s"/>
      <c r="I2053" t="s"/>
      <c r="J2053" t="n">
        <v>0.5574</v>
      </c>
      <c r="K2053" t="n">
        <v>0</v>
      </c>
      <c r="L2053" t="n">
        <v>0.357</v>
      </c>
      <c r="M2053" t="n">
        <v>0.643</v>
      </c>
    </row>
    <row r="2054" spans="1:13">
      <c r="A2054" s="1">
        <f>HYPERLINK("http://www.twitter.com/NathanBLawrence/status/979632939674710016", "979632939674710016")</f>
        <v/>
      </c>
      <c r="B2054" s="2" t="n">
        <v>43189.34337962963</v>
      </c>
      <c r="C2054" t="n">
        <v>1</v>
      </c>
      <c r="D2054" t="n">
        <v>0</v>
      </c>
      <c r="E2054" t="s">
        <v>2063</v>
      </c>
      <c r="F2054" t="s"/>
      <c r="G2054" t="s"/>
      <c r="H2054" t="s"/>
      <c r="I2054" t="s"/>
      <c r="J2054" t="n">
        <v>0</v>
      </c>
      <c r="K2054" t="n">
        <v>0</v>
      </c>
      <c r="L2054" t="n">
        <v>1</v>
      </c>
      <c r="M2054" t="n">
        <v>0</v>
      </c>
    </row>
    <row r="2055" spans="1:13">
      <c r="A2055" s="1">
        <f>HYPERLINK("http://www.twitter.com/NathanBLawrence/status/979632806098710529", "979632806098710529")</f>
        <v/>
      </c>
      <c r="B2055" s="2" t="n">
        <v>43189.34300925926</v>
      </c>
      <c r="C2055" t="n">
        <v>1</v>
      </c>
      <c r="D2055" t="n">
        <v>0</v>
      </c>
      <c r="E2055" t="s">
        <v>2064</v>
      </c>
      <c r="F2055" t="s"/>
      <c r="G2055" t="s"/>
      <c r="H2055" t="s"/>
      <c r="I2055" t="s"/>
      <c r="J2055" t="n">
        <v>0</v>
      </c>
      <c r="K2055" t="n">
        <v>0</v>
      </c>
      <c r="L2055" t="n">
        <v>1</v>
      </c>
      <c r="M2055" t="n">
        <v>0</v>
      </c>
    </row>
    <row r="2056" spans="1:13">
      <c r="A2056" s="1">
        <f>HYPERLINK("http://www.twitter.com/NathanBLawrence/status/979632450849554433", "979632450849554433")</f>
        <v/>
      </c>
      <c r="B2056" s="2" t="n">
        <v>43189.34202546296</v>
      </c>
      <c r="C2056" t="n">
        <v>0</v>
      </c>
      <c r="D2056" t="n">
        <v>3</v>
      </c>
      <c r="E2056" t="s">
        <v>2065</v>
      </c>
      <c r="F2056">
        <f>HYPERLINK("http://pbs.twimg.com/media/DZhaVpOVAAAzsFa.jpg", "http://pbs.twimg.com/media/DZhaVpOVAAAzsFa.jpg")</f>
        <v/>
      </c>
      <c r="G2056" t="s"/>
      <c r="H2056" t="s"/>
      <c r="I2056" t="s"/>
      <c r="J2056" t="n">
        <v>-0.6486</v>
      </c>
      <c r="K2056" t="n">
        <v>0.235</v>
      </c>
      <c r="L2056" t="n">
        <v>0.765</v>
      </c>
      <c r="M2056" t="n">
        <v>0</v>
      </c>
    </row>
    <row r="2057" spans="1:13">
      <c r="A2057" s="1">
        <f>HYPERLINK("http://www.twitter.com/NathanBLawrence/status/979632256951009281", "979632256951009281")</f>
        <v/>
      </c>
      <c r="B2057" s="2" t="n">
        <v>43189.34149305556</v>
      </c>
      <c r="C2057" t="n">
        <v>0</v>
      </c>
      <c r="D2057" t="n">
        <v>33</v>
      </c>
      <c r="E2057" t="s">
        <v>2066</v>
      </c>
      <c r="F2057">
        <f>HYPERLINK("http://pbs.twimg.com/media/DZhEzFMVMAA19ng.jpg", "http://pbs.twimg.com/media/DZhEzFMVMAA19ng.jpg")</f>
        <v/>
      </c>
      <c r="G2057" t="s"/>
      <c r="H2057" t="s"/>
      <c r="I2057" t="s"/>
      <c r="J2057" t="n">
        <v>0</v>
      </c>
      <c r="K2057" t="n">
        <v>0</v>
      </c>
      <c r="L2057" t="n">
        <v>1</v>
      </c>
      <c r="M2057" t="n">
        <v>0</v>
      </c>
    </row>
    <row r="2058" spans="1:13">
      <c r="A2058" s="1">
        <f>HYPERLINK("http://www.twitter.com/NathanBLawrence/status/979631721430753280", "979631721430753280")</f>
        <v/>
      </c>
      <c r="B2058" s="2" t="n">
        <v>43189.34001157407</v>
      </c>
      <c r="C2058" t="n">
        <v>0</v>
      </c>
      <c r="D2058" t="n">
        <v>7</v>
      </c>
      <c r="E2058" t="s">
        <v>2067</v>
      </c>
      <c r="F2058">
        <f>HYPERLINK("http://pbs.twimg.com/media/DZhY46sVQAExaXW.jpg", "http://pbs.twimg.com/media/DZhY46sVQAExaXW.jpg")</f>
        <v/>
      </c>
      <c r="G2058" t="s"/>
      <c r="H2058" t="s"/>
      <c r="I2058" t="s"/>
      <c r="J2058" t="n">
        <v>0.6049</v>
      </c>
      <c r="K2058" t="n">
        <v>0.089</v>
      </c>
      <c r="L2058" t="n">
        <v>0.668</v>
      </c>
      <c r="M2058" t="n">
        <v>0.244</v>
      </c>
    </row>
    <row r="2059" spans="1:13">
      <c r="A2059" s="1">
        <f>HYPERLINK("http://www.twitter.com/NathanBLawrence/status/979631563020185600", "979631563020185600")</f>
        <v/>
      </c>
      <c r="B2059" s="2" t="n">
        <v>43189.33957175926</v>
      </c>
      <c r="C2059" t="n">
        <v>0</v>
      </c>
      <c r="D2059" t="n">
        <v>13</v>
      </c>
      <c r="E2059" t="s">
        <v>2068</v>
      </c>
      <c r="F2059">
        <f>HYPERLINK("http://pbs.twimg.com/media/DZdmmRmXcAEo7c_.jpg", "http://pbs.twimg.com/media/DZdmmRmXcAEo7c_.jpg")</f>
        <v/>
      </c>
      <c r="G2059" t="s"/>
      <c r="H2059" t="s"/>
      <c r="I2059" t="s"/>
      <c r="J2059" t="n">
        <v>0.7592</v>
      </c>
      <c r="K2059" t="n">
        <v>0</v>
      </c>
      <c r="L2059" t="n">
        <v>0.5590000000000001</v>
      </c>
      <c r="M2059" t="n">
        <v>0.441</v>
      </c>
    </row>
    <row r="2060" spans="1:13">
      <c r="A2060" s="1">
        <f>HYPERLINK("http://www.twitter.com/NathanBLawrence/status/979631538848415745", "979631538848415745")</f>
        <v/>
      </c>
      <c r="B2060" s="2" t="n">
        <v>43189.33951388889</v>
      </c>
      <c r="C2060" t="n">
        <v>0</v>
      </c>
      <c r="D2060" t="n">
        <v>159</v>
      </c>
      <c r="E2060" t="s">
        <v>2069</v>
      </c>
      <c r="F2060">
        <f>HYPERLINK("http://pbs.twimg.com/media/DZgMdd-WAAEPPMd.jpg", "http://pbs.twimg.com/media/DZgMdd-WAAEPPMd.jpg")</f>
        <v/>
      </c>
      <c r="G2060" t="s"/>
      <c r="H2060" t="s"/>
      <c r="I2060" t="s"/>
      <c r="J2060" t="n">
        <v>0</v>
      </c>
      <c r="K2060" t="n">
        <v>0</v>
      </c>
      <c r="L2060" t="n">
        <v>1</v>
      </c>
      <c r="M2060" t="n">
        <v>0</v>
      </c>
    </row>
    <row r="2061" spans="1:13">
      <c r="A2061" s="1">
        <f>HYPERLINK("http://www.twitter.com/NathanBLawrence/status/979631092687716352", "979631092687716352")</f>
        <v/>
      </c>
      <c r="B2061" s="2" t="n">
        <v>43189.33827546296</v>
      </c>
      <c r="C2061" t="n">
        <v>0</v>
      </c>
      <c r="D2061" t="n">
        <v>320</v>
      </c>
      <c r="E2061" t="s">
        <v>2070</v>
      </c>
      <c r="F2061" t="s"/>
      <c r="G2061" t="s"/>
      <c r="H2061" t="s"/>
      <c r="I2061" t="s"/>
      <c r="J2061" t="n">
        <v>0</v>
      </c>
      <c r="K2061" t="n">
        <v>0</v>
      </c>
      <c r="L2061" t="n">
        <v>1</v>
      </c>
      <c r="M2061" t="n">
        <v>0</v>
      </c>
    </row>
    <row r="2062" spans="1:13">
      <c r="A2062" s="1">
        <f>HYPERLINK("http://www.twitter.com/NathanBLawrence/status/979627508764061697", "979627508764061697")</f>
        <v/>
      </c>
      <c r="B2062" s="2" t="n">
        <v>43189.3283912037</v>
      </c>
      <c r="C2062" t="n">
        <v>0</v>
      </c>
      <c r="D2062" t="n">
        <v>2</v>
      </c>
      <c r="E2062" t="s">
        <v>2071</v>
      </c>
      <c r="F2062">
        <f>HYPERLINK("http://pbs.twimg.com/media/DZhVInsVMAEn58G.jpg", "http://pbs.twimg.com/media/DZhVInsVMAEn58G.jpg")</f>
        <v/>
      </c>
      <c r="G2062" t="s"/>
      <c r="H2062" t="s"/>
      <c r="I2062" t="s"/>
      <c r="J2062" t="n">
        <v>0.6696</v>
      </c>
      <c r="K2062" t="n">
        <v>0</v>
      </c>
      <c r="L2062" t="n">
        <v>0.609</v>
      </c>
      <c r="M2062" t="n">
        <v>0.391</v>
      </c>
    </row>
    <row r="2063" spans="1:13">
      <c r="A2063" s="1">
        <f>HYPERLINK("http://www.twitter.com/NathanBLawrence/status/979627382343589888", "979627382343589888")</f>
        <v/>
      </c>
      <c r="B2063" s="2" t="n">
        <v>43189.32804398148</v>
      </c>
      <c r="C2063" t="n">
        <v>0</v>
      </c>
      <c r="D2063" t="n">
        <v>285</v>
      </c>
      <c r="E2063" t="s">
        <v>2072</v>
      </c>
      <c r="F2063">
        <f>HYPERLINK("http://pbs.twimg.com/media/DZf_8lUXkAAGNI_.jpg", "http://pbs.twimg.com/media/DZf_8lUXkAAGNI_.jpg")</f>
        <v/>
      </c>
      <c r="G2063" t="s"/>
      <c r="H2063" t="s"/>
      <c r="I2063" t="s"/>
      <c r="J2063" t="n">
        <v>-0.6249</v>
      </c>
      <c r="K2063" t="n">
        <v>0.204</v>
      </c>
      <c r="L2063" t="n">
        <v>0.796</v>
      </c>
      <c r="M2063" t="n">
        <v>0</v>
      </c>
    </row>
    <row r="2064" spans="1:13">
      <c r="A2064" s="1">
        <f>HYPERLINK("http://www.twitter.com/NathanBLawrence/status/979626375739990016", "979626375739990016")</f>
        <v/>
      </c>
      <c r="B2064" s="2" t="n">
        <v>43189.3252662037</v>
      </c>
      <c r="C2064" t="n">
        <v>0</v>
      </c>
      <c r="D2064" t="n">
        <v>49</v>
      </c>
      <c r="E2064" t="s">
        <v>2073</v>
      </c>
      <c r="F2064">
        <f>HYPERLINK("http://pbs.twimg.com/media/DZgJi6OVwAA-e70.jpg", "http://pbs.twimg.com/media/DZgJi6OVwAA-e70.jpg")</f>
        <v/>
      </c>
      <c r="G2064" t="s"/>
      <c r="H2064" t="s"/>
      <c r="I2064" t="s"/>
      <c r="J2064" t="n">
        <v>0.6249</v>
      </c>
      <c r="K2064" t="n">
        <v>0</v>
      </c>
      <c r="L2064" t="n">
        <v>0.806</v>
      </c>
      <c r="M2064" t="n">
        <v>0.194</v>
      </c>
    </row>
    <row r="2065" spans="1:13">
      <c r="A2065" s="1">
        <f>HYPERLINK("http://www.twitter.com/NathanBLawrence/status/979626243938181120", "979626243938181120")</f>
        <v/>
      </c>
      <c r="B2065" s="2" t="n">
        <v>43189.32489583334</v>
      </c>
      <c r="C2065" t="n">
        <v>0</v>
      </c>
      <c r="D2065" t="n">
        <v>2070</v>
      </c>
      <c r="E2065" t="s">
        <v>2074</v>
      </c>
      <c r="F2065">
        <f>HYPERLINK("https://video.twimg.com/ext_tw_video/979488075335307265/pu/vid/640x360/8M4C62JaGuF0dy7b.mp4", "https://video.twimg.com/ext_tw_video/979488075335307265/pu/vid/640x360/8M4C62JaGuF0dy7b.mp4")</f>
        <v/>
      </c>
      <c r="G2065" t="s"/>
      <c r="H2065" t="s"/>
      <c r="I2065" t="s"/>
      <c r="J2065" t="n">
        <v>0</v>
      </c>
      <c r="K2065" t="n">
        <v>0</v>
      </c>
      <c r="L2065" t="n">
        <v>1</v>
      </c>
      <c r="M2065" t="n">
        <v>0</v>
      </c>
    </row>
    <row r="2066" spans="1:13">
      <c r="A2066" s="1">
        <f>HYPERLINK("http://www.twitter.com/NathanBLawrence/status/979625983094398977", "979625983094398977")</f>
        <v/>
      </c>
      <c r="B2066" s="2" t="n">
        <v>43189.32417824074</v>
      </c>
      <c r="C2066" t="n">
        <v>3</v>
      </c>
      <c r="D2066" t="n">
        <v>0</v>
      </c>
      <c r="E2066" t="s">
        <v>2075</v>
      </c>
      <c r="F2066" t="s"/>
      <c r="G2066" t="s"/>
      <c r="H2066" t="s"/>
      <c r="I2066" t="s"/>
      <c r="J2066" t="n">
        <v>-0.6739000000000001</v>
      </c>
      <c r="K2066" t="n">
        <v>0.531</v>
      </c>
      <c r="L2066" t="n">
        <v>0.469</v>
      </c>
      <c r="M2066" t="n">
        <v>0</v>
      </c>
    </row>
    <row r="2067" spans="1:13">
      <c r="A2067" s="1">
        <f>HYPERLINK("http://www.twitter.com/NathanBLawrence/status/979625210973323264", "979625210973323264")</f>
        <v/>
      </c>
      <c r="B2067" s="2" t="n">
        <v>43189.32204861111</v>
      </c>
      <c r="C2067" t="n">
        <v>0</v>
      </c>
      <c r="D2067" t="n">
        <v>2185</v>
      </c>
      <c r="E2067" t="s">
        <v>2076</v>
      </c>
      <c r="F2067">
        <f>HYPERLINK("http://pbs.twimg.com/media/DZgZUnKX4AIjyuC.jpg", "http://pbs.twimg.com/media/DZgZUnKX4AIjyuC.jpg")</f>
        <v/>
      </c>
      <c r="G2067" t="s"/>
      <c r="H2067" t="s"/>
      <c r="I2067" t="s"/>
      <c r="J2067" t="n">
        <v>0</v>
      </c>
      <c r="K2067" t="n">
        <v>0</v>
      </c>
      <c r="L2067" t="n">
        <v>1</v>
      </c>
      <c r="M2067" t="n">
        <v>0</v>
      </c>
    </row>
    <row r="2068" spans="1:13">
      <c r="A2068" s="1">
        <f>HYPERLINK("http://www.twitter.com/NathanBLawrence/status/979625114315575296", "979625114315575296")</f>
        <v/>
      </c>
      <c r="B2068" s="2" t="n">
        <v>43189.32178240741</v>
      </c>
      <c r="C2068" t="n">
        <v>0</v>
      </c>
      <c r="D2068" t="n">
        <v>2489</v>
      </c>
      <c r="E2068" t="s">
        <v>2077</v>
      </c>
      <c r="F2068">
        <f>HYPERLINK("http://pbs.twimg.com/media/DZgF45mV4AAMk8Y.jpg", "http://pbs.twimg.com/media/DZgF45mV4AAMk8Y.jpg")</f>
        <v/>
      </c>
      <c r="G2068" t="s"/>
      <c r="H2068" t="s"/>
      <c r="I2068" t="s"/>
      <c r="J2068" t="n">
        <v>-0.7351</v>
      </c>
      <c r="K2068" t="n">
        <v>0.286</v>
      </c>
      <c r="L2068" t="n">
        <v>0.59</v>
      </c>
      <c r="M2068" t="n">
        <v>0.124</v>
      </c>
    </row>
    <row r="2069" spans="1:13">
      <c r="A2069" s="1">
        <f>HYPERLINK("http://www.twitter.com/NathanBLawrence/status/979624991003045889", "979624991003045889")</f>
        <v/>
      </c>
      <c r="B2069" s="2" t="n">
        <v>43189.32144675926</v>
      </c>
      <c r="C2069" t="n">
        <v>0</v>
      </c>
      <c r="D2069" t="n">
        <v>177</v>
      </c>
      <c r="E2069" t="s">
        <v>2078</v>
      </c>
      <c r="F2069">
        <f>HYPERLINK("http://pbs.twimg.com/media/DZgHK2BW0AA0pkU.jpg", "http://pbs.twimg.com/media/DZgHK2BW0AA0pkU.jpg")</f>
        <v/>
      </c>
      <c r="G2069" t="s"/>
      <c r="H2069" t="s"/>
      <c r="I2069" t="s"/>
      <c r="J2069" t="n">
        <v>0</v>
      </c>
      <c r="K2069" t="n">
        <v>0</v>
      </c>
      <c r="L2069" t="n">
        <v>1</v>
      </c>
      <c r="M2069" t="n">
        <v>0</v>
      </c>
    </row>
    <row r="2070" spans="1:13">
      <c r="A2070" s="1">
        <f>HYPERLINK("http://www.twitter.com/NathanBLawrence/status/979624526395817984", "979624526395817984")</f>
        <v/>
      </c>
      <c r="B2070" s="2" t="n">
        <v>43189.32016203704</v>
      </c>
      <c r="C2070" t="n">
        <v>0</v>
      </c>
      <c r="D2070" t="n">
        <v>2775</v>
      </c>
      <c r="E2070" t="s">
        <v>2079</v>
      </c>
      <c r="F2070">
        <f>HYPERLINK("http://pbs.twimg.com/media/DZf_wZRW0AA6gPH.jpg", "http://pbs.twimg.com/media/DZf_wZRW0AA6gPH.jpg")</f>
        <v/>
      </c>
      <c r="G2070" t="s"/>
      <c r="H2070" t="s"/>
      <c r="I2070" t="s"/>
      <c r="J2070" t="n">
        <v>-0.7906</v>
      </c>
      <c r="K2070" t="n">
        <v>0.25</v>
      </c>
      <c r="L2070" t="n">
        <v>0.75</v>
      </c>
      <c r="M2070" t="n">
        <v>0</v>
      </c>
    </row>
    <row r="2071" spans="1:13">
      <c r="A2071" s="1">
        <f>HYPERLINK("http://www.twitter.com/NathanBLawrence/status/979407654664642560", "979407654664642560")</f>
        <v/>
      </c>
      <c r="B2071" s="2" t="n">
        <v>43188.72171296296</v>
      </c>
      <c r="C2071" t="n">
        <v>29</v>
      </c>
      <c r="D2071" t="n">
        <v>10</v>
      </c>
      <c r="E2071" t="s">
        <v>2080</v>
      </c>
      <c r="F2071" t="s"/>
      <c r="G2071" t="s"/>
      <c r="H2071" t="s"/>
      <c r="I2071" t="s"/>
      <c r="J2071" t="n">
        <v>0.3182</v>
      </c>
      <c r="K2071" t="n">
        <v>0</v>
      </c>
      <c r="L2071" t="n">
        <v>0.892</v>
      </c>
      <c r="M2071" t="n">
        <v>0.108</v>
      </c>
    </row>
    <row r="2072" spans="1:13">
      <c r="A2072" s="1">
        <f>HYPERLINK("http://www.twitter.com/NathanBLawrence/status/979230452497207296", "979230452497207296")</f>
        <v/>
      </c>
      <c r="B2072" s="2" t="n">
        <v>43188.23271990741</v>
      </c>
      <c r="C2072" t="n">
        <v>17</v>
      </c>
      <c r="D2072" t="n">
        <v>5</v>
      </c>
      <c r="E2072" t="s">
        <v>2081</v>
      </c>
      <c r="F2072" t="s"/>
      <c r="G2072" t="s"/>
      <c r="H2072" t="s"/>
      <c r="I2072" t="s"/>
      <c r="J2072" t="n">
        <v>-0.5255</v>
      </c>
      <c r="K2072" t="n">
        <v>0.274</v>
      </c>
      <c r="L2072" t="n">
        <v>0.726</v>
      </c>
      <c r="M2072" t="n">
        <v>0</v>
      </c>
    </row>
    <row r="2073" spans="1:13">
      <c r="A2073" s="1">
        <f>HYPERLINK("http://www.twitter.com/NathanBLawrence/status/979228474471673857", "979228474471673857")</f>
        <v/>
      </c>
      <c r="B2073" s="2" t="n">
        <v>43188.22726851852</v>
      </c>
      <c r="C2073" t="n">
        <v>0</v>
      </c>
      <c r="D2073" t="n">
        <v>1743</v>
      </c>
      <c r="E2073" t="s">
        <v>2082</v>
      </c>
      <c r="F2073">
        <f>HYPERLINK("http://pbs.twimg.com/media/DZaxRqPVAAAmq2A.jpg", "http://pbs.twimg.com/media/DZaxRqPVAAAmq2A.jpg")</f>
        <v/>
      </c>
      <c r="G2073" t="s"/>
      <c r="H2073" t="s"/>
      <c r="I2073" t="s"/>
      <c r="J2073" t="n">
        <v>0.4574</v>
      </c>
      <c r="K2073" t="n">
        <v>0</v>
      </c>
      <c r="L2073" t="n">
        <v>0.501</v>
      </c>
      <c r="M2073" t="n">
        <v>0.499</v>
      </c>
    </row>
    <row r="2074" spans="1:13">
      <c r="A2074" s="1">
        <f>HYPERLINK("http://www.twitter.com/NathanBLawrence/status/979227796454232064", "979227796454232064")</f>
        <v/>
      </c>
      <c r="B2074" s="2" t="n">
        <v>43188.22539351852</v>
      </c>
      <c r="C2074" t="n">
        <v>0</v>
      </c>
      <c r="D2074" t="n">
        <v>188</v>
      </c>
      <c r="E2074" t="s">
        <v>2083</v>
      </c>
      <c r="F2074" t="s"/>
      <c r="G2074" t="s"/>
      <c r="H2074" t="s"/>
      <c r="I2074" t="s"/>
      <c r="J2074" t="n">
        <v>0.3182</v>
      </c>
      <c r="K2074" t="n">
        <v>0</v>
      </c>
      <c r="L2074" t="n">
        <v>0.887</v>
      </c>
      <c r="M2074" t="n">
        <v>0.113</v>
      </c>
    </row>
    <row r="2075" spans="1:13">
      <c r="A2075" s="1">
        <f>HYPERLINK("http://www.twitter.com/NathanBLawrence/status/979227432468140032", "979227432468140032")</f>
        <v/>
      </c>
      <c r="B2075" s="2" t="n">
        <v>43188.22438657407</v>
      </c>
      <c r="C2075" t="n">
        <v>0</v>
      </c>
      <c r="D2075" t="n">
        <v>1444</v>
      </c>
      <c r="E2075" t="s">
        <v>2084</v>
      </c>
      <c r="F2075">
        <f>HYPERLINK("http://pbs.twimg.com/media/DZbRDGGV4AAye5C.jpg", "http://pbs.twimg.com/media/DZbRDGGV4AAye5C.jpg")</f>
        <v/>
      </c>
      <c r="G2075" t="s"/>
      <c r="H2075" t="s"/>
      <c r="I2075" t="s"/>
      <c r="J2075" t="n">
        <v>0</v>
      </c>
      <c r="K2075" t="n">
        <v>0</v>
      </c>
      <c r="L2075" t="n">
        <v>1</v>
      </c>
      <c r="M2075" t="n">
        <v>0</v>
      </c>
    </row>
    <row r="2076" spans="1:13">
      <c r="A2076" s="1">
        <f>HYPERLINK("http://www.twitter.com/NathanBLawrence/status/979227080381493253", "979227080381493253")</f>
        <v/>
      </c>
      <c r="B2076" s="2" t="n">
        <v>43188.22341435185</v>
      </c>
      <c r="C2076" t="n">
        <v>0</v>
      </c>
      <c r="D2076" t="n">
        <v>247</v>
      </c>
      <c r="E2076" t="s">
        <v>2085</v>
      </c>
      <c r="F2076">
        <f>HYPERLINK("http://pbs.twimg.com/media/DZZakhbVoAAVhbo.jpg", "http://pbs.twimg.com/media/DZZakhbVoAAVhbo.jpg")</f>
        <v/>
      </c>
      <c r="G2076" t="s"/>
      <c r="H2076" t="s"/>
      <c r="I2076" t="s"/>
      <c r="J2076" t="n">
        <v>0</v>
      </c>
      <c r="K2076" t="n">
        <v>0</v>
      </c>
      <c r="L2076" t="n">
        <v>1</v>
      </c>
      <c r="M2076" t="n">
        <v>0</v>
      </c>
    </row>
    <row r="2077" spans="1:13">
      <c r="A2077" s="1">
        <f>HYPERLINK("http://www.twitter.com/NathanBLawrence/status/979226797655994368", "979226797655994368")</f>
        <v/>
      </c>
      <c r="B2077" s="2" t="n">
        <v>43188.22263888889</v>
      </c>
      <c r="C2077" t="n">
        <v>0</v>
      </c>
      <c r="D2077" t="n">
        <v>216</v>
      </c>
      <c r="E2077" t="s">
        <v>2086</v>
      </c>
      <c r="F2077">
        <f>HYPERLINK("http://pbs.twimg.com/media/DZa-xc9WsAEfkuH.jpg", "http://pbs.twimg.com/media/DZa-xc9WsAEfkuH.jpg")</f>
        <v/>
      </c>
      <c r="G2077" t="s"/>
      <c r="H2077" t="s"/>
      <c r="I2077" t="s"/>
      <c r="J2077" t="n">
        <v>0</v>
      </c>
      <c r="K2077" t="n">
        <v>0</v>
      </c>
      <c r="L2077" t="n">
        <v>1</v>
      </c>
      <c r="M2077" t="n">
        <v>0</v>
      </c>
    </row>
    <row r="2078" spans="1:13">
      <c r="A2078" s="1">
        <f>HYPERLINK("http://www.twitter.com/NathanBLawrence/status/979226253961043968", "979226253961043968")</f>
        <v/>
      </c>
      <c r="B2078" s="2" t="n">
        <v>43188.22113425926</v>
      </c>
      <c r="C2078" t="n">
        <v>0</v>
      </c>
      <c r="D2078" t="n">
        <v>777</v>
      </c>
      <c r="E2078" t="s">
        <v>2087</v>
      </c>
      <c r="F2078">
        <f>HYPERLINK("http://pbs.twimg.com/media/DZOfPgHXUAAs3x8.jpg", "http://pbs.twimg.com/media/DZOfPgHXUAAs3x8.jpg")</f>
        <v/>
      </c>
      <c r="G2078" t="s"/>
      <c r="H2078" t="s"/>
      <c r="I2078" t="s"/>
      <c r="J2078" t="n">
        <v>-0.6597</v>
      </c>
      <c r="K2078" t="n">
        <v>0.205</v>
      </c>
      <c r="L2078" t="n">
        <v>0.795</v>
      </c>
      <c r="M2078" t="n">
        <v>0</v>
      </c>
    </row>
    <row r="2079" spans="1:13">
      <c r="A2079" s="1">
        <f>HYPERLINK("http://www.twitter.com/NathanBLawrence/status/979225881649414145", "979225881649414145")</f>
        <v/>
      </c>
      <c r="B2079" s="2" t="n">
        <v>43188.22010416666</v>
      </c>
      <c r="C2079" t="n">
        <v>28</v>
      </c>
      <c r="D2079" t="n">
        <v>10</v>
      </c>
      <c r="E2079" t="s">
        <v>2088</v>
      </c>
      <c r="F2079" t="s"/>
      <c r="G2079" t="s"/>
      <c r="H2079" t="s"/>
      <c r="I2079" t="s"/>
      <c r="J2079" t="n">
        <v>0</v>
      </c>
      <c r="K2079" t="n">
        <v>0</v>
      </c>
      <c r="L2079" t="n">
        <v>1</v>
      </c>
      <c r="M2079" t="n">
        <v>0</v>
      </c>
    </row>
    <row r="2080" spans="1:13">
      <c r="A2080" s="1">
        <f>HYPERLINK("http://www.twitter.com/NathanBLawrence/status/979167465988014080", "979167465988014080")</f>
        <v/>
      </c>
      <c r="B2080" s="2" t="n">
        <v>43188.05891203704</v>
      </c>
      <c r="C2080" t="n">
        <v>0</v>
      </c>
      <c r="D2080" t="n">
        <v>7</v>
      </c>
      <c r="E2080" t="s">
        <v>2089</v>
      </c>
      <c r="F2080">
        <f>HYPERLINK("http://pbs.twimg.com/media/DZaZwE2UMAEw0zL.jpg", "http://pbs.twimg.com/media/DZaZwE2UMAEw0zL.jpg")</f>
        <v/>
      </c>
      <c r="G2080">
        <f>HYPERLINK("http://pbs.twimg.com/media/DZaZwE4VoAEdQFY.jpg", "http://pbs.twimg.com/media/DZaZwE4VoAEdQFY.jpg")</f>
        <v/>
      </c>
      <c r="H2080">
        <f>HYPERLINK("http://pbs.twimg.com/media/DZaZwE4VoAAmqFO.jpg", "http://pbs.twimg.com/media/DZaZwE4VoAAmqFO.jpg")</f>
        <v/>
      </c>
      <c r="I2080" t="s"/>
      <c r="J2080" t="n">
        <v>0</v>
      </c>
      <c r="K2080" t="n">
        <v>0</v>
      </c>
      <c r="L2080" t="n">
        <v>1</v>
      </c>
      <c r="M2080" t="n">
        <v>0</v>
      </c>
    </row>
    <row r="2081" spans="1:13">
      <c r="A2081" s="1">
        <f>HYPERLINK("http://www.twitter.com/NathanBLawrence/status/979166734123806721", "979166734123806721")</f>
        <v/>
      </c>
      <c r="B2081" s="2" t="n">
        <v>43188.05689814815</v>
      </c>
      <c r="C2081" t="n">
        <v>0</v>
      </c>
      <c r="D2081" t="n">
        <v>17</v>
      </c>
      <c r="E2081" t="s">
        <v>2090</v>
      </c>
      <c r="F2081">
        <f>HYPERLINK("http://pbs.twimg.com/media/DZaWL9dWkAEZSiS.jpg", "http://pbs.twimg.com/media/DZaWL9dWkAEZSiS.jpg")</f>
        <v/>
      </c>
      <c r="G2081" t="s"/>
      <c r="H2081" t="s"/>
      <c r="I2081" t="s"/>
      <c r="J2081" t="n">
        <v>0.3182</v>
      </c>
      <c r="K2081" t="n">
        <v>0</v>
      </c>
      <c r="L2081" t="n">
        <v>0.85</v>
      </c>
      <c r="M2081" t="n">
        <v>0.15</v>
      </c>
    </row>
    <row r="2082" spans="1:13">
      <c r="A2082" s="1">
        <f>HYPERLINK("http://www.twitter.com/NathanBLawrence/status/979166668273336320", "979166668273336320")</f>
        <v/>
      </c>
      <c r="B2082" s="2" t="n">
        <v>43188.05671296296</v>
      </c>
      <c r="C2082" t="n">
        <v>0</v>
      </c>
      <c r="D2082" t="n">
        <v>116</v>
      </c>
      <c r="E2082" t="s">
        <v>2091</v>
      </c>
      <c r="F2082">
        <f>HYPERLINK("http://pbs.twimg.com/media/DZaW3YKVQAAY8xs.jpg", "http://pbs.twimg.com/media/DZaW3YKVQAAY8xs.jpg")</f>
        <v/>
      </c>
      <c r="G2082" t="s"/>
      <c r="H2082" t="s"/>
      <c r="I2082" t="s"/>
      <c r="J2082" t="n">
        <v>0</v>
      </c>
      <c r="K2082" t="n">
        <v>0</v>
      </c>
      <c r="L2082" t="n">
        <v>1</v>
      </c>
      <c r="M2082" t="n">
        <v>0</v>
      </c>
    </row>
    <row r="2083" spans="1:13">
      <c r="A2083" s="1">
        <f>HYPERLINK("http://www.twitter.com/NathanBLawrence/status/979166612057047040", "979166612057047040")</f>
        <v/>
      </c>
      <c r="B2083" s="2" t="n">
        <v>43188.0565625</v>
      </c>
      <c r="C2083" t="n">
        <v>0</v>
      </c>
      <c r="D2083" t="n">
        <v>130</v>
      </c>
      <c r="E2083" t="s">
        <v>2092</v>
      </c>
      <c r="F2083">
        <f>HYPERLINK("https://video.twimg.com/amplify_video/979129801897279488/vid/1280x720/ULSwS4wwKetjcDiH.mp4", "https://video.twimg.com/amplify_video/979129801897279488/vid/1280x720/ULSwS4wwKetjcDiH.mp4")</f>
        <v/>
      </c>
      <c r="G2083" t="s"/>
      <c r="H2083" t="s"/>
      <c r="I2083" t="s"/>
      <c r="J2083" t="n">
        <v>-0.25</v>
      </c>
      <c r="K2083" t="n">
        <v>0.125</v>
      </c>
      <c r="L2083" t="n">
        <v>0.875</v>
      </c>
      <c r="M2083" t="n">
        <v>0</v>
      </c>
    </row>
    <row r="2084" spans="1:13">
      <c r="A2084" s="1">
        <f>HYPERLINK("http://www.twitter.com/NathanBLawrence/status/979166281084497920", "979166281084497920")</f>
        <v/>
      </c>
      <c r="B2084" s="2" t="n">
        <v>43188.05564814815</v>
      </c>
      <c r="C2084" t="n">
        <v>0</v>
      </c>
      <c r="D2084" t="n">
        <v>547</v>
      </c>
      <c r="E2084" t="s">
        <v>2093</v>
      </c>
      <c r="F2084">
        <f>HYPERLINK("http://pbs.twimg.com/media/DZUqJWNWkAA0K5O.jpg", "http://pbs.twimg.com/media/DZUqJWNWkAA0K5O.jpg")</f>
        <v/>
      </c>
      <c r="G2084" t="s"/>
      <c r="H2084" t="s"/>
      <c r="I2084" t="s"/>
      <c r="J2084" t="n">
        <v>-0.1779</v>
      </c>
      <c r="K2084" t="n">
        <v>0.075</v>
      </c>
      <c r="L2084" t="n">
        <v>0.925</v>
      </c>
      <c r="M2084" t="n">
        <v>0</v>
      </c>
    </row>
    <row r="2085" spans="1:13">
      <c r="A2085" s="1">
        <f>HYPERLINK("http://www.twitter.com/NathanBLawrence/status/979166131603718144", "979166131603718144")</f>
        <v/>
      </c>
      <c r="B2085" s="2" t="n">
        <v>43188.05523148148</v>
      </c>
      <c r="C2085" t="n">
        <v>0</v>
      </c>
      <c r="D2085" t="n">
        <v>198</v>
      </c>
      <c r="E2085" t="s">
        <v>2094</v>
      </c>
      <c r="F2085">
        <f>HYPERLINK("http://pbs.twimg.com/media/DZZ_cb2XcAA9qc7.jpg", "http://pbs.twimg.com/media/DZZ_cb2XcAA9qc7.jpg")</f>
        <v/>
      </c>
      <c r="G2085" t="s"/>
      <c r="H2085" t="s"/>
      <c r="I2085" t="s"/>
      <c r="J2085" t="n">
        <v>0.296</v>
      </c>
      <c r="K2085" t="n">
        <v>0.119</v>
      </c>
      <c r="L2085" t="n">
        <v>0.712</v>
      </c>
      <c r="M2085" t="n">
        <v>0.169</v>
      </c>
    </row>
    <row r="2086" spans="1:13">
      <c r="A2086" s="1">
        <f>HYPERLINK("http://www.twitter.com/NathanBLawrence/status/979166061697277952", "979166061697277952")</f>
        <v/>
      </c>
      <c r="B2086" s="2" t="n">
        <v>43188.05503472222</v>
      </c>
      <c r="C2086" t="n">
        <v>0</v>
      </c>
      <c r="D2086" t="n">
        <v>246</v>
      </c>
      <c r="E2086" t="s">
        <v>2095</v>
      </c>
      <c r="F2086">
        <f>HYPERLINK("http://pbs.twimg.com/media/DZaJBxxXcAUf__5.jpg", "http://pbs.twimg.com/media/DZaJBxxXcAUf__5.jpg")</f>
        <v/>
      </c>
      <c r="G2086" t="s"/>
      <c r="H2086" t="s"/>
      <c r="I2086" t="s"/>
      <c r="J2086" t="n">
        <v>-0.0772</v>
      </c>
      <c r="K2086" t="n">
        <v>0.133</v>
      </c>
      <c r="L2086" t="n">
        <v>0.745</v>
      </c>
      <c r="M2086" t="n">
        <v>0.122</v>
      </c>
    </row>
    <row r="2087" spans="1:13">
      <c r="A2087" s="1">
        <f>HYPERLINK("http://www.twitter.com/NathanBLawrence/status/979165812752707586", "979165812752707586")</f>
        <v/>
      </c>
      <c r="B2087" s="2" t="n">
        <v>43188.05435185185</v>
      </c>
      <c r="C2087" t="n">
        <v>0</v>
      </c>
      <c r="D2087" t="n">
        <v>203</v>
      </c>
      <c r="E2087" t="s">
        <v>2096</v>
      </c>
      <c r="F2087">
        <f>HYPERLINK("http://pbs.twimg.com/media/DZawbPLU8AEBU1e.jpg", "http://pbs.twimg.com/media/DZawbPLU8AEBU1e.jpg")</f>
        <v/>
      </c>
      <c r="G2087" t="s"/>
      <c r="H2087" t="s"/>
      <c r="I2087" t="s"/>
      <c r="J2087" t="n">
        <v>0.3612</v>
      </c>
      <c r="K2087" t="n">
        <v>0</v>
      </c>
      <c r="L2087" t="n">
        <v>0.906</v>
      </c>
      <c r="M2087" t="n">
        <v>0.094</v>
      </c>
    </row>
    <row r="2088" spans="1:13">
      <c r="A2088" s="1">
        <f>HYPERLINK("http://www.twitter.com/NathanBLawrence/status/979163598994878464", "979163598994878464")</f>
        <v/>
      </c>
      <c r="B2088" s="2" t="n">
        <v>43188.04824074074</v>
      </c>
      <c r="C2088" t="n">
        <v>0</v>
      </c>
      <c r="D2088" t="n">
        <v>37</v>
      </c>
      <c r="E2088" t="s">
        <v>2097</v>
      </c>
      <c r="F2088">
        <f>HYPERLINK("http://pbs.twimg.com/media/DZWm34WW4AAZQM8.jpg", "http://pbs.twimg.com/media/DZWm34WW4AAZQM8.jpg")</f>
        <v/>
      </c>
      <c r="G2088" t="s"/>
      <c r="H2088" t="s"/>
      <c r="I2088" t="s"/>
      <c r="J2088" t="n">
        <v>0</v>
      </c>
      <c r="K2088" t="n">
        <v>0</v>
      </c>
      <c r="L2088" t="n">
        <v>1</v>
      </c>
      <c r="M2088" t="n">
        <v>0</v>
      </c>
    </row>
    <row r="2089" spans="1:13">
      <c r="A2089" s="1">
        <f>HYPERLINK("http://www.twitter.com/NathanBLawrence/status/979159964253003776", "979159964253003776")</f>
        <v/>
      </c>
      <c r="B2089" s="2" t="n">
        <v>43188.03821759259</v>
      </c>
      <c r="C2089" t="n">
        <v>0</v>
      </c>
      <c r="D2089" t="n">
        <v>1262</v>
      </c>
      <c r="E2089" t="s">
        <v>2098</v>
      </c>
      <c r="F2089" t="s"/>
      <c r="G2089" t="s"/>
      <c r="H2089" t="s"/>
      <c r="I2089" t="s"/>
      <c r="J2089" t="n">
        <v>-0.4767</v>
      </c>
      <c r="K2089" t="n">
        <v>0.205</v>
      </c>
      <c r="L2089" t="n">
        <v>0.795</v>
      </c>
      <c r="M2089" t="n">
        <v>0</v>
      </c>
    </row>
    <row r="2090" spans="1:13">
      <c r="A2090" s="1">
        <f>HYPERLINK("http://www.twitter.com/NathanBLawrence/status/979159691501608960", "979159691501608960")</f>
        <v/>
      </c>
      <c r="B2090" s="2" t="n">
        <v>43188.03746527778</v>
      </c>
      <c r="C2090" t="n">
        <v>0</v>
      </c>
      <c r="D2090" t="n">
        <v>252</v>
      </c>
      <c r="E2090" t="s">
        <v>2099</v>
      </c>
      <c r="F2090">
        <f>HYPERLINK("http://pbs.twimg.com/media/DZZQqr8W4AA6KKf.jpg", "http://pbs.twimg.com/media/DZZQqr8W4AA6KKf.jpg")</f>
        <v/>
      </c>
      <c r="G2090" t="s"/>
      <c r="H2090" t="s"/>
      <c r="I2090" t="s"/>
      <c r="J2090" t="n">
        <v>0.4019</v>
      </c>
      <c r="K2090" t="n">
        <v>0.095</v>
      </c>
      <c r="L2090" t="n">
        <v>0.6929999999999999</v>
      </c>
      <c r="M2090" t="n">
        <v>0.212</v>
      </c>
    </row>
    <row r="2091" spans="1:13">
      <c r="A2091" s="1">
        <f>HYPERLINK("http://www.twitter.com/NathanBLawrence/status/979159564426756096", "979159564426756096")</f>
        <v/>
      </c>
      <c r="B2091" s="2" t="n">
        <v>43188.03710648148</v>
      </c>
      <c r="C2091" t="n">
        <v>0</v>
      </c>
      <c r="D2091" t="n">
        <v>81</v>
      </c>
      <c r="E2091" t="s">
        <v>2100</v>
      </c>
      <c r="F2091" t="s"/>
      <c r="G2091" t="s"/>
      <c r="H2091" t="s"/>
      <c r="I2091" t="s"/>
      <c r="J2091" t="n">
        <v>0.3182</v>
      </c>
      <c r="K2091" t="n">
        <v>0</v>
      </c>
      <c r="L2091" t="n">
        <v>0.85</v>
      </c>
      <c r="M2091" t="n">
        <v>0.15</v>
      </c>
    </row>
    <row r="2092" spans="1:13">
      <c r="A2092" s="1">
        <f>HYPERLINK("http://www.twitter.com/NathanBLawrence/status/979159200809938944", "979159200809938944")</f>
        <v/>
      </c>
      <c r="B2092" s="2" t="n">
        <v>43188.03611111111</v>
      </c>
      <c r="C2092" t="n">
        <v>0</v>
      </c>
      <c r="D2092" t="n">
        <v>3</v>
      </c>
      <c r="E2092" t="s">
        <v>2101</v>
      </c>
      <c r="F2092">
        <f>HYPERLINK("http://pbs.twimg.com/media/DZaof4rVwAAlDXT.jpg", "http://pbs.twimg.com/media/DZaof4rVwAAlDXT.jpg")</f>
        <v/>
      </c>
      <c r="G2092" t="s"/>
      <c r="H2092" t="s"/>
      <c r="I2092" t="s"/>
      <c r="J2092" t="n">
        <v>0</v>
      </c>
      <c r="K2092" t="n">
        <v>0</v>
      </c>
      <c r="L2092" t="n">
        <v>1</v>
      </c>
      <c r="M2092" t="n">
        <v>0</v>
      </c>
    </row>
    <row r="2093" spans="1:13">
      <c r="A2093" s="1">
        <f>HYPERLINK("http://www.twitter.com/NathanBLawrence/status/979159164470444032", "979159164470444032")</f>
        <v/>
      </c>
      <c r="B2093" s="2" t="n">
        <v>43188.03600694444</v>
      </c>
      <c r="C2093" t="n">
        <v>0</v>
      </c>
      <c r="D2093" t="n">
        <v>266</v>
      </c>
      <c r="E2093" t="s">
        <v>2102</v>
      </c>
      <c r="F2093" t="s"/>
      <c r="G2093" t="s"/>
      <c r="H2093" t="s"/>
      <c r="I2093" t="s"/>
      <c r="J2093" t="n">
        <v>0.3182</v>
      </c>
      <c r="K2093" t="n">
        <v>0</v>
      </c>
      <c r="L2093" t="n">
        <v>0.909</v>
      </c>
      <c r="M2093" t="n">
        <v>0.091</v>
      </c>
    </row>
    <row r="2094" spans="1:13">
      <c r="A2094" s="1">
        <f>HYPERLINK("http://www.twitter.com/NathanBLawrence/status/979158199637983233", "979158199637983233")</f>
        <v/>
      </c>
      <c r="B2094" s="2" t="n">
        <v>43188.03334490741</v>
      </c>
      <c r="C2094" t="n">
        <v>9</v>
      </c>
      <c r="D2094" t="n">
        <v>4</v>
      </c>
      <c r="E2094" t="s">
        <v>2103</v>
      </c>
      <c r="F2094" t="s"/>
      <c r="G2094" t="s"/>
      <c r="H2094" t="s"/>
      <c r="I2094" t="s"/>
      <c r="J2094" t="n">
        <v>0</v>
      </c>
      <c r="K2094" t="n">
        <v>0</v>
      </c>
      <c r="L2094" t="n">
        <v>1</v>
      </c>
      <c r="M2094" t="n">
        <v>0</v>
      </c>
    </row>
    <row r="2095" spans="1:13">
      <c r="A2095" s="1">
        <f>HYPERLINK("http://www.twitter.com/NathanBLawrence/status/979156503344001024", "979156503344001024")</f>
        <v/>
      </c>
      <c r="B2095" s="2" t="n">
        <v>43188.02865740741</v>
      </c>
      <c r="C2095" t="n">
        <v>10</v>
      </c>
      <c r="D2095" t="n">
        <v>3</v>
      </c>
      <c r="E2095" t="s">
        <v>2104</v>
      </c>
      <c r="F2095" t="s"/>
      <c r="G2095" t="s"/>
      <c r="H2095" t="s"/>
      <c r="I2095" t="s"/>
      <c r="J2095" t="n">
        <v>0</v>
      </c>
      <c r="K2095" t="n">
        <v>0</v>
      </c>
      <c r="L2095" t="n">
        <v>1</v>
      </c>
      <c r="M2095" t="n">
        <v>0</v>
      </c>
    </row>
    <row r="2096" spans="1:13">
      <c r="A2096" s="1">
        <f>HYPERLINK("http://www.twitter.com/NathanBLawrence/status/979156297382690816", "979156297382690816")</f>
        <v/>
      </c>
      <c r="B2096" s="2" t="n">
        <v>43188.02809027778</v>
      </c>
      <c r="C2096" t="n">
        <v>0</v>
      </c>
      <c r="D2096" t="n">
        <v>102</v>
      </c>
      <c r="E2096" t="s">
        <v>2105</v>
      </c>
      <c r="F2096" t="s"/>
      <c r="G2096" t="s"/>
      <c r="H2096" t="s"/>
      <c r="I2096" t="s"/>
      <c r="J2096" t="n">
        <v>-0.8225</v>
      </c>
      <c r="K2096" t="n">
        <v>0.336</v>
      </c>
      <c r="L2096" t="n">
        <v>0.664</v>
      </c>
      <c r="M2096" t="n">
        <v>0</v>
      </c>
    </row>
    <row r="2097" spans="1:13">
      <c r="A2097" s="1">
        <f>HYPERLINK("http://www.twitter.com/NathanBLawrence/status/979156026740981760", "979156026740981760")</f>
        <v/>
      </c>
      <c r="B2097" s="2" t="n">
        <v>43188.02734953703</v>
      </c>
      <c r="C2097" t="n">
        <v>0</v>
      </c>
      <c r="D2097" t="n">
        <v>13</v>
      </c>
      <c r="E2097" t="s">
        <v>2106</v>
      </c>
      <c r="F2097">
        <f>HYPERLINK("http://pbs.twimg.com/media/DZZP6JuX4AAXUoq.jpg", "http://pbs.twimg.com/media/DZZP6JuX4AAXUoq.jpg")</f>
        <v/>
      </c>
      <c r="G2097" t="s"/>
      <c r="H2097" t="s"/>
      <c r="I2097" t="s"/>
      <c r="J2097" t="n">
        <v>0.4753</v>
      </c>
      <c r="K2097" t="n">
        <v>0</v>
      </c>
      <c r="L2097" t="n">
        <v>0.89</v>
      </c>
      <c r="M2097" t="n">
        <v>0.11</v>
      </c>
    </row>
    <row r="2098" spans="1:13">
      <c r="A2098" s="1">
        <f>HYPERLINK("http://www.twitter.com/NathanBLawrence/status/979155502587265024", "979155502587265024")</f>
        <v/>
      </c>
      <c r="B2098" s="2" t="n">
        <v>43188.02590277778</v>
      </c>
      <c r="C2098" t="n">
        <v>0</v>
      </c>
      <c r="D2098" t="n">
        <v>821</v>
      </c>
      <c r="E2098" t="s">
        <v>2107</v>
      </c>
      <c r="F2098">
        <f>HYPERLINK("http://pbs.twimg.com/media/DZaSHCAUMAA_Qp2.jpg", "http://pbs.twimg.com/media/DZaSHCAUMAA_Qp2.jpg")</f>
        <v/>
      </c>
      <c r="G2098" t="s"/>
      <c r="H2098" t="s"/>
      <c r="I2098" t="s"/>
      <c r="J2098" t="n">
        <v>0.7118</v>
      </c>
      <c r="K2098" t="n">
        <v>0</v>
      </c>
      <c r="L2098" t="n">
        <v>0.742</v>
      </c>
      <c r="M2098" t="n">
        <v>0.258</v>
      </c>
    </row>
    <row r="2099" spans="1:13">
      <c r="A2099" s="1">
        <f>HYPERLINK("http://www.twitter.com/NathanBLawrence/status/979152613798174720", "979152613798174720")</f>
        <v/>
      </c>
      <c r="B2099" s="2" t="n">
        <v>43188.01792824074</v>
      </c>
      <c r="C2099" t="n">
        <v>8</v>
      </c>
      <c r="D2099" t="n">
        <v>2</v>
      </c>
      <c r="E2099" t="s">
        <v>2108</v>
      </c>
      <c r="F2099" t="s"/>
      <c r="G2099" t="s"/>
      <c r="H2099" t="s"/>
      <c r="I2099" t="s"/>
      <c r="J2099" t="n">
        <v>0.4574</v>
      </c>
      <c r="K2099" t="n">
        <v>0</v>
      </c>
      <c r="L2099" t="n">
        <v>0.834</v>
      </c>
      <c r="M2099" t="n">
        <v>0.166</v>
      </c>
    </row>
    <row r="2100" spans="1:13">
      <c r="A2100" s="1">
        <f>HYPERLINK("http://www.twitter.com/NathanBLawrence/status/979104634089320448", "979104634089320448")</f>
        <v/>
      </c>
      <c r="B2100" s="2" t="n">
        <v>43187.88553240741</v>
      </c>
      <c r="C2100" t="n">
        <v>0</v>
      </c>
      <c r="D2100" t="n">
        <v>226</v>
      </c>
      <c r="E2100" t="s">
        <v>2109</v>
      </c>
      <c r="F2100">
        <f>HYPERLINK("http://pbs.twimg.com/media/DZZtJj3UMAA4q60.jpg", "http://pbs.twimg.com/media/DZZtJj3UMAA4q60.jpg")</f>
        <v/>
      </c>
      <c r="G2100" t="s"/>
      <c r="H2100" t="s"/>
      <c r="I2100" t="s"/>
      <c r="J2100" t="n">
        <v>0</v>
      </c>
      <c r="K2100" t="n">
        <v>0</v>
      </c>
      <c r="L2100" t="n">
        <v>1</v>
      </c>
      <c r="M2100" t="n">
        <v>0</v>
      </c>
    </row>
    <row r="2101" spans="1:13">
      <c r="A2101" s="1">
        <f>HYPERLINK("http://www.twitter.com/NathanBLawrence/status/979103700454064129", "979103700454064129")</f>
        <v/>
      </c>
      <c r="B2101" s="2" t="n">
        <v>43187.88295138889</v>
      </c>
      <c r="C2101" t="n">
        <v>0</v>
      </c>
      <c r="D2101" t="n">
        <v>660</v>
      </c>
      <c r="E2101" t="s">
        <v>2110</v>
      </c>
      <c r="F2101">
        <f>HYPERLINK("http://pbs.twimg.com/media/DZUSRFwV4AA6g2h.jpg", "http://pbs.twimg.com/media/DZUSRFwV4AA6g2h.jpg")</f>
        <v/>
      </c>
      <c r="G2101">
        <f>HYPERLINK("http://pbs.twimg.com/media/DZUSRF5UQAAIbSw.jpg", "http://pbs.twimg.com/media/DZUSRF5UQAAIbSw.jpg")</f>
        <v/>
      </c>
      <c r="H2101" t="s"/>
      <c r="I2101" t="s"/>
      <c r="J2101" t="n">
        <v>0.3327</v>
      </c>
      <c r="K2101" t="n">
        <v>0</v>
      </c>
      <c r="L2101" t="n">
        <v>0.894</v>
      </c>
      <c r="M2101" t="n">
        <v>0.106</v>
      </c>
    </row>
    <row r="2102" spans="1:13">
      <c r="A2102" s="1">
        <f>HYPERLINK("http://www.twitter.com/NathanBLawrence/status/979103382173401088", "979103382173401088")</f>
        <v/>
      </c>
      <c r="B2102" s="2" t="n">
        <v>43187.88207175926</v>
      </c>
      <c r="C2102" t="n">
        <v>0</v>
      </c>
      <c r="D2102" t="n">
        <v>49</v>
      </c>
      <c r="E2102" t="s">
        <v>2111</v>
      </c>
      <c r="F2102">
        <f>HYPERLINK("http://pbs.twimg.com/media/DZZ4oNDV4AEJdIM.jpg", "http://pbs.twimg.com/media/DZZ4oNDV4AEJdIM.jpg")</f>
        <v/>
      </c>
      <c r="G2102" t="s"/>
      <c r="H2102" t="s"/>
      <c r="I2102" t="s"/>
      <c r="J2102" t="n">
        <v>0</v>
      </c>
      <c r="K2102" t="n">
        <v>0</v>
      </c>
      <c r="L2102" t="n">
        <v>1</v>
      </c>
      <c r="M2102" t="n">
        <v>0</v>
      </c>
    </row>
    <row r="2103" spans="1:13">
      <c r="A2103" s="1">
        <f>HYPERLINK("http://www.twitter.com/NathanBLawrence/status/979103297012297728", "979103297012297728")</f>
        <v/>
      </c>
      <c r="B2103" s="2" t="n">
        <v>43187.88184027778</v>
      </c>
      <c r="C2103" t="n">
        <v>0</v>
      </c>
      <c r="D2103" t="n">
        <v>1010</v>
      </c>
      <c r="E2103" t="s">
        <v>2112</v>
      </c>
      <c r="F2103">
        <f>HYPERLINK("http://pbs.twimg.com/media/DZXgBmhXkAA9xFI.jpg", "http://pbs.twimg.com/media/DZXgBmhXkAA9xFI.jpg")</f>
        <v/>
      </c>
      <c r="G2103" t="s"/>
      <c r="H2103" t="s"/>
      <c r="I2103" t="s"/>
      <c r="J2103" t="n">
        <v>0</v>
      </c>
      <c r="K2103" t="n">
        <v>0</v>
      </c>
      <c r="L2103" t="n">
        <v>1</v>
      </c>
      <c r="M2103" t="n">
        <v>0</v>
      </c>
    </row>
    <row r="2104" spans="1:13">
      <c r="A2104" s="1">
        <f>HYPERLINK("http://www.twitter.com/NathanBLawrence/status/979103196483223552", "979103196483223552")</f>
        <v/>
      </c>
      <c r="B2104" s="2" t="n">
        <v>43187.8815625</v>
      </c>
      <c r="C2104" t="n">
        <v>0</v>
      </c>
      <c r="D2104" t="n">
        <v>2</v>
      </c>
      <c r="E2104" t="s">
        <v>2113</v>
      </c>
      <c r="F2104">
        <f>HYPERLINK("http://pbs.twimg.com/media/DZWfoJLWsAMzXh7.png", "http://pbs.twimg.com/media/DZWfoJLWsAMzXh7.png")</f>
        <v/>
      </c>
      <c r="G2104" t="s"/>
      <c r="H2104" t="s"/>
      <c r="I2104" t="s"/>
      <c r="J2104" t="n">
        <v>0</v>
      </c>
      <c r="K2104" t="n">
        <v>0</v>
      </c>
      <c r="L2104" t="n">
        <v>1</v>
      </c>
      <c r="M2104" t="n">
        <v>0</v>
      </c>
    </row>
    <row r="2105" spans="1:13">
      <c r="A2105" s="1">
        <f>HYPERLINK("http://www.twitter.com/NathanBLawrence/status/979102403604627456", "979102403604627456")</f>
        <v/>
      </c>
      <c r="B2105" s="2" t="n">
        <v>43187.879375</v>
      </c>
      <c r="C2105" t="n">
        <v>5</v>
      </c>
      <c r="D2105" t="n">
        <v>2</v>
      </c>
      <c r="E2105" t="s">
        <v>2114</v>
      </c>
      <c r="F2105" t="s"/>
      <c r="G2105" t="s"/>
      <c r="H2105" t="s"/>
      <c r="I2105" t="s"/>
      <c r="J2105" t="n">
        <v>-0.2263</v>
      </c>
      <c r="K2105" t="n">
        <v>0.274</v>
      </c>
      <c r="L2105" t="n">
        <v>0.519</v>
      </c>
      <c r="M2105" t="n">
        <v>0.207</v>
      </c>
    </row>
    <row r="2106" spans="1:13">
      <c r="A2106" s="1">
        <f>HYPERLINK("http://www.twitter.com/NathanBLawrence/status/979102350722781184", "979102350722781184")</f>
        <v/>
      </c>
      <c r="B2106" s="2" t="n">
        <v>43187.87922453704</v>
      </c>
      <c r="C2106" t="n">
        <v>6</v>
      </c>
      <c r="D2106" t="n">
        <v>0</v>
      </c>
      <c r="E2106" t="s">
        <v>2115</v>
      </c>
      <c r="F2106" t="s"/>
      <c r="G2106" t="s"/>
      <c r="H2106" t="s"/>
      <c r="I2106" t="s"/>
      <c r="J2106" t="n">
        <v>0</v>
      </c>
      <c r="K2106" t="n">
        <v>0</v>
      </c>
      <c r="L2106" t="n">
        <v>1</v>
      </c>
      <c r="M2106" t="n">
        <v>0</v>
      </c>
    </row>
    <row r="2107" spans="1:13">
      <c r="A2107" s="1">
        <f>HYPERLINK("http://www.twitter.com/NathanBLawrence/status/979010756015415296", "979010756015415296")</f>
        <v/>
      </c>
      <c r="B2107" s="2" t="n">
        <v>43187.62648148148</v>
      </c>
      <c r="C2107" t="n">
        <v>13</v>
      </c>
      <c r="D2107" t="n">
        <v>5</v>
      </c>
      <c r="E2107" t="s">
        <v>2116</v>
      </c>
      <c r="F2107" t="s"/>
      <c r="G2107" t="s"/>
      <c r="H2107" t="s"/>
      <c r="I2107" t="s"/>
      <c r="J2107" t="n">
        <v>0</v>
      </c>
      <c r="K2107" t="n">
        <v>0</v>
      </c>
      <c r="L2107" t="n">
        <v>1</v>
      </c>
      <c r="M2107" t="n">
        <v>0</v>
      </c>
    </row>
    <row r="2108" spans="1:13">
      <c r="A2108" s="1">
        <f>HYPERLINK("http://www.twitter.com/NathanBLawrence/status/978948873195433986", "978948873195433986")</f>
        <v/>
      </c>
      <c r="B2108" s="2" t="n">
        <v>43187.45571759259</v>
      </c>
      <c r="C2108" t="n">
        <v>0</v>
      </c>
      <c r="D2108" t="n">
        <v>5</v>
      </c>
      <c r="E2108" t="s">
        <v>2117</v>
      </c>
      <c r="F2108" t="s"/>
      <c r="G2108" t="s"/>
      <c r="H2108" t="s"/>
      <c r="I2108" t="s"/>
      <c r="J2108" t="n">
        <v>0.2677</v>
      </c>
      <c r="K2108" t="n">
        <v>0.279</v>
      </c>
      <c r="L2108" t="n">
        <v>0.522</v>
      </c>
      <c r="M2108" t="n">
        <v>0.199</v>
      </c>
    </row>
    <row r="2109" spans="1:13">
      <c r="A2109" s="1">
        <f>HYPERLINK("http://www.twitter.com/NathanBLawrence/status/978948801279926272", "978948801279926272")</f>
        <v/>
      </c>
      <c r="B2109" s="2" t="n">
        <v>43187.45550925926</v>
      </c>
      <c r="C2109" t="n">
        <v>0</v>
      </c>
      <c r="D2109" t="n">
        <v>2</v>
      </c>
      <c r="E2109" t="s">
        <v>2118</v>
      </c>
      <c r="F2109" t="s"/>
      <c r="G2109" t="s"/>
      <c r="H2109" t="s"/>
      <c r="I2109" t="s"/>
      <c r="J2109" t="n">
        <v>0</v>
      </c>
      <c r="K2109" t="n">
        <v>0</v>
      </c>
      <c r="L2109" t="n">
        <v>1</v>
      </c>
      <c r="M2109" t="n">
        <v>0</v>
      </c>
    </row>
    <row r="2110" spans="1:13">
      <c r="A2110" s="1">
        <f>HYPERLINK("http://www.twitter.com/NathanBLawrence/status/978948098893398016", "978948098893398016")</f>
        <v/>
      </c>
      <c r="B2110" s="2" t="n">
        <v>43187.45357638889</v>
      </c>
      <c r="C2110" t="n">
        <v>0</v>
      </c>
      <c r="D2110" t="n">
        <v>285</v>
      </c>
      <c r="E2110" t="s">
        <v>2119</v>
      </c>
      <c r="F2110">
        <f>HYPERLINK("http://pbs.twimg.com/media/DZOw4MeX0AAXKbk.jpg", "http://pbs.twimg.com/media/DZOw4MeX0AAXKbk.jpg")</f>
        <v/>
      </c>
      <c r="G2110" t="s"/>
      <c r="H2110" t="s"/>
      <c r="I2110" t="s"/>
      <c r="J2110" t="n">
        <v>0.7423999999999999</v>
      </c>
      <c r="K2110" t="n">
        <v>0.054</v>
      </c>
      <c r="L2110" t="n">
        <v>0.6899999999999999</v>
      </c>
      <c r="M2110" t="n">
        <v>0.256</v>
      </c>
    </row>
    <row r="2111" spans="1:13">
      <c r="A2111" s="1">
        <f>HYPERLINK("http://www.twitter.com/NathanBLawrence/status/978947789479530496", "978947789479530496")</f>
        <v/>
      </c>
      <c r="B2111" s="2" t="n">
        <v>43187.45271990741</v>
      </c>
      <c r="C2111" t="n">
        <v>0</v>
      </c>
      <c r="D2111" t="n">
        <v>3</v>
      </c>
      <c r="E2111" t="s">
        <v>2112</v>
      </c>
      <c r="F2111">
        <f>HYPERLINK("http://pbs.twimg.com/media/DZXglhNX0AAHcuC.jpg", "http://pbs.twimg.com/media/DZXglhNX0AAHcuC.jpg")</f>
        <v/>
      </c>
      <c r="G2111" t="s"/>
      <c r="H2111" t="s"/>
      <c r="I2111" t="s"/>
      <c r="J2111" t="n">
        <v>0</v>
      </c>
      <c r="K2111" t="n">
        <v>0</v>
      </c>
      <c r="L2111" t="n">
        <v>1</v>
      </c>
      <c r="M2111" t="n">
        <v>0</v>
      </c>
    </row>
    <row r="2112" spans="1:13">
      <c r="A2112" s="1">
        <f>HYPERLINK("http://www.twitter.com/NathanBLawrence/status/978947687780200448", "978947687780200448")</f>
        <v/>
      </c>
      <c r="B2112" s="2" t="n">
        <v>43187.45244212963</v>
      </c>
      <c r="C2112" t="n">
        <v>0</v>
      </c>
      <c r="D2112" t="n">
        <v>15</v>
      </c>
      <c r="E2112" t="s">
        <v>2120</v>
      </c>
      <c r="F2112">
        <f>HYPERLINK("http://pbs.twimg.com/media/DZXqTkPUQAAWLdW.jpg", "http://pbs.twimg.com/media/DZXqTkPUQAAWLdW.jpg")</f>
        <v/>
      </c>
      <c r="G2112" t="s"/>
      <c r="H2112" t="s"/>
      <c r="I2112" t="s"/>
      <c r="J2112" t="n">
        <v>-0.128</v>
      </c>
      <c r="K2112" t="n">
        <v>0.108</v>
      </c>
      <c r="L2112" t="n">
        <v>0.803</v>
      </c>
      <c r="M2112" t="n">
        <v>0.08799999999999999</v>
      </c>
    </row>
    <row r="2113" spans="1:13">
      <c r="A2113" s="1">
        <f>HYPERLINK("http://www.twitter.com/NathanBLawrence/status/978947611708203009", "978947611708203009")</f>
        <v/>
      </c>
      <c r="B2113" s="2" t="n">
        <v>43187.4522337963</v>
      </c>
      <c r="C2113" t="n">
        <v>0</v>
      </c>
      <c r="D2113" t="n">
        <v>136</v>
      </c>
      <c r="E2113" t="s">
        <v>2121</v>
      </c>
      <c r="F2113">
        <f>HYPERLINK("http://pbs.twimg.com/media/DZXErYoWkAEftUx.jpg", "http://pbs.twimg.com/media/DZXErYoWkAEftUx.jpg")</f>
        <v/>
      </c>
      <c r="G2113" t="s"/>
      <c r="H2113" t="s"/>
      <c r="I2113" t="s"/>
      <c r="J2113" t="n">
        <v>0</v>
      </c>
      <c r="K2113" t="n">
        <v>0</v>
      </c>
      <c r="L2113" t="n">
        <v>1</v>
      </c>
      <c r="M2113" t="n">
        <v>0</v>
      </c>
    </row>
    <row r="2114" spans="1:13">
      <c r="A2114" s="1">
        <f>HYPERLINK("http://www.twitter.com/NathanBLawrence/status/978947445966086144", "978947445966086144")</f>
        <v/>
      </c>
      <c r="B2114" s="2" t="n">
        <v>43187.45177083334</v>
      </c>
      <c r="C2114" t="n">
        <v>0</v>
      </c>
      <c r="D2114" t="n">
        <v>22</v>
      </c>
      <c r="E2114" t="s">
        <v>2122</v>
      </c>
      <c r="F2114">
        <f>HYPERLINK("http://pbs.twimg.com/media/DZXQxG8X4AACd4l.jpg", "http://pbs.twimg.com/media/DZXQxG8X4AACd4l.jpg")</f>
        <v/>
      </c>
      <c r="G2114" t="s"/>
      <c r="H2114" t="s"/>
      <c r="I2114" t="s"/>
      <c r="J2114" t="n">
        <v>0</v>
      </c>
      <c r="K2114" t="n">
        <v>0</v>
      </c>
      <c r="L2114" t="n">
        <v>1</v>
      </c>
      <c r="M2114" t="n">
        <v>0</v>
      </c>
    </row>
    <row r="2115" spans="1:13">
      <c r="A2115" s="1">
        <f>HYPERLINK("http://www.twitter.com/NathanBLawrence/status/978947358250553344", "978947358250553344")</f>
        <v/>
      </c>
      <c r="B2115" s="2" t="n">
        <v>43187.45152777778</v>
      </c>
      <c r="C2115" t="n">
        <v>0</v>
      </c>
      <c r="D2115" t="n">
        <v>41</v>
      </c>
      <c r="E2115" t="s">
        <v>2123</v>
      </c>
      <c r="F2115">
        <f>HYPERLINK("http://pbs.twimg.com/media/DZXMJ5FVAAEf1sX.jpg", "http://pbs.twimg.com/media/DZXMJ5FVAAEf1sX.jpg")</f>
        <v/>
      </c>
      <c r="G2115" t="s"/>
      <c r="H2115" t="s"/>
      <c r="I2115" t="s"/>
      <c r="J2115" t="n">
        <v>0.4215</v>
      </c>
      <c r="K2115" t="n">
        <v>0</v>
      </c>
      <c r="L2115" t="n">
        <v>0.851</v>
      </c>
      <c r="M2115" t="n">
        <v>0.149</v>
      </c>
    </row>
    <row r="2116" spans="1:13">
      <c r="A2116" s="1">
        <f>HYPERLINK("http://www.twitter.com/NathanBLawrence/status/978947307432419331", "978947307432419331")</f>
        <v/>
      </c>
      <c r="B2116" s="2" t="n">
        <v>43187.45138888889</v>
      </c>
      <c r="C2116" t="n">
        <v>0</v>
      </c>
      <c r="D2116" t="n">
        <v>194</v>
      </c>
      <c r="E2116" t="s">
        <v>2124</v>
      </c>
      <c r="F2116">
        <f>HYPERLINK("http://pbs.twimg.com/media/DZXelNTVwAAW9a2.jpg", "http://pbs.twimg.com/media/DZXelNTVwAAW9a2.jpg")</f>
        <v/>
      </c>
      <c r="G2116" t="s"/>
      <c r="H2116" t="s"/>
      <c r="I2116" t="s"/>
      <c r="J2116" t="n">
        <v>0.6981000000000001</v>
      </c>
      <c r="K2116" t="n">
        <v>0</v>
      </c>
      <c r="L2116" t="n">
        <v>0.51</v>
      </c>
      <c r="M2116" t="n">
        <v>0.49</v>
      </c>
    </row>
    <row r="2117" spans="1:13">
      <c r="A2117" s="1">
        <f>HYPERLINK("http://www.twitter.com/NathanBLawrence/status/978947217196072960", "978947217196072960")</f>
        <v/>
      </c>
      <c r="B2117" s="2" t="n">
        <v>43187.45114583334</v>
      </c>
      <c r="C2117" t="n">
        <v>0</v>
      </c>
      <c r="D2117" t="n">
        <v>42</v>
      </c>
      <c r="E2117" t="s">
        <v>2125</v>
      </c>
      <c r="F2117">
        <f>HYPERLINK("http://pbs.twimg.com/media/DZXqks1WsAAu3C3.jpg", "http://pbs.twimg.com/media/DZXqks1WsAAu3C3.jpg")</f>
        <v/>
      </c>
      <c r="G2117" t="s"/>
      <c r="H2117" t="s"/>
      <c r="I2117" t="s"/>
      <c r="J2117" t="n">
        <v>-0.4404</v>
      </c>
      <c r="K2117" t="n">
        <v>0.132</v>
      </c>
      <c r="L2117" t="n">
        <v>0.868</v>
      </c>
      <c r="M2117" t="n">
        <v>0</v>
      </c>
    </row>
    <row r="2118" spans="1:13">
      <c r="A2118" s="1">
        <f>HYPERLINK("http://www.twitter.com/NathanBLawrence/status/978947148317429761", "978947148317429761")</f>
        <v/>
      </c>
      <c r="B2118" s="2" t="n">
        <v>43187.45094907407</v>
      </c>
      <c r="C2118" t="n">
        <v>0</v>
      </c>
      <c r="D2118" t="n">
        <v>23802</v>
      </c>
      <c r="E2118" t="s">
        <v>2126</v>
      </c>
      <c r="F2118" t="s"/>
      <c r="G2118" t="s"/>
      <c r="H2118" t="s"/>
      <c r="I2118" t="s"/>
      <c r="J2118" t="n">
        <v>0.3384</v>
      </c>
      <c r="K2118" t="n">
        <v>0</v>
      </c>
      <c r="L2118" t="n">
        <v>0.909</v>
      </c>
      <c r="M2118" t="n">
        <v>0.091</v>
      </c>
    </row>
    <row r="2119" spans="1:13">
      <c r="A2119" s="1">
        <f>HYPERLINK("http://www.twitter.com/NathanBLawrence/status/978947052431294464", "978947052431294464")</f>
        <v/>
      </c>
      <c r="B2119" s="2" t="n">
        <v>43187.45068287037</v>
      </c>
      <c r="C2119" t="n">
        <v>0</v>
      </c>
      <c r="D2119" t="n">
        <v>13</v>
      </c>
      <c r="E2119" t="s">
        <v>2127</v>
      </c>
      <c r="F2119">
        <f>HYPERLINK("http://pbs.twimg.com/media/DZXCQnHWAAANmal.jpg", "http://pbs.twimg.com/media/DZXCQnHWAAANmal.jpg")</f>
        <v/>
      </c>
      <c r="G2119">
        <f>HYPERLINK("http://pbs.twimg.com/media/DZXCVGMWAAEwSxH.jpg", "http://pbs.twimg.com/media/DZXCVGMWAAEwSxH.jpg")</f>
        <v/>
      </c>
      <c r="H2119">
        <f>HYPERLINK("http://pbs.twimg.com/media/DZXCYgYWkAELbd4.jpg", "http://pbs.twimg.com/media/DZXCYgYWkAELbd4.jpg")</f>
        <v/>
      </c>
      <c r="I2119">
        <f>HYPERLINK("http://pbs.twimg.com/media/DZXCbcDW4AAIijd.jpg", "http://pbs.twimg.com/media/DZXCbcDW4AAIijd.jpg")</f>
        <v/>
      </c>
      <c r="J2119" t="n">
        <v>-0.3612</v>
      </c>
      <c r="K2119" t="n">
        <v>0.326</v>
      </c>
      <c r="L2119" t="n">
        <v>0.444</v>
      </c>
      <c r="M2119" t="n">
        <v>0.23</v>
      </c>
    </row>
    <row r="2120" spans="1:13">
      <c r="A2120" s="1">
        <f>HYPERLINK("http://www.twitter.com/NathanBLawrence/status/978946994306564097", "978946994306564097")</f>
        <v/>
      </c>
      <c r="B2120" s="2" t="n">
        <v>43187.45053240741</v>
      </c>
      <c r="C2120" t="n">
        <v>0</v>
      </c>
      <c r="D2120" t="n">
        <v>58462</v>
      </c>
      <c r="E2120" t="s">
        <v>2128</v>
      </c>
      <c r="F2120" t="s"/>
      <c r="G2120" t="s"/>
      <c r="H2120" t="s"/>
      <c r="I2120" t="s"/>
      <c r="J2120" t="n">
        <v>0.4199</v>
      </c>
      <c r="K2120" t="n">
        <v>0</v>
      </c>
      <c r="L2120" t="n">
        <v>0.887</v>
      </c>
      <c r="M2120" t="n">
        <v>0.113</v>
      </c>
    </row>
    <row r="2121" spans="1:13">
      <c r="A2121" s="1">
        <f>HYPERLINK("http://www.twitter.com/NathanBLawrence/status/978893042768859137", "978893042768859137")</f>
        <v/>
      </c>
      <c r="B2121" s="2" t="n">
        <v>43187.30165509259</v>
      </c>
      <c r="C2121" t="n">
        <v>0</v>
      </c>
      <c r="D2121" t="n">
        <v>8</v>
      </c>
      <c r="E2121" t="s">
        <v>2129</v>
      </c>
      <c r="F2121">
        <f>HYPERLINK("http://pbs.twimg.com/media/DZWnajtWkAIItu6.jpg", "http://pbs.twimg.com/media/DZWnajtWkAIItu6.jpg")</f>
        <v/>
      </c>
      <c r="G2121" t="s"/>
      <c r="H2121" t="s"/>
      <c r="I2121" t="s"/>
      <c r="J2121" t="n">
        <v>0</v>
      </c>
      <c r="K2121" t="n">
        <v>0</v>
      </c>
      <c r="L2121" t="n">
        <v>1</v>
      </c>
      <c r="M2121" t="n">
        <v>0</v>
      </c>
    </row>
    <row r="2122" spans="1:13">
      <c r="A2122" s="1">
        <f>HYPERLINK("http://www.twitter.com/NathanBLawrence/status/978892903983538176", "978892903983538176")</f>
        <v/>
      </c>
      <c r="B2122" s="2" t="n">
        <v>43187.30126157407</v>
      </c>
      <c r="C2122" t="n">
        <v>0</v>
      </c>
      <c r="D2122" t="n">
        <v>203</v>
      </c>
      <c r="E2122" t="s">
        <v>2130</v>
      </c>
      <c r="F2122">
        <f>HYPERLINK("http://pbs.twimg.com/media/DZVYr9cW4AEoEEQ.jpg", "http://pbs.twimg.com/media/DZVYr9cW4AEoEEQ.jpg")</f>
        <v/>
      </c>
      <c r="G2122" t="s"/>
      <c r="H2122" t="s"/>
      <c r="I2122" t="s"/>
      <c r="J2122" t="n">
        <v>0.1531</v>
      </c>
      <c r="K2122" t="n">
        <v>0</v>
      </c>
      <c r="L2122" t="n">
        <v>0.929</v>
      </c>
      <c r="M2122" t="n">
        <v>0.07099999999999999</v>
      </c>
    </row>
    <row r="2123" spans="1:13">
      <c r="A2123" s="1">
        <f>HYPERLINK("http://www.twitter.com/NathanBLawrence/status/978892825063550977", "978892825063550977")</f>
        <v/>
      </c>
      <c r="B2123" s="2" t="n">
        <v>43187.30105324074</v>
      </c>
      <c r="C2123" t="n">
        <v>0</v>
      </c>
      <c r="D2123" t="n">
        <v>896</v>
      </c>
      <c r="E2123" t="s">
        <v>2131</v>
      </c>
      <c r="F2123">
        <f>HYPERLINK("http://pbs.twimg.com/media/DZUYsDDVoAA7bia.jpg", "http://pbs.twimg.com/media/DZUYsDDVoAA7bia.jpg")</f>
        <v/>
      </c>
      <c r="G2123" t="s"/>
      <c r="H2123" t="s"/>
      <c r="I2123" t="s"/>
      <c r="J2123" t="n">
        <v>0</v>
      </c>
      <c r="K2123" t="n">
        <v>0</v>
      </c>
      <c r="L2123" t="n">
        <v>1</v>
      </c>
      <c r="M2123" t="n">
        <v>0</v>
      </c>
    </row>
    <row r="2124" spans="1:13">
      <c r="A2124" s="1">
        <f>HYPERLINK("http://www.twitter.com/NathanBLawrence/status/978892455432130560", "978892455432130560")</f>
        <v/>
      </c>
      <c r="B2124" s="2" t="n">
        <v>43187.30002314815</v>
      </c>
      <c r="C2124" t="n">
        <v>0</v>
      </c>
      <c r="D2124" t="n">
        <v>1972</v>
      </c>
      <c r="E2124" t="s">
        <v>2132</v>
      </c>
      <c r="F2124" t="s"/>
      <c r="G2124" t="s"/>
      <c r="H2124" t="s"/>
      <c r="I2124" t="s"/>
      <c r="J2124" t="n">
        <v>0.8807</v>
      </c>
      <c r="K2124" t="n">
        <v>0</v>
      </c>
      <c r="L2124" t="n">
        <v>0.651</v>
      </c>
      <c r="M2124" t="n">
        <v>0.349</v>
      </c>
    </row>
    <row r="2125" spans="1:13">
      <c r="A2125" s="1">
        <f>HYPERLINK("http://www.twitter.com/NathanBLawrence/status/978892206852444162", "978892206852444162")</f>
        <v/>
      </c>
      <c r="B2125" s="2" t="n">
        <v>43187.29934027778</v>
      </c>
      <c r="C2125" t="n">
        <v>0</v>
      </c>
      <c r="D2125" t="n">
        <v>9615</v>
      </c>
      <c r="E2125" t="s">
        <v>2133</v>
      </c>
      <c r="F2125" t="s"/>
      <c r="G2125" t="s"/>
      <c r="H2125" t="s"/>
      <c r="I2125" t="s"/>
      <c r="J2125" t="n">
        <v>-0.8092</v>
      </c>
      <c r="K2125" t="n">
        <v>0.368</v>
      </c>
      <c r="L2125" t="n">
        <v>0.632</v>
      </c>
      <c r="M2125" t="n">
        <v>0</v>
      </c>
    </row>
    <row r="2126" spans="1:13">
      <c r="A2126" s="1">
        <f>HYPERLINK("http://www.twitter.com/NathanBLawrence/status/978891961569628161", "978891961569628161")</f>
        <v/>
      </c>
      <c r="B2126" s="2" t="n">
        <v>43187.29866898148</v>
      </c>
      <c r="C2126" t="n">
        <v>10</v>
      </c>
      <c r="D2126" t="n">
        <v>2</v>
      </c>
      <c r="E2126" t="s">
        <v>2134</v>
      </c>
      <c r="F2126" t="s"/>
      <c r="G2126" t="s"/>
      <c r="H2126" t="s"/>
      <c r="I2126" t="s"/>
      <c r="J2126" t="n">
        <v>0</v>
      </c>
      <c r="K2126" t="n">
        <v>0</v>
      </c>
      <c r="L2126" t="n">
        <v>1</v>
      </c>
      <c r="M2126" t="n">
        <v>0</v>
      </c>
    </row>
    <row r="2127" spans="1:13">
      <c r="A2127" s="1">
        <f>HYPERLINK("http://www.twitter.com/NathanBLawrence/status/978890109675335680", "978890109675335680")</f>
        <v/>
      </c>
      <c r="B2127" s="2" t="n">
        <v>43187.29355324074</v>
      </c>
      <c r="C2127" t="n">
        <v>0</v>
      </c>
      <c r="D2127" t="n">
        <v>0</v>
      </c>
      <c r="E2127" t="s">
        <v>2135</v>
      </c>
      <c r="F2127" t="s"/>
      <c r="G2127" t="s"/>
      <c r="H2127" t="s"/>
      <c r="I2127" t="s"/>
      <c r="J2127" t="n">
        <v>0</v>
      </c>
      <c r="K2127" t="n">
        <v>0</v>
      </c>
      <c r="L2127" t="n">
        <v>1</v>
      </c>
      <c r="M2127" t="n">
        <v>0</v>
      </c>
    </row>
    <row r="2128" spans="1:13">
      <c r="A2128" s="1">
        <f>HYPERLINK("http://www.twitter.com/NathanBLawrence/status/978887012899016711", "978887012899016711")</f>
        <v/>
      </c>
      <c r="B2128" s="2" t="n">
        <v>43187.28501157407</v>
      </c>
      <c r="C2128" t="n">
        <v>3</v>
      </c>
      <c r="D2128" t="n">
        <v>0</v>
      </c>
      <c r="E2128" t="s">
        <v>2136</v>
      </c>
      <c r="F2128" t="s"/>
      <c r="G2128" t="s"/>
      <c r="H2128" t="s"/>
      <c r="I2128" t="s"/>
      <c r="J2128" t="n">
        <v>0.4574</v>
      </c>
      <c r="K2128" t="n">
        <v>0</v>
      </c>
      <c r="L2128" t="n">
        <v>0.626</v>
      </c>
      <c r="M2128" t="n">
        <v>0.374</v>
      </c>
    </row>
    <row r="2129" spans="1:13">
      <c r="A2129" s="1">
        <f>HYPERLINK("http://www.twitter.com/NathanBLawrence/status/978886682744324106", "978886682744324106")</f>
        <v/>
      </c>
      <c r="B2129" s="2" t="n">
        <v>43187.28409722223</v>
      </c>
      <c r="C2129" t="n">
        <v>1</v>
      </c>
      <c r="D2129" t="n">
        <v>0</v>
      </c>
      <c r="E2129" t="s">
        <v>2137</v>
      </c>
      <c r="F2129" t="s"/>
      <c r="G2129" t="s"/>
      <c r="H2129" t="s"/>
      <c r="I2129" t="s"/>
      <c r="J2129" t="n">
        <v>0</v>
      </c>
      <c r="K2129" t="n">
        <v>0</v>
      </c>
      <c r="L2129" t="n">
        <v>1</v>
      </c>
      <c r="M2129" t="n">
        <v>0</v>
      </c>
    </row>
    <row r="2130" spans="1:13">
      <c r="A2130" s="1">
        <f>HYPERLINK("http://www.twitter.com/NathanBLawrence/status/978886452288393217", "978886452288393217")</f>
        <v/>
      </c>
      <c r="B2130" s="2" t="n">
        <v>43187.28346064815</v>
      </c>
      <c r="C2130" t="n">
        <v>0</v>
      </c>
      <c r="D2130" t="n">
        <v>5363</v>
      </c>
      <c r="E2130" t="s">
        <v>2138</v>
      </c>
      <c r="F2130">
        <f>HYPERLINK("https://video.twimg.com/amplify_video/978743716696481792/vid/720x720/kahsNFwZsgP6R4QP.mp4", "https://video.twimg.com/amplify_video/978743716696481792/vid/720x720/kahsNFwZsgP6R4QP.mp4")</f>
        <v/>
      </c>
      <c r="G2130" t="s"/>
      <c r="H2130" t="s"/>
      <c r="I2130" t="s"/>
      <c r="J2130" t="n">
        <v>0</v>
      </c>
      <c r="K2130" t="n">
        <v>0</v>
      </c>
      <c r="L2130" t="n">
        <v>1</v>
      </c>
      <c r="M2130" t="n">
        <v>0</v>
      </c>
    </row>
    <row r="2131" spans="1:13">
      <c r="A2131" s="1">
        <f>HYPERLINK("http://www.twitter.com/NathanBLawrence/status/978886294184038400", "978886294184038400")</f>
        <v/>
      </c>
      <c r="B2131" s="2" t="n">
        <v>43187.28303240741</v>
      </c>
      <c r="C2131" t="n">
        <v>0</v>
      </c>
      <c r="D2131" t="n">
        <v>45</v>
      </c>
      <c r="E2131" t="s">
        <v>2139</v>
      </c>
      <c r="F2131" t="s"/>
      <c r="G2131" t="s"/>
      <c r="H2131" t="s"/>
      <c r="I2131" t="s"/>
      <c r="J2131" t="n">
        <v>0.802</v>
      </c>
      <c r="K2131" t="n">
        <v>0</v>
      </c>
      <c r="L2131" t="n">
        <v>0.714</v>
      </c>
      <c r="M2131" t="n">
        <v>0.286</v>
      </c>
    </row>
    <row r="2132" spans="1:13">
      <c r="A2132" s="1">
        <f>HYPERLINK("http://www.twitter.com/NathanBLawrence/status/978885895783927808", "978885895783927808")</f>
        <v/>
      </c>
      <c r="B2132" s="2" t="n">
        <v>43187.28193287037</v>
      </c>
      <c r="C2132" t="n">
        <v>0</v>
      </c>
      <c r="D2132" t="n">
        <v>47</v>
      </c>
      <c r="E2132" t="s">
        <v>2140</v>
      </c>
      <c r="F2132">
        <f>HYPERLINK("http://pbs.twimg.com/media/DZWVJy5WAAE3CSx.jpg", "http://pbs.twimg.com/media/DZWVJy5WAAE3CSx.jpg")</f>
        <v/>
      </c>
      <c r="G2132" t="s"/>
      <c r="H2132" t="s"/>
      <c r="I2132" t="s"/>
      <c r="J2132" t="n">
        <v>0</v>
      </c>
      <c r="K2132" t="n">
        <v>0</v>
      </c>
      <c r="L2132" t="n">
        <v>1</v>
      </c>
      <c r="M2132" t="n">
        <v>0</v>
      </c>
    </row>
    <row r="2133" spans="1:13">
      <c r="A2133" s="1">
        <f>HYPERLINK("http://www.twitter.com/NathanBLawrence/status/978885540983558146", "978885540983558146")</f>
        <v/>
      </c>
      <c r="B2133" s="2" t="n">
        <v>43187.28094907408</v>
      </c>
      <c r="C2133" t="n">
        <v>0</v>
      </c>
      <c r="D2133" t="n">
        <v>669</v>
      </c>
      <c r="E2133" t="s">
        <v>2141</v>
      </c>
      <c r="F2133">
        <f>HYPERLINK("http://pbs.twimg.com/media/DYhzKiwX0AIC2WP.jpg", "http://pbs.twimg.com/media/DYhzKiwX0AIC2WP.jpg")</f>
        <v/>
      </c>
      <c r="G2133" t="s"/>
      <c r="H2133" t="s"/>
      <c r="I2133" t="s"/>
      <c r="J2133" t="n">
        <v>-0.1449</v>
      </c>
      <c r="K2133" t="n">
        <v>0.239</v>
      </c>
      <c r="L2133" t="n">
        <v>0.511</v>
      </c>
      <c r="M2133" t="n">
        <v>0.25</v>
      </c>
    </row>
    <row r="2134" spans="1:13">
      <c r="A2134" s="1">
        <f>HYPERLINK("http://www.twitter.com/NathanBLawrence/status/978885479583055873", "978885479583055873")</f>
        <v/>
      </c>
      <c r="B2134" s="2" t="n">
        <v>43187.28077546296</v>
      </c>
      <c r="C2134" t="n">
        <v>0</v>
      </c>
      <c r="D2134" t="n">
        <v>59</v>
      </c>
      <c r="E2134" t="s">
        <v>2142</v>
      </c>
      <c r="F2134">
        <f>HYPERLINK("http://pbs.twimg.com/media/DZWwVkdXcAItTPc.jpg", "http://pbs.twimg.com/media/DZWwVkdXcAItTPc.jpg")</f>
        <v/>
      </c>
      <c r="G2134" t="s"/>
      <c r="H2134" t="s"/>
      <c r="I2134" t="s"/>
      <c r="J2134" t="n">
        <v>0</v>
      </c>
      <c r="K2134" t="n">
        <v>0</v>
      </c>
      <c r="L2134" t="n">
        <v>1</v>
      </c>
      <c r="M2134" t="n">
        <v>0</v>
      </c>
    </row>
    <row r="2135" spans="1:13">
      <c r="A2135" s="1">
        <f>HYPERLINK("http://www.twitter.com/NathanBLawrence/status/978885379121131521", "978885379121131521")</f>
        <v/>
      </c>
      <c r="B2135" s="2" t="n">
        <v>43187.28049768518</v>
      </c>
      <c r="C2135" t="n">
        <v>0</v>
      </c>
      <c r="D2135" t="n">
        <v>11</v>
      </c>
      <c r="E2135" t="s">
        <v>2143</v>
      </c>
      <c r="F2135">
        <f>HYPERLINK("http://pbs.twimg.com/media/DZWts1oWkAAd-rB.jpg", "http://pbs.twimg.com/media/DZWts1oWkAAd-rB.jpg")</f>
        <v/>
      </c>
      <c r="G2135" t="s"/>
      <c r="H2135" t="s"/>
      <c r="I2135" t="s"/>
      <c r="J2135" t="n">
        <v>-0.5696</v>
      </c>
      <c r="K2135" t="n">
        <v>0.156</v>
      </c>
      <c r="L2135" t="n">
        <v>0.844</v>
      </c>
      <c r="M2135" t="n">
        <v>0</v>
      </c>
    </row>
    <row r="2136" spans="1:13">
      <c r="A2136" s="1">
        <f>HYPERLINK("http://www.twitter.com/NathanBLawrence/status/978885297579679744", "978885297579679744")</f>
        <v/>
      </c>
      <c r="B2136" s="2" t="n">
        <v>43187.28027777778</v>
      </c>
      <c r="C2136" t="n">
        <v>16</v>
      </c>
      <c r="D2136" t="n">
        <v>5</v>
      </c>
      <c r="E2136" t="s">
        <v>2144</v>
      </c>
      <c r="F2136" t="s"/>
      <c r="G2136" t="s"/>
      <c r="H2136" t="s"/>
      <c r="I2136" t="s"/>
      <c r="J2136" t="n">
        <v>0.2677</v>
      </c>
      <c r="K2136" t="n">
        <v>0.308</v>
      </c>
      <c r="L2136" t="n">
        <v>0.472</v>
      </c>
      <c r="M2136" t="n">
        <v>0.22</v>
      </c>
    </row>
    <row r="2137" spans="1:13">
      <c r="A2137" s="1">
        <f>HYPERLINK("http://www.twitter.com/NathanBLawrence/status/978884758221533184", "978884758221533184")</f>
        <v/>
      </c>
      <c r="B2137" s="2" t="n">
        <v>43187.27878472222</v>
      </c>
      <c r="C2137" t="n">
        <v>0</v>
      </c>
      <c r="D2137" t="n">
        <v>247</v>
      </c>
      <c r="E2137" t="s">
        <v>2145</v>
      </c>
      <c r="F2137">
        <f>HYPERLINK("http://pbs.twimg.com/media/DZU7O0OUMAY4Rb3.jpg", "http://pbs.twimg.com/media/DZU7O0OUMAY4Rb3.jpg")</f>
        <v/>
      </c>
      <c r="G2137" t="s"/>
      <c r="H2137" t="s"/>
      <c r="I2137" t="s"/>
      <c r="J2137" t="n">
        <v>0</v>
      </c>
      <c r="K2137" t="n">
        <v>0</v>
      </c>
      <c r="L2137" t="n">
        <v>1</v>
      </c>
      <c r="M2137" t="n">
        <v>0</v>
      </c>
    </row>
    <row r="2138" spans="1:13">
      <c r="A2138" s="1">
        <f>HYPERLINK("http://www.twitter.com/NathanBLawrence/status/978884652038488064", "978884652038488064")</f>
        <v/>
      </c>
      <c r="B2138" s="2" t="n">
        <v>43187.27849537037</v>
      </c>
      <c r="C2138" t="n">
        <v>0</v>
      </c>
      <c r="D2138" t="n">
        <v>317</v>
      </c>
      <c r="E2138" t="s">
        <v>2146</v>
      </c>
      <c r="F2138">
        <f>HYPERLINK("http://pbs.twimg.com/media/DZNUsNzU8AMqSwh.jpg", "http://pbs.twimg.com/media/DZNUsNzU8AMqSwh.jpg")</f>
        <v/>
      </c>
      <c r="G2138" t="s"/>
      <c r="H2138" t="s"/>
      <c r="I2138" t="s"/>
      <c r="J2138" t="n">
        <v>0</v>
      </c>
      <c r="K2138" t="n">
        <v>0</v>
      </c>
      <c r="L2138" t="n">
        <v>1</v>
      </c>
      <c r="M2138" t="n">
        <v>0</v>
      </c>
    </row>
    <row r="2139" spans="1:13">
      <c r="A2139" s="1">
        <f>HYPERLINK("http://www.twitter.com/NathanBLawrence/status/978884439299194883", "978884439299194883")</f>
        <v/>
      </c>
      <c r="B2139" s="2" t="n">
        <v>43187.27790509259</v>
      </c>
      <c r="C2139" t="n">
        <v>0</v>
      </c>
      <c r="D2139" t="n">
        <v>439</v>
      </c>
      <c r="E2139" t="s">
        <v>2147</v>
      </c>
      <c r="F2139">
        <f>HYPERLINK("http://pbs.twimg.com/media/DZLzsoBVAAA5lvL.jpg", "http://pbs.twimg.com/media/DZLzsoBVAAA5lvL.jpg")</f>
        <v/>
      </c>
      <c r="G2139" t="s"/>
      <c r="H2139" t="s"/>
      <c r="I2139" t="s"/>
      <c r="J2139" t="n">
        <v>0.296</v>
      </c>
      <c r="K2139" t="n">
        <v>0</v>
      </c>
      <c r="L2139" t="n">
        <v>0.905</v>
      </c>
      <c r="M2139" t="n">
        <v>0.095</v>
      </c>
    </row>
    <row r="2140" spans="1:13">
      <c r="A2140" s="1">
        <f>HYPERLINK("http://www.twitter.com/NathanBLawrence/status/978884319610630144", "978884319610630144")</f>
        <v/>
      </c>
      <c r="B2140" s="2" t="n">
        <v>43187.27758101852</v>
      </c>
      <c r="C2140" t="n">
        <v>0</v>
      </c>
      <c r="D2140" t="n">
        <v>296</v>
      </c>
      <c r="E2140" t="s">
        <v>2148</v>
      </c>
      <c r="F2140">
        <f>HYPERLINK("http://pbs.twimg.com/media/DZNxZUrWkAApp0X.jpg", "http://pbs.twimg.com/media/DZNxZUrWkAApp0X.jpg")</f>
        <v/>
      </c>
      <c r="G2140" t="s"/>
      <c r="H2140" t="s"/>
      <c r="I2140" t="s"/>
      <c r="J2140" t="n">
        <v>-0.8658</v>
      </c>
      <c r="K2140" t="n">
        <v>0.31</v>
      </c>
      <c r="L2140" t="n">
        <v>0.65</v>
      </c>
      <c r="M2140" t="n">
        <v>0.04</v>
      </c>
    </row>
    <row r="2141" spans="1:13">
      <c r="A2141" s="1">
        <f>HYPERLINK("http://www.twitter.com/NathanBLawrence/status/978884144133562370", "978884144133562370")</f>
        <v/>
      </c>
      <c r="B2141" s="2" t="n">
        <v>43187.2770949074</v>
      </c>
      <c r="C2141" t="n">
        <v>0</v>
      </c>
      <c r="D2141" t="n">
        <v>745</v>
      </c>
      <c r="E2141" t="s">
        <v>2149</v>
      </c>
      <c r="F2141">
        <f>HYPERLINK("https://video.twimg.com/ext_tw_video/978433271456346112/pu/vid/480x480/1zk9ShpRqYDgX2wB.mp4", "https://video.twimg.com/ext_tw_video/978433271456346112/pu/vid/480x480/1zk9ShpRqYDgX2wB.mp4")</f>
        <v/>
      </c>
      <c r="G2141" t="s"/>
      <c r="H2141" t="s"/>
      <c r="I2141" t="s"/>
      <c r="J2141" t="n">
        <v>0.3612</v>
      </c>
      <c r="K2141" t="n">
        <v>0</v>
      </c>
      <c r="L2141" t="n">
        <v>0.839</v>
      </c>
      <c r="M2141" t="n">
        <v>0.161</v>
      </c>
    </row>
    <row r="2142" spans="1:13">
      <c r="A2142" s="1">
        <f>HYPERLINK("http://www.twitter.com/NathanBLawrence/status/978884016651763715", "978884016651763715")</f>
        <v/>
      </c>
      <c r="B2142" s="2" t="n">
        <v>43187.27674768519</v>
      </c>
      <c r="C2142" t="n">
        <v>0</v>
      </c>
      <c r="D2142" t="n">
        <v>24</v>
      </c>
      <c r="E2142" t="s">
        <v>2150</v>
      </c>
      <c r="F2142">
        <f>HYPERLINK("http://pbs.twimg.com/media/DZTIZkuXUAUKLny.jpg", "http://pbs.twimg.com/media/DZTIZkuXUAUKLny.jpg")</f>
        <v/>
      </c>
      <c r="G2142" t="s"/>
      <c r="H2142" t="s"/>
      <c r="I2142" t="s"/>
      <c r="J2142" t="n">
        <v>-0.5994</v>
      </c>
      <c r="K2142" t="n">
        <v>0.302</v>
      </c>
      <c r="L2142" t="n">
        <v>0.698</v>
      </c>
      <c r="M2142" t="n">
        <v>0</v>
      </c>
    </row>
    <row r="2143" spans="1:13">
      <c r="A2143" s="1">
        <f>HYPERLINK("http://www.twitter.com/NathanBLawrence/status/978881961069563904", "978881961069563904")</f>
        <v/>
      </c>
      <c r="B2143" s="2" t="n">
        <v>43187.27106481481</v>
      </c>
      <c r="C2143" t="n">
        <v>7</v>
      </c>
      <c r="D2143" t="n">
        <v>5</v>
      </c>
      <c r="E2143" t="s">
        <v>2151</v>
      </c>
      <c r="F2143" t="s"/>
      <c r="G2143" t="s"/>
      <c r="H2143" t="s"/>
      <c r="I2143" t="s"/>
      <c r="J2143" t="n">
        <v>-0.1027</v>
      </c>
      <c r="K2143" t="n">
        <v>0.08500000000000001</v>
      </c>
      <c r="L2143" t="n">
        <v>0.915</v>
      </c>
      <c r="M2143" t="n">
        <v>0</v>
      </c>
    </row>
    <row r="2144" spans="1:13">
      <c r="A2144" s="1">
        <f>HYPERLINK("http://www.twitter.com/NathanBLawrence/status/978881775039598592", "978881775039598592")</f>
        <v/>
      </c>
      <c r="B2144" s="2" t="n">
        <v>43187.27055555556</v>
      </c>
      <c r="C2144" t="n">
        <v>2</v>
      </c>
      <c r="D2144" t="n">
        <v>1</v>
      </c>
      <c r="E2144" t="s">
        <v>2152</v>
      </c>
      <c r="F2144" t="s"/>
      <c r="G2144" t="s"/>
      <c r="H2144" t="s"/>
      <c r="I2144" t="s"/>
      <c r="J2144" t="n">
        <v>-0.3182</v>
      </c>
      <c r="K2144" t="n">
        <v>0.29</v>
      </c>
      <c r="L2144" t="n">
        <v>0.546</v>
      </c>
      <c r="M2144" t="n">
        <v>0.164</v>
      </c>
    </row>
    <row r="2145" spans="1:13">
      <c r="A2145" s="1">
        <f>HYPERLINK("http://www.twitter.com/NathanBLawrence/status/978879269035298817", "978879269035298817")</f>
        <v/>
      </c>
      <c r="B2145" s="2" t="n">
        <v>43187.26364583334</v>
      </c>
      <c r="C2145" t="n">
        <v>132</v>
      </c>
      <c r="D2145" t="n">
        <v>86</v>
      </c>
      <c r="E2145" t="s">
        <v>2153</v>
      </c>
      <c r="F2145" t="s"/>
      <c r="G2145" t="s"/>
      <c r="H2145" t="s"/>
      <c r="I2145" t="s"/>
      <c r="J2145" t="n">
        <v>0</v>
      </c>
      <c r="K2145" t="n">
        <v>0</v>
      </c>
      <c r="L2145" t="n">
        <v>1</v>
      </c>
      <c r="M2145" t="n">
        <v>0</v>
      </c>
    </row>
    <row r="2146" spans="1:13">
      <c r="A2146" s="1">
        <f>HYPERLINK("http://www.twitter.com/NathanBLawrence/status/978878922187304960", "978878922187304960")</f>
        <v/>
      </c>
      <c r="B2146" s="2" t="n">
        <v>43187.26268518518</v>
      </c>
      <c r="C2146" t="n">
        <v>4</v>
      </c>
      <c r="D2146" t="n">
        <v>3</v>
      </c>
      <c r="E2146" t="s">
        <v>2154</v>
      </c>
      <c r="F2146" t="s"/>
      <c r="G2146" t="s"/>
      <c r="H2146" t="s"/>
      <c r="I2146" t="s"/>
      <c r="J2146" t="n">
        <v>0</v>
      </c>
      <c r="K2146" t="n">
        <v>0</v>
      </c>
      <c r="L2146" t="n">
        <v>1</v>
      </c>
      <c r="M2146" t="n">
        <v>0</v>
      </c>
    </row>
    <row r="2147" spans="1:13">
      <c r="A2147" s="1">
        <f>HYPERLINK("http://www.twitter.com/NathanBLawrence/status/978878799252205569", "978878799252205569")</f>
        <v/>
      </c>
      <c r="B2147" s="2" t="n">
        <v>43187.26234953704</v>
      </c>
      <c r="C2147" t="n">
        <v>0</v>
      </c>
      <c r="D2147" t="n">
        <v>0</v>
      </c>
      <c r="E2147" t="s">
        <v>2155</v>
      </c>
      <c r="F2147" t="s"/>
      <c r="G2147" t="s"/>
      <c r="H2147" t="s"/>
      <c r="I2147" t="s"/>
      <c r="J2147" t="n">
        <v>0</v>
      </c>
      <c r="K2147" t="n">
        <v>0</v>
      </c>
      <c r="L2147" t="n">
        <v>1</v>
      </c>
      <c r="M2147" t="n">
        <v>0</v>
      </c>
    </row>
    <row r="2148" spans="1:13">
      <c r="A2148" s="1">
        <f>HYPERLINK("http://www.twitter.com/NathanBLawrence/status/978878366404276224", "978878366404276224")</f>
        <v/>
      </c>
      <c r="B2148" s="2" t="n">
        <v>43187.26114583333</v>
      </c>
      <c r="C2148" t="n">
        <v>2</v>
      </c>
      <c r="D2148" t="n">
        <v>0</v>
      </c>
      <c r="E2148" t="s">
        <v>2156</v>
      </c>
      <c r="F2148" t="s"/>
      <c r="G2148" t="s"/>
      <c r="H2148" t="s"/>
      <c r="I2148" t="s"/>
      <c r="J2148" t="n">
        <v>0</v>
      </c>
      <c r="K2148" t="n">
        <v>0</v>
      </c>
      <c r="L2148" t="n">
        <v>1</v>
      </c>
      <c r="M2148" t="n">
        <v>0</v>
      </c>
    </row>
    <row r="2149" spans="1:13">
      <c r="A2149" s="1">
        <f>HYPERLINK("http://www.twitter.com/NathanBLawrence/status/978877987377614851", "978877987377614851")</f>
        <v/>
      </c>
      <c r="B2149" s="2" t="n">
        <v>43187.26010416666</v>
      </c>
      <c r="C2149" t="n">
        <v>9</v>
      </c>
      <c r="D2149" t="n">
        <v>14</v>
      </c>
      <c r="E2149" t="s">
        <v>2157</v>
      </c>
      <c r="F2149" t="s"/>
      <c r="G2149" t="s"/>
      <c r="H2149" t="s"/>
      <c r="I2149" t="s"/>
      <c r="J2149" t="n">
        <v>0</v>
      </c>
      <c r="K2149" t="n">
        <v>0</v>
      </c>
      <c r="L2149" t="n">
        <v>1</v>
      </c>
      <c r="M2149" t="n">
        <v>0</v>
      </c>
    </row>
    <row r="2150" spans="1:13">
      <c r="A2150" s="1">
        <f>HYPERLINK("http://www.twitter.com/NathanBLawrence/status/978877601057034248", "978877601057034248")</f>
        <v/>
      </c>
      <c r="B2150" s="2" t="n">
        <v>43187.25903935185</v>
      </c>
      <c r="C2150" t="n">
        <v>0</v>
      </c>
      <c r="D2150" t="n">
        <v>323</v>
      </c>
      <c r="E2150" t="s">
        <v>2158</v>
      </c>
      <c r="F2150">
        <f>HYPERLINK("http://pbs.twimg.com/media/DZQeVUbX0AEn2Yf.jpg", "http://pbs.twimg.com/media/DZQeVUbX0AEn2Yf.jpg")</f>
        <v/>
      </c>
      <c r="G2150" t="s"/>
      <c r="H2150" t="s"/>
      <c r="I2150" t="s"/>
      <c r="J2150" t="n">
        <v>-0.5095</v>
      </c>
      <c r="K2150" t="n">
        <v>0.17</v>
      </c>
      <c r="L2150" t="n">
        <v>0.83</v>
      </c>
      <c r="M2150" t="n">
        <v>0</v>
      </c>
    </row>
    <row r="2151" spans="1:13">
      <c r="A2151" s="1">
        <f>HYPERLINK("http://www.twitter.com/NathanBLawrence/status/978877102484312070", "978877102484312070")</f>
        <v/>
      </c>
      <c r="B2151" s="2" t="n">
        <v>43187.25766203704</v>
      </c>
      <c r="C2151" t="n">
        <v>0</v>
      </c>
      <c r="D2151" t="n">
        <v>8777</v>
      </c>
      <c r="E2151" t="s">
        <v>2159</v>
      </c>
      <c r="F2151">
        <f>HYPERLINK("https://video.twimg.com/ext_tw_video/977982513409810432/pu/vid/720x720/lOVBRuEnzqIt8B6A.mp4", "https://video.twimg.com/ext_tw_video/977982513409810432/pu/vid/720x720/lOVBRuEnzqIt8B6A.mp4")</f>
        <v/>
      </c>
      <c r="G2151" t="s"/>
      <c r="H2151" t="s"/>
      <c r="I2151" t="s"/>
      <c r="J2151" t="n">
        <v>0.6614</v>
      </c>
      <c r="K2151" t="n">
        <v>0</v>
      </c>
      <c r="L2151" t="n">
        <v>0.784</v>
      </c>
      <c r="M2151" t="n">
        <v>0.216</v>
      </c>
    </row>
    <row r="2152" spans="1:13">
      <c r="A2152" s="1">
        <f>HYPERLINK("http://www.twitter.com/NathanBLawrence/status/978876977712173056", "978876977712173056")</f>
        <v/>
      </c>
      <c r="B2152" s="2" t="n">
        <v>43187.25731481481</v>
      </c>
      <c r="C2152" t="n">
        <v>0</v>
      </c>
      <c r="D2152" t="n">
        <v>48</v>
      </c>
      <c r="E2152" t="s">
        <v>2160</v>
      </c>
      <c r="F2152">
        <f>HYPERLINK("http://pbs.twimg.com/media/DZSCUwzU0AAkEuP.jpg", "http://pbs.twimg.com/media/DZSCUwzU0AAkEuP.jpg")</f>
        <v/>
      </c>
      <c r="G2152" t="s"/>
      <c r="H2152" t="s"/>
      <c r="I2152" t="s"/>
      <c r="J2152" t="n">
        <v>0</v>
      </c>
      <c r="K2152" t="n">
        <v>0</v>
      </c>
      <c r="L2152" t="n">
        <v>1</v>
      </c>
      <c r="M2152" t="n">
        <v>0</v>
      </c>
    </row>
    <row r="2153" spans="1:13">
      <c r="A2153" s="1">
        <f>HYPERLINK("http://www.twitter.com/NathanBLawrence/status/978876820945858561", "978876820945858561")</f>
        <v/>
      </c>
      <c r="B2153" s="2" t="n">
        <v>43187.25688657408</v>
      </c>
      <c r="C2153" t="n">
        <v>5</v>
      </c>
      <c r="D2153" t="n">
        <v>3</v>
      </c>
      <c r="E2153" t="s">
        <v>2161</v>
      </c>
      <c r="F2153" t="s"/>
      <c r="G2153" t="s"/>
      <c r="H2153" t="s"/>
      <c r="I2153" t="s"/>
      <c r="J2153" t="n">
        <v>0.6696</v>
      </c>
      <c r="K2153" t="n">
        <v>0</v>
      </c>
      <c r="L2153" t="n">
        <v>0.471</v>
      </c>
      <c r="M2153" t="n">
        <v>0.529</v>
      </c>
    </row>
    <row r="2154" spans="1:13">
      <c r="A2154" s="1">
        <f>HYPERLINK("http://www.twitter.com/NathanBLawrence/status/978876553198231553", "978876553198231553")</f>
        <v/>
      </c>
      <c r="B2154" s="2" t="n">
        <v>43187.25614583334</v>
      </c>
      <c r="C2154" t="n">
        <v>0</v>
      </c>
      <c r="D2154" t="n">
        <v>416</v>
      </c>
      <c r="E2154" t="s">
        <v>2162</v>
      </c>
      <c r="F2154">
        <f>HYPERLINK("http://pbs.twimg.com/media/DZVSCEBU8AEaVb_.jpg", "http://pbs.twimg.com/media/DZVSCEBU8AEaVb_.jpg")</f>
        <v/>
      </c>
      <c r="G2154" t="s"/>
      <c r="H2154" t="s"/>
      <c r="I2154" t="s"/>
      <c r="J2154" t="n">
        <v>-0.7192</v>
      </c>
      <c r="K2154" t="n">
        <v>0.278</v>
      </c>
      <c r="L2154" t="n">
        <v>0.722</v>
      </c>
      <c r="M2154" t="n">
        <v>0</v>
      </c>
    </row>
    <row r="2155" spans="1:13">
      <c r="A2155" s="1">
        <f>HYPERLINK("http://www.twitter.com/NathanBLawrence/status/978876342983974913", "978876342983974913")</f>
        <v/>
      </c>
      <c r="B2155" s="2" t="n">
        <v>43187.25556712963</v>
      </c>
      <c r="C2155" t="n">
        <v>0</v>
      </c>
      <c r="D2155" t="n">
        <v>58</v>
      </c>
      <c r="E2155" t="s">
        <v>2163</v>
      </c>
      <c r="F2155">
        <f>HYPERLINK("http://pbs.twimg.com/media/DZUE0J3U0AAnhot.jpg", "http://pbs.twimg.com/media/DZUE0J3U0AAnhot.jpg")</f>
        <v/>
      </c>
      <c r="G2155" t="s"/>
      <c r="H2155" t="s"/>
      <c r="I2155" t="s"/>
      <c r="J2155" t="n">
        <v>0</v>
      </c>
      <c r="K2155" t="n">
        <v>0</v>
      </c>
      <c r="L2155" t="n">
        <v>1</v>
      </c>
      <c r="M2155" t="n">
        <v>0</v>
      </c>
    </row>
    <row r="2156" spans="1:13">
      <c r="A2156" s="1">
        <f>HYPERLINK("http://www.twitter.com/NathanBLawrence/status/978876258921705473", "978876258921705473")</f>
        <v/>
      </c>
      <c r="B2156" s="2" t="n">
        <v>43187.25533564815</v>
      </c>
      <c r="C2156" t="n">
        <v>0</v>
      </c>
      <c r="D2156" t="n">
        <v>146</v>
      </c>
      <c r="E2156" t="s">
        <v>2164</v>
      </c>
      <c r="F2156">
        <f>HYPERLINK("http://pbs.twimg.com/media/DZVbvcqUQAAF2wi.jpg", "http://pbs.twimg.com/media/DZVbvcqUQAAF2wi.jpg")</f>
        <v/>
      </c>
      <c r="G2156" t="s"/>
      <c r="H2156" t="s"/>
      <c r="I2156" t="s"/>
      <c r="J2156" t="n">
        <v>0</v>
      </c>
      <c r="K2156" t="n">
        <v>0</v>
      </c>
      <c r="L2156" t="n">
        <v>1</v>
      </c>
      <c r="M2156" t="n">
        <v>0</v>
      </c>
    </row>
    <row r="2157" spans="1:13">
      <c r="A2157" s="1">
        <f>HYPERLINK("http://www.twitter.com/NathanBLawrence/status/978876177648627714", "978876177648627714")</f>
        <v/>
      </c>
      <c r="B2157" s="2" t="n">
        <v>43187.25511574074</v>
      </c>
      <c r="C2157" t="n">
        <v>0</v>
      </c>
      <c r="D2157" t="n">
        <v>110</v>
      </c>
      <c r="E2157" t="s">
        <v>2165</v>
      </c>
      <c r="F2157">
        <f>HYPERLINK("http://pbs.twimg.com/media/DZWinHKW4AAHVUK.jpg", "http://pbs.twimg.com/media/DZWinHKW4AAHVUK.jpg")</f>
        <v/>
      </c>
      <c r="G2157" t="s"/>
      <c r="H2157" t="s"/>
      <c r="I2157" t="s"/>
      <c r="J2157" t="n">
        <v>0</v>
      </c>
      <c r="K2157" t="n">
        <v>0</v>
      </c>
      <c r="L2157" t="n">
        <v>1</v>
      </c>
      <c r="M2157" t="n">
        <v>0</v>
      </c>
    </row>
    <row r="2158" spans="1:13">
      <c r="A2158" s="1">
        <f>HYPERLINK("http://www.twitter.com/NathanBLawrence/status/978876111248609282", "978876111248609282")</f>
        <v/>
      </c>
      <c r="B2158" s="2" t="n">
        <v>43187.25493055556</v>
      </c>
      <c r="C2158" t="n">
        <v>0</v>
      </c>
      <c r="D2158" t="n">
        <v>75</v>
      </c>
      <c r="E2158" t="s">
        <v>2166</v>
      </c>
      <c r="F2158">
        <f>HYPERLINK("http://pbs.twimg.com/media/DZVtNc2VoAEVSms.jpg", "http://pbs.twimg.com/media/DZVtNc2VoAEVSms.jpg")</f>
        <v/>
      </c>
      <c r="G2158" t="s"/>
      <c r="H2158" t="s"/>
      <c r="I2158" t="s"/>
      <c r="J2158" t="n">
        <v>0.25</v>
      </c>
      <c r="K2158" t="n">
        <v>0.067</v>
      </c>
      <c r="L2158" t="n">
        <v>0.8169999999999999</v>
      </c>
      <c r="M2158" t="n">
        <v>0.115</v>
      </c>
    </row>
    <row r="2159" spans="1:13">
      <c r="A2159" s="1">
        <f>HYPERLINK("http://www.twitter.com/NathanBLawrence/status/978876055648915457", "978876055648915457")</f>
        <v/>
      </c>
      <c r="B2159" s="2" t="n">
        <v>43187.25476851852</v>
      </c>
      <c r="C2159" t="n">
        <v>0</v>
      </c>
      <c r="D2159" t="n">
        <v>170</v>
      </c>
      <c r="E2159" t="s">
        <v>2167</v>
      </c>
      <c r="F2159">
        <f>HYPERLINK("http://pbs.twimg.com/media/DZVgMfTWsAIJymk.jpg", "http://pbs.twimg.com/media/DZVgMfTWsAIJymk.jpg")</f>
        <v/>
      </c>
      <c r="G2159" t="s"/>
      <c r="H2159" t="s"/>
      <c r="I2159" t="s"/>
      <c r="J2159" t="n">
        <v>0.296</v>
      </c>
      <c r="K2159" t="n">
        <v>0</v>
      </c>
      <c r="L2159" t="n">
        <v>0.885</v>
      </c>
      <c r="M2159" t="n">
        <v>0.115</v>
      </c>
    </row>
    <row r="2160" spans="1:13">
      <c r="A2160" s="1">
        <f>HYPERLINK("http://www.twitter.com/NathanBLawrence/status/978875930289590272", "978875930289590272")</f>
        <v/>
      </c>
      <c r="B2160" s="2" t="n">
        <v>43187.25443287037</v>
      </c>
      <c r="C2160" t="n">
        <v>0</v>
      </c>
      <c r="D2160" t="n">
        <v>442</v>
      </c>
      <c r="E2160" t="s">
        <v>2168</v>
      </c>
      <c r="F2160" t="s"/>
      <c r="G2160" t="s"/>
      <c r="H2160" t="s"/>
      <c r="I2160" t="s"/>
      <c r="J2160" t="n">
        <v>0.765</v>
      </c>
      <c r="K2160" t="n">
        <v>0.08</v>
      </c>
      <c r="L2160" t="n">
        <v>0.615</v>
      </c>
      <c r="M2160" t="n">
        <v>0.305</v>
      </c>
    </row>
    <row r="2161" spans="1:13">
      <c r="A2161" s="1">
        <f>HYPERLINK("http://www.twitter.com/NathanBLawrence/status/978875303438290944", "978875303438290944")</f>
        <v/>
      </c>
      <c r="B2161" s="2" t="n">
        <v>43187.25269675926</v>
      </c>
      <c r="C2161" t="n">
        <v>0</v>
      </c>
      <c r="D2161" t="n">
        <v>11</v>
      </c>
      <c r="E2161" t="s">
        <v>2169</v>
      </c>
      <c r="F2161">
        <f>HYPERLINK("http://pbs.twimg.com/media/DZUSng6VwAA8zH_.jpg", "http://pbs.twimg.com/media/DZUSng6VwAA8zH_.jpg")</f>
        <v/>
      </c>
      <c r="G2161" t="s"/>
      <c r="H2161" t="s"/>
      <c r="I2161" t="s"/>
      <c r="J2161" t="n">
        <v>0</v>
      </c>
      <c r="K2161" t="n">
        <v>0</v>
      </c>
      <c r="L2161" t="n">
        <v>1</v>
      </c>
      <c r="M2161" t="n">
        <v>0</v>
      </c>
    </row>
    <row r="2162" spans="1:13">
      <c r="A2162" s="1">
        <f>HYPERLINK("http://www.twitter.com/NathanBLawrence/status/978875189349011457", "978875189349011457")</f>
        <v/>
      </c>
      <c r="B2162" s="2" t="n">
        <v>43187.25238425926</v>
      </c>
      <c r="C2162" t="n">
        <v>0</v>
      </c>
      <c r="D2162" t="n">
        <v>2</v>
      </c>
      <c r="E2162" t="s">
        <v>2170</v>
      </c>
      <c r="F2162" t="s"/>
      <c r="G2162" t="s"/>
      <c r="H2162" t="s"/>
      <c r="I2162" t="s"/>
      <c r="J2162" t="n">
        <v>0</v>
      </c>
      <c r="K2162" t="n">
        <v>0</v>
      </c>
      <c r="L2162" t="n">
        <v>1</v>
      </c>
      <c r="M2162" t="n">
        <v>0</v>
      </c>
    </row>
    <row r="2163" spans="1:13">
      <c r="A2163" s="1">
        <f>HYPERLINK("http://www.twitter.com/NathanBLawrence/status/978875078640373760", "978875078640373760")</f>
        <v/>
      </c>
      <c r="B2163" s="2" t="n">
        <v>43187.25208333333</v>
      </c>
      <c r="C2163" t="n">
        <v>0</v>
      </c>
      <c r="D2163" t="n">
        <v>60</v>
      </c>
      <c r="E2163" t="s">
        <v>2171</v>
      </c>
      <c r="F2163">
        <f>HYPERLINK("http://pbs.twimg.com/media/DZWi6GaWAAEaarE.jpg", "http://pbs.twimg.com/media/DZWi6GaWAAEaarE.jpg")</f>
        <v/>
      </c>
      <c r="G2163" t="s"/>
      <c r="H2163" t="s"/>
      <c r="I2163" t="s"/>
      <c r="J2163" t="n">
        <v>0.774</v>
      </c>
      <c r="K2163" t="n">
        <v>0</v>
      </c>
      <c r="L2163" t="n">
        <v>0.757</v>
      </c>
      <c r="M2163" t="n">
        <v>0.243</v>
      </c>
    </row>
    <row r="2164" spans="1:13">
      <c r="A2164" s="1">
        <f>HYPERLINK("http://www.twitter.com/NathanBLawrence/status/978874765309042688", "978874765309042688")</f>
        <v/>
      </c>
      <c r="B2164" s="2" t="n">
        <v>43187.25121527778</v>
      </c>
      <c r="C2164" t="n">
        <v>0</v>
      </c>
      <c r="D2164" t="n">
        <v>0</v>
      </c>
      <c r="E2164" t="s">
        <v>2172</v>
      </c>
      <c r="F2164" t="s"/>
      <c r="G2164" t="s"/>
      <c r="H2164" t="s"/>
      <c r="I2164" t="s"/>
      <c r="J2164" t="n">
        <v>0</v>
      </c>
      <c r="K2164" t="n">
        <v>0</v>
      </c>
      <c r="L2164" t="n">
        <v>1</v>
      </c>
      <c r="M2164" t="n">
        <v>0</v>
      </c>
    </row>
    <row r="2165" spans="1:13">
      <c r="A2165" s="1">
        <f>HYPERLINK("http://www.twitter.com/NathanBLawrence/status/978870036667518976", "978870036667518976")</f>
        <v/>
      </c>
      <c r="B2165" s="2" t="n">
        <v>43187.23815972222</v>
      </c>
      <c r="C2165" t="n">
        <v>0</v>
      </c>
      <c r="D2165" t="n">
        <v>1064</v>
      </c>
      <c r="E2165" t="s">
        <v>2173</v>
      </c>
      <c r="F2165">
        <f>HYPERLINK("http://pbs.twimg.com/media/DZBHZf-W0AEIDQj.jpg", "http://pbs.twimg.com/media/DZBHZf-W0AEIDQj.jpg")</f>
        <v/>
      </c>
      <c r="G2165" t="s"/>
      <c r="H2165" t="s"/>
      <c r="I2165" t="s"/>
      <c r="J2165" t="n">
        <v>0.4263</v>
      </c>
      <c r="K2165" t="n">
        <v>0</v>
      </c>
      <c r="L2165" t="n">
        <v>0.886</v>
      </c>
      <c r="M2165" t="n">
        <v>0.114</v>
      </c>
    </row>
    <row r="2166" spans="1:13">
      <c r="A2166" s="1">
        <f>HYPERLINK("http://www.twitter.com/NathanBLawrence/status/978869797147602946", "978869797147602946")</f>
        <v/>
      </c>
      <c r="B2166" s="2" t="n">
        <v>43187.2375</v>
      </c>
      <c r="C2166" t="n">
        <v>0</v>
      </c>
      <c r="D2166" t="n">
        <v>4498</v>
      </c>
      <c r="E2166" t="s">
        <v>2174</v>
      </c>
      <c r="F2166">
        <f>HYPERLINK("https://video.twimg.com/ext_tw_video/976517036598738944/pu/vid/984x720/tvTgH1YqG-WrWnIk.mp4", "https://video.twimg.com/ext_tw_video/976517036598738944/pu/vid/984x720/tvTgH1YqG-WrWnIk.mp4")</f>
        <v/>
      </c>
      <c r="G2166" t="s"/>
      <c r="H2166" t="s"/>
      <c r="I2166" t="s"/>
      <c r="J2166" t="n">
        <v>0</v>
      </c>
      <c r="K2166" t="n">
        <v>0</v>
      </c>
      <c r="L2166" t="n">
        <v>1</v>
      </c>
      <c r="M2166" t="n">
        <v>0</v>
      </c>
    </row>
    <row r="2167" spans="1:13">
      <c r="A2167" s="1">
        <f>HYPERLINK("http://www.twitter.com/NathanBLawrence/status/978869536664489984", "978869536664489984")</f>
        <v/>
      </c>
      <c r="B2167" s="2" t="n">
        <v>43187.23678240741</v>
      </c>
      <c r="C2167" t="n">
        <v>0</v>
      </c>
      <c r="D2167" t="n">
        <v>2451</v>
      </c>
      <c r="E2167" t="s">
        <v>2175</v>
      </c>
      <c r="F2167" t="s"/>
      <c r="G2167" t="s"/>
      <c r="H2167" t="s"/>
      <c r="I2167" t="s"/>
      <c r="J2167" t="n">
        <v>0.4753</v>
      </c>
      <c r="K2167" t="n">
        <v>0</v>
      </c>
      <c r="L2167" t="n">
        <v>0.795</v>
      </c>
      <c r="M2167" t="n">
        <v>0.205</v>
      </c>
    </row>
    <row r="2168" spans="1:13">
      <c r="A2168" s="1">
        <f>HYPERLINK("http://www.twitter.com/NathanBLawrence/status/978869436760363008", "978869436760363008")</f>
        <v/>
      </c>
      <c r="B2168" s="2" t="n">
        <v>43187.23650462963</v>
      </c>
      <c r="C2168" t="n">
        <v>20</v>
      </c>
      <c r="D2168" t="n">
        <v>12</v>
      </c>
      <c r="E2168" t="s">
        <v>2176</v>
      </c>
      <c r="F2168" t="s"/>
      <c r="G2168" t="s"/>
      <c r="H2168" t="s"/>
      <c r="I2168" t="s"/>
      <c r="J2168" t="n">
        <v>0.4738</v>
      </c>
      <c r="K2168" t="n">
        <v>0</v>
      </c>
      <c r="L2168" t="n">
        <v>0.8080000000000001</v>
      </c>
      <c r="M2168" t="n">
        <v>0.192</v>
      </c>
    </row>
    <row r="2169" spans="1:13">
      <c r="A2169" s="1">
        <f>HYPERLINK("http://www.twitter.com/NathanBLawrence/status/978868991480533001", "978868991480533001")</f>
        <v/>
      </c>
      <c r="B2169" s="2" t="n">
        <v>43187.23527777778</v>
      </c>
      <c r="C2169" t="n">
        <v>0</v>
      </c>
      <c r="D2169" t="n">
        <v>410</v>
      </c>
      <c r="E2169" t="s">
        <v>2177</v>
      </c>
      <c r="F2169" t="s"/>
      <c r="G2169" t="s"/>
      <c r="H2169" t="s"/>
      <c r="I2169" t="s"/>
      <c r="J2169" t="n">
        <v>0</v>
      </c>
      <c r="K2169" t="n">
        <v>0</v>
      </c>
      <c r="L2169" t="n">
        <v>1</v>
      </c>
      <c r="M2169" t="n">
        <v>0</v>
      </c>
    </row>
    <row r="2170" spans="1:13">
      <c r="A2170" s="1">
        <f>HYPERLINK("http://www.twitter.com/NathanBLawrence/status/978868910240956417", "978868910240956417")</f>
        <v/>
      </c>
      <c r="B2170" s="2" t="n">
        <v>43187.23505787037</v>
      </c>
      <c r="C2170" t="n">
        <v>0</v>
      </c>
      <c r="D2170" t="n">
        <v>10</v>
      </c>
      <c r="E2170" t="s">
        <v>2178</v>
      </c>
      <c r="F2170">
        <f>HYPERLINK("http://pbs.twimg.com/media/DZWiaX8WsAIrFYE.jpg", "http://pbs.twimg.com/media/DZWiaX8WsAIrFYE.jpg")</f>
        <v/>
      </c>
      <c r="G2170" t="s"/>
      <c r="H2170" t="s"/>
      <c r="I2170" t="s"/>
      <c r="J2170" t="n">
        <v>0.9337</v>
      </c>
      <c r="K2170" t="n">
        <v>0</v>
      </c>
      <c r="L2170" t="n">
        <v>0.456</v>
      </c>
      <c r="M2170" t="n">
        <v>0.544</v>
      </c>
    </row>
    <row r="2171" spans="1:13">
      <c r="A2171" s="1">
        <f>HYPERLINK("http://www.twitter.com/NathanBLawrence/status/978868771480891392", "978868771480891392")</f>
        <v/>
      </c>
      <c r="B2171" s="2" t="n">
        <v>43187.23467592592</v>
      </c>
      <c r="C2171" t="n">
        <v>0</v>
      </c>
      <c r="D2171" t="n">
        <v>2586</v>
      </c>
      <c r="E2171" t="s">
        <v>2179</v>
      </c>
      <c r="F2171">
        <f>HYPERLINK("http://pbs.twimg.com/media/DZPsPB3W0AAtPb4.jpg", "http://pbs.twimg.com/media/DZPsPB3W0AAtPb4.jpg")</f>
        <v/>
      </c>
      <c r="G2171" t="s"/>
      <c r="H2171" t="s"/>
      <c r="I2171" t="s"/>
      <c r="J2171" t="n">
        <v>0.5229</v>
      </c>
      <c r="K2171" t="n">
        <v>0</v>
      </c>
      <c r="L2171" t="n">
        <v>0.834</v>
      </c>
      <c r="M2171" t="n">
        <v>0.166</v>
      </c>
    </row>
    <row r="2172" spans="1:13">
      <c r="A2172" s="1">
        <f>HYPERLINK("http://www.twitter.com/NathanBLawrence/status/978868712513196033", "978868712513196033")</f>
        <v/>
      </c>
      <c r="B2172" s="2" t="n">
        <v>43187.23451388889</v>
      </c>
      <c r="C2172" t="n">
        <v>0</v>
      </c>
      <c r="D2172" t="n">
        <v>4</v>
      </c>
      <c r="E2172" t="s">
        <v>2180</v>
      </c>
      <c r="F2172" t="s"/>
      <c r="G2172" t="s"/>
      <c r="H2172" t="s"/>
      <c r="I2172" t="s"/>
      <c r="J2172" t="n">
        <v>0</v>
      </c>
      <c r="K2172" t="n">
        <v>0</v>
      </c>
      <c r="L2172" t="n">
        <v>1</v>
      </c>
      <c r="M2172" t="n">
        <v>0</v>
      </c>
    </row>
    <row r="2173" spans="1:13">
      <c r="A2173" s="1">
        <f>HYPERLINK("http://www.twitter.com/NathanBLawrence/status/978868216423477251", "978868216423477251")</f>
        <v/>
      </c>
      <c r="B2173" s="2" t="n">
        <v>43187.23313657408</v>
      </c>
      <c r="C2173" t="n">
        <v>3</v>
      </c>
      <c r="D2173" t="n">
        <v>1</v>
      </c>
      <c r="E2173" t="s">
        <v>2181</v>
      </c>
      <c r="F2173" t="s"/>
      <c r="G2173" t="s"/>
      <c r="H2173" t="s"/>
      <c r="I2173" t="s"/>
      <c r="J2173" t="n">
        <v>0</v>
      </c>
      <c r="K2173" t="n">
        <v>0</v>
      </c>
      <c r="L2173" t="n">
        <v>1</v>
      </c>
      <c r="M2173" t="n">
        <v>0</v>
      </c>
    </row>
    <row r="2174" spans="1:13">
      <c r="A2174" s="1">
        <f>HYPERLINK("http://www.twitter.com/NathanBLawrence/status/978867500606771201", "978867500606771201")</f>
        <v/>
      </c>
      <c r="B2174" s="2" t="n">
        <v>43187.23116898148</v>
      </c>
      <c r="C2174" t="n">
        <v>0</v>
      </c>
      <c r="D2174" t="n">
        <v>135</v>
      </c>
      <c r="E2174" t="s">
        <v>2182</v>
      </c>
      <c r="F2174" t="s"/>
      <c r="G2174" t="s"/>
      <c r="H2174" t="s"/>
      <c r="I2174" t="s"/>
      <c r="J2174" t="n">
        <v>-0.296</v>
      </c>
      <c r="K2174" t="n">
        <v>0.099</v>
      </c>
      <c r="L2174" t="n">
        <v>0.901</v>
      </c>
      <c r="M2174" t="n">
        <v>0</v>
      </c>
    </row>
    <row r="2175" spans="1:13">
      <c r="A2175" s="1">
        <f>HYPERLINK("http://www.twitter.com/NathanBLawrence/status/978867448186310656", "978867448186310656")</f>
        <v/>
      </c>
      <c r="B2175" s="2" t="n">
        <v>43187.23101851852</v>
      </c>
      <c r="C2175" t="n">
        <v>0</v>
      </c>
      <c r="D2175" t="n">
        <v>183</v>
      </c>
      <c r="E2175" t="s">
        <v>2183</v>
      </c>
      <c r="F2175" t="s"/>
      <c r="G2175" t="s"/>
      <c r="H2175" t="s"/>
      <c r="I2175" t="s"/>
      <c r="J2175" t="n">
        <v>0</v>
      </c>
      <c r="K2175" t="n">
        <v>0</v>
      </c>
      <c r="L2175" t="n">
        <v>1</v>
      </c>
      <c r="M2175" t="n">
        <v>0</v>
      </c>
    </row>
    <row r="2176" spans="1:13">
      <c r="A2176" s="1">
        <f>HYPERLINK("http://www.twitter.com/NathanBLawrence/status/978867301897461761", "978867301897461761")</f>
        <v/>
      </c>
      <c r="B2176" s="2" t="n">
        <v>43187.23061342593</v>
      </c>
      <c r="C2176" t="n">
        <v>0</v>
      </c>
      <c r="D2176" t="n">
        <v>362</v>
      </c>
      <c r="E2176" t="s">
        <v>2184</v>
      </c>
      <c r="F2176">
        <f>HYPERLINK("http://pbs.twimg.com/media/DZFYt0qUMAAALSv.jpg", "http://pbs.twimg.com/media/DZFYt0qUMAAALSv.jpg")</f>
        <v/>
      </c>
      <c r="G2176" t="s"/>
      <c r="H2176" t="s"/>
      <c r="I2176" t="s"/>
      <c r="J2176" t="n">
        <v>-0.4466</v>
      </c>
      <c r="K2176" t="n">
        <v>0.155</v>
      </c>
      <c r="L2176" t="n">
        <v>0.845</v>
      </c>
      <c r="M2176" t="n">
        <v>0</v>
      </c>
    </row>
    <row r="2177" spans="1:13">
      <c r="A2177" s="1">
        <f>HYPERLINK("http://www.twitter.com/NathanBLawrence/status/978866926763028491", "978866926763028491")</f>
        <v/>
      </c>
      <c r="B2177" s="2" t="n">
        <v>43187.22958333333</v>
      </c>
      <c r="C2177" t="n">
        <v>0</v>
      </c>
      <c r="D2177" t="n">
        <v>164</v>
      </c>
      <c r="E2177" t="s">
        <v>2185</v>
      </c>
      <c r="F2177">
        <f>HYPERLINK("http://pbs.twimg.com/media/DZWfEEUX4AcMIZ_.jpg", "http://pbs.twimg.com/media/DZWfEEUX4AcMIZ_.jpg")</f>
        <v/>
      </c>
      <c r="G2177">
        <f>HYPERLINK("http://pbs.twimg.com/media/DZWfHPpX0AAQg8L.jpg", "http://pbs.twimg.com/media/DZWfHPpX0AAQg8L.jpg")</f>
        <v/>
      </c>
      <c r="H2177">
        <f>HYPERLINK("http://pbs.twimg.com/media/DZWfJNMWsAAn55Y.jpg", "http://pbs.twimg.com/media/DZWfJNMWsAAn55Y.jpg")</f>
        <v/>
      </c>
      <c r="I2177" t="s"/>
      <c r="J2177" t="n">
        <v>0</v>
      </c>
      <c r="K2177" t="n">
        <v>0</v>
      </c>
      <c r="L2177" t="n">
        <v>1</v>
      </c>
      <c r="M2177" t="n">
        <v>0</v>
      </c>
    </row>
    <row r="2178" spans="1:13">
      <c r="A2178" s="1">
        <f>HYPERLINK("http://www.twitter.com/NathanBLawrence/status/978866878956400640", "978866878956400640")</f>
        <v/>
      </c>
      <c r="B2178" s="2" t="n">
        <v>43187.22945601852</v>
      </c>
      <c r="C2178" t="n">
        <v>0</v>
      </c>
      <c r="D2178" t="n">
        <v>476</v>
      </c>
      <c r="E2178" t="s">
        <v>2186</v>
      </c>
      <c r="F2178">
        <f>HYPERLINK("http://pbs.twimg.com/media/DZWeqSmWsAAxIY3.jpg", "http://pbs.twimg.com/media/DZWeqSmWsAAxIY3.jpg")</f>
        <v/>
      </c>
      <c r="G2178">
        <f>HYPERLINK("http://pbs.twimg.com/media/DZWesG6WAAEUrQM.jpg", "http://pbs.twimg.com/media/DZWesG6WAAEUrQM.jpg")</f>
        <v/>
      </c>
      <c r="H2178">
        <f>HYPERLINK("http://pbs.twimg.com/media/DZWetzcW0AIcW_J.jpg", "http://pbs.twimg.com/media/DZWetzcW0AIcW_J.jpg")</f>
        <v/>
      </c>
      <c r="I2178">
        <f>HYPERLINK("http://pbs.twimg.com/media/DZWev5sXUAE6-r4.jpg", "http://pbs.twimg.com/media/DZWev5sXUAE6-r4.jpg")</f>
        <v/>
      </c>
      <c r="J2178" t="n">
        <v>0</v>
      </c>
      <c r="K2178" t="n">
        <v>0</v>
      </c>
      <c r="L2178" t="n">
        <v>1</v>
      </c>
      <c r="M2178" t="n">
        <v>0</v>
      </c>
    </row>
    <row r="2179" spans="1:13">
      <c r="A2179" s="1">
        <f>HYPERLINK("http://www.twitter.com/NathanBLawrence/status/978866727684595712", "978866727684595712")</f>
        <v/>
      </c>
      <c r="B2179" s="2" t="n">
        <v>43187.22903935185</v>
      </c>
      <c r="C2179" t="n">
        <v>0</v>
      </c>
      <c r="D2179" t="n">
        <v>2</v>
      </c>
      <c r="E2179" t="s">
        <v>2187</v>
      </c>
      <c r="F2179" t="s"/>
      <c r="G2179" t="s"/>
      <c r="H2179" t="s"/>
      <c r="I2179" t="s"/>
      <c r="J2179" t="n">
        <v>0.0772</v>
      </c>
      <c r="K2179" t="n">
        <v>0</v>
      </c>
      <c r="L2179" t="n">
        <v>0.92</v>
      </c>
      <c r="M2179" t="n">
        <v>0.08</v>
      </c>
    </row>
    <row r="2180" spans="1:13">
      <c r="A2180" s="1">
        <f>HYPERLINK("http://www.twitter.com/NathanBLawrence/status/978866658612858881", "978866658612858881")</f>
        <v/>
      </c>
      <c r="B2180" s="2" t="n">
        <v>43187.22884259259</v>
      </c>
      <c r="C2180" t="n">
        <v>0</v>
      </c>
      <c r="D2180" t="n">
        <v>424</v>
      </c>
      <c r="E2180" t="s">
        <v>2188</v>
      </c>
      <c r="F2180">
        <f>HYPERLINK("http://pbs.twimg.com/media/DZTZvOPVMAExZgy.jpg", "http://pbs.twimg.com/media/DZTZvOPVMAExZgy.jpg")</f>
        <v/>
      </c>
      <c r="G2180" t="s"/>
      <c r="H2180" t="s"/>
      <c r="I2180" t="s"/>
      <c r="J2180" t="n">
        <v>0</v>
      </c>
      <c r="K2180" t="n">
        <v>0</v>
      </c>
      <c r="L2180" t="n">
        <v>1</v>
      </c>
      <c r="M2180" t="n">
        <v>0</v>
      </c>
    </row>
    <row r="2181" spans="1:13">
      <c r="A2181" s="1">
        <f>HYPERLINK("http://www.twitter.com/NathanBLawrence/status/978866550508802049", "978866550508802049")</f>
        <v/>
      </c>
      <c r="B2181" s="2" t="n">
        <v>43187.22854166666</v>
      </c>
      <c r="C2181" t="n">
        <v>0</v>
      </c>
      <c r="D2181" t="n">
        <v>11</v>
      </c>
      <c r="E2181" t="s">
        <v>2180</v>
      </c>
      <c r="F2181">
        <f>HYPERLINK("http://pbs.twimg.com/media/DZWhhVhX4AADq6u.jpg", "http://pbs.twimg.com/media/DZWhhVhX4AADq6u.jpg")</f>
        <v/>
      </c>
      <c r="G2181">
        <f>HYPERLINK("http://pbs.twimg.com/media/DZWhhVjWkAEogOy.jpg", "http://pbs.twimg.com/media/DZWhhVjWkAEogOy.jpg")</f>
        <v/>
      </c>
      <c r="H2181">
        <f>HYPERLINK("http://pbs.twimg.com/media/DZWhhViW0AEJTkX.jpg", "http://pbs.twimg.com/media/DZWhhViW0AEJTkX.jpg")</f>
        <v/>
      </c>
      <c r="I2181" t="s"/>
      <c r="J2181" t="n">
        <v>0</v>
      </c>
      <c r="K2181" t="n">
        <v>0</v>
      </c>
      <c r="L2181" t="n">
        <v>1</v>
      </c>
      <c r="M2181" t="n">
        <v>0</v>
      </c>
    </row>
    <row r="2182" spans="1:13">
      <c r="A2182" s="1">
        <f>HYPERLINK("http://www.twitter.com/NathanBLawrence/status/978866430518153216", "978866430518153216")</f>
        <v/>
      </c>
      <c r="B2182" s="2" t="n">
        <v>43187.22821759259</v>
      </c>
      <c r="C2182" t="n">
        <v>0</v>
      </c>
      <c r="D2182" t="n">
        <v>356</v>
      </c>
      <c r="E2182" t="s">
        <v>2189</v>
      </c>
      <c r="F2182">
        <f>HYPERLINK("http://pbs.twimg.com/media/DZT9p6KXcAAciWG.jpg", "http://pbs.twimg.com/media/DZT9p6KXcAAciWG.jpg")</f>
        <v/>
      </c>
      <c r="G2182" t="s"/>
      <c r="H2182" t="s"/>
      <c r="I2182" t="s"/>
      <c r="J2182" t="n">
        <v>-0.4559</v>
      </c>
      <c r="K2182" t="n">
        <v>0.115</v>
      </c>
      <c r="L2182" t="n">
        <v>0.885</v>
      </c>
      <c r="M2182" t="n">
        <v>0</v>
      </c>
    </row>
    <row r="2183" spans="1:13">
      <c r="A2183" s="1">
        <f>HYPERLINK("http://www.twitter.com/NathanBLawrence/status/978865681872621569", "978865681872621569")</f>
        <v/>
      </c>
      <c r="B2183" s="2" t="n">
        <v>43187.22614583333</v>
      </c>
      <c r="C2183" t="n">
        <v>0</v>
      </c>
      <c r="D2183" t="n">
        <v>29</v>
      </c>
      <c r="E2183" t="s">
        <v>2190</v>
      </c>
      <c r="F2183">
        <f>HYPERLINK("http://pbs.twimg.com/media/DY9TiCfU8AIMVmy.jpg", "http://pbs.twimg.com/media/DY9TiCfU8AIMVmy.jpg")</f>
        <v/>
      </c>
      <c r="G2183" t="s"/>
      <c r="H2183" t="s"/>
      <c r="I2183" t="s"/>
      <c r="J2183" t="n">
        <v>0.242</v>
      </c>
      <c r="K2183" t="n">
        <v>0</v>
      </c>
      <c r="L2183" t="n">
        <v>0.865</v>
      </c>
      <c r="M2183" t="n">
        <v>0.135</v>
      </c>
    </row>
    <row r="2184" spans="1:13">
      <c r="A2184" s="1">
        <f>HYPERLINK("http://www.twitter.com/NathanBLawrence/status/978865339231559680", "978865339231559680")</f>
        <v/>
      </c>
      <c r="B2184" s="2" t="n">
        <v>43187.22519675926</v>
      </c>
      <c r="C2184" t="n">
        <v>6</v>
      </c>
      <c r="D2184" t="n">
        <v>2</v>
      </c>
      <c r="E2184" t="s">
        <v>2191</v>
      </c>
      <c r="F2184">
        <f>HYPERLINK("http://pbs.twimg.com/media/DZWfoJLWsAMzXh7.png", "http://pbs.twimg.com/media/DZWfoJLWsAMzXh7.png")</f>
        <v/>
      </c>
      <c r="G2184" t="s"/>
      <c r="H2184" t="s"/>
      <c r="I2184" t="s"/>
      <c r="J2184" t="n">
        <v>0.6688</v>
      </c>
      <c r="K2184" t="n">
        <v>0</v>
      </c>
      <c r="L2184" t="n">
        <v>0.871</v>
      </c>
      <c r="M2184" t="n">
        <v>0.129</v>
      </c>
    </row>
    <row r="2185" spans="1:13">
      <c r="A2185" s="1">
        <f>HYPERLINK("http://www.twitter.com/NathanBLawrence/status/978863707894710275", "978863707894710275")</f>
        <v/>
      </c>
      <c r="B2185" s="2" t="n">
        <v>43187.22070601852</v>
      </c>
      <c r="C2185" t="n">
        <v>3</v>
      </c>
      <c r="D2185" t="n">
        <v>0</v>
      </c>
      <c r="E2185" t="s">
        <v>2192</v>
      </c>
      <c r="F2185">
        <f>HYPERLINK("http://pbs.twimg.com/media/DZWe9AJXkAEdIy9.jpg", "http://pbs.twimg.com/media/DZWe9AJXkAEdIy9.jpg")</f>
        <v/>
      </c>
      <c r="G2185" t="s"/>
      <c r="H2185" t="s"/>
      <c r="I2185" t="s"/>
      <c r="J2185" t="n">
        <v>0</v>
      </c>
      <c r="K2185" t="n">
        <v>0</v>
      </c>
      <c r="L2185" t="n">
        <v>1</v>
      </c>
      <c r="M2185" t="n">
        <v>0</v>
      </c>
    </row>
    <row r="2186" spans="1:13">
      <c r="A2186" s="1">
        <f>HYPERLINK("http://www.twitter.com/NathanBLawrence/status/978863377974988801", "978863377974988801")</f>
        <v/>
      </c>
      <c r="B2186" s="2" t="n">
        <v>43187.21979166667</v>
      </c>
      <c r="C2186" t="n">
        <v>0</v>
      </c>
      <c r="D2186" t="n">
        <v>3443</v>
      </c>
      <c r="E2186" t="s">
        <v>2193</v>
      </c>
      <c r="F2186">
        <f>HYPERLINK("http://pbs.twimg.com/media/DZVhCPKW0AEJFL8.jpg", "http://pbs.twimg.com/media/DZVhCPKW0AEJFL8.jpg")</f>
        <v/>
      </c>
      <c r="G2186" t="s"/>
      <c r="H2186" t="s"/>
      <c r="I2186" t="s"/>
      <c r="J2186" t="n">
        <v>0.7707000000000001</v>
      </c>
      <c r="K2186" t="n">
        <v>0</v>
      </c>
      <c r="L2186" t="n">
        <v>0.75</v>
      </c>
      <c r="M2186" t="n">
        <v>0.25</v>
      </c>
    </row>
    <row r="2187" spans="1:13">
      <c r="A2187" s="1">
        <f>HYPERLINK("http://www.twitter.com/NathanBLawrence/status/978862607120699393", "978862607120699393")</f>
        <v/>
      </c>
      <c r="B2187" s="2" t="n">
        <v>43187.21766203704</v>
      </c>
      <c r="C2187" t="n">
        <v>6</v>
      </c>
      <c r="D2187" t="n">
        <v>2</v>
      </c>
      <c r="E2187" t="s">
        <v>2194</v>
      </c>
      <c r="F2187">
        <f>HYPERLINK("http://pbs.twimg.com/media/DZWeTfUW4AAwOpf.jpg", "http://pbs.twimg.com/media/DZWeTfUW4AAwOpf.jpg")</f>
        <v/>
      </c>
      <c r="G2187" t="s"/>
      <c r="H2187" t="s"/>
      <c r="I2187" t="s"/>
      <c r="J2187" t="n">
        <v>0</v>
      </c>
      <c r="K2187" t="n">
        <v>0</v>
      </c>
      <c r="L2187" t="n">
        <v>1</v>
      </c>
      <c r="M2187" t="n">
        <v>0</v>
      </c>
    </row>
    <row r="2188" spans="1:13">
      <c r="A2188" s="1">
        <f>HYPERLINK("http://www.twitter.com/NathanBLawrence/status/978862402052739073", "978862402052739073")</f>
        <v/>
      </c>
      <c r="B2188" s="2" t="n">
        <v>43187.21709490741</v>
      </c>
      <c r="C2188" t="n">
        <v>22</v>
      </c>
      <c r="D2188" t="n">
        <v>6</v>
      </c>
      <c r="E2188" t="s">
        <v>2195</v>
      </c>
      <c r="F2188">
        <f>HYPERLINK("http://pbs.twimg.com/media/DZWeCtLWAAAcmpY.jpg", "http://pbs.twimg.com/media/DZWeCtLWAAAcmpY.jpg")</f>
        <v/>
      </c>
      <c r="G2188" t="s"/>
      <c r="H2188" t="s"/>
      <c r="I2188" t="s"/>
      <c r="J2188" t="n">
        <v>0</v>
      </c>
      <c r="K2188" t="n">
        <v>0</v>
      </c>
      <c r="L2188" t="n">
        <v>1</v>
      </c>
      <c r="M2188" t="n">
        <v>0</v>
      </c>
    </row>
    <row r="2189" spans="1:13">
      <c r="A2189" s="1">
        <f>HYPERLINK("http://www.twitter.com/NathanBLawrence/status/978862112343773185", "978862112343773185")</f>
        <v/>
      </c>
      <c r="B2189" s="2" t="n">
        <v>43187.2162962963</v>
      </c>
      <c r="C2189" t="n">
        <v>32</v>
      </c>
      <c r="D2189" t="n">
        <v>9</v>
      </c>
      <c r="E2189" t="s">
        <v>2196</v>
      </c>
      <c r="F2189">
        <f>HYPERLINK("http://pbs.twimg.com/media/DZWd2UKX4AExjr7.jpg", "http://pbs.twimg.com/media/DZWd2UKX4AExjr7.jpg")</f>
        <v/>
      </c>
      <c r="G2189" t="s"/>
      <c r="H2189" t="s"/>
      <c r="I2189" t="s"/>
      <c r="J2189" t="n">
        <v>0</v>
      </c>
      <c r="K2189" t="n">
        <v>0</v>
      </c>
      <c r="L2189" t="n">
        <v>1</v>
      </c>
      <c r="M2189" t="n">
        <v>0</v>
      </c>
    </row>
    <row r="2190" spans="1:13">
      <c r="A2190" s="1">
        <f>HYPERLINK("http://www.twitter.com/NathanBLawrence/status/978861764539535360", "978861764539535360")</f>
        <v/>
      </c>
      <c r="B2190" s="2" t="n">
        <v>43187.21533564815</v>
      </c>
      <c r="C2190" t="n">
        <v>111</v>
      </c>
      <c r="D2190" t="n">
        <v>50</v>
      </c>
      <c r="E2190" t="s">
        <v>2197</v>
      </c>
      <c r="F2190" t="s"/>
      <c r="G2190" t="s"/>
      <c r="H2190" t="s"/>
      <c r="I2190" t="s"/>
      <c r="J2190" t="n">
        <v>-0.5859</v>
      </c>
      <c r="K2190" t="n">
        <v>0.297</v>
      </c>
      <c r="L2190" t="n">
        <v>0.703</v>
      </c>
      <c r="M2190" t="n">
        <v>0</v>
      </c>
    </row>
    <row r="2191" spans="1:13">
      <c r="A2191" s="1">
        <f>HYPERLINK("http://www.twitter.com/NathanBLawrence/status/978861557777096704", "978861557777096704")</f>
        <v/>
      </c>
      <c r="B2191" s="2" t="n">
        <v>43187.21476851852</v>
      </c>
      <c r="C2191" t="n">
        <v>0</v>
      </c>
      <c r="D2191" t="n">
        <v>465</v>
      </c>
      <c r="E2191" t="s">
        <v>2198</v>
      </c>
      <c r="F2191">
        <f>HYPERLINK("http://pbs.twimg.com/media/DZWNwvdVMAAbCx1.jpg", "http://pbs.twimg.com/media/DZWNwvdVMAAbCx1.jpg")</f>
        <v/>
      </c>
      <c r="G2191" t="s"/>
      <c r="H2191" t="s"/>
      <c r="I2191" t="s"/>
      <c r="J2191" t="n">
        <v>0.4926</v>
      </c>
      <c r="K2191" t="n">
        <v>0</v>
      </c>
      <c r="L2191" t="n">
        <v>0.873</v>
      </c>
      <c r="M2191" t="n">
        <v>0.127</v>
      </c>
    </row>
    <row r="2192" spans="1:13">
      <c r="A2192" s="1">
        <f>HYPERLINK("http://www.twitter.com/NathanBLawrence/status/978861408560599042", "978861408560599042")</f>
        <v/>
      </c>
      <c r="B2192" s="2" t="n">
        <v>43187.21435185185</v>
      </c>
      <c r="C2192" t="n">
        <v>0</v>
      </c>
      <c r="D2192" t="n">
        <v>341</v>
      </c>
      <c r="E2192" t="s">
        <v>2199</v>
      </c>
      <c r="F2192">
        <f>HYPERLINK("https://video.twimg.com/ext_tw_video/978823147834179584/pu/vid/1280x720/5Dv8O1U7iS0ZhlBj.mp4", "https://video.twimg.com/ext_tw_video/978823147834179584/pu/vid/1280x720/5Dv8O1U7iS0ZhlBj.mp4")</f>
        <v/>
      </c>
      <c r="G2192" t="s"/>
      <c r="H2192" t="s"/>
      <c r="I2192" t="s"/>
      <c r="J2192" t="n">
        <v>0.4215</v>
      </c>
      <c r="K2192" t="n">
        <v>0</v>
      </c>
      <c r="L2192" t="n">
        <v>0.833</v>
      </c>
      <c r="M2192" t="n">
        <v>0.167</v>
      </c>
    </row>
    <row r="2193" spans="1:13">
      <c r="A2193" s="1">
        <f>HYPERLINK("http://www.twitter.com/NathanBLawrence/status/978861130406916096", "978861130406916096")</f>
        <v/>
      </c>
      <c r="B2193" s="2" t="n">
        <v>43187.21358796296</v>
      </c>
      <c r="C2193" t="n">
        <v>0</v>
      </c>
      <c r="D2193" t="n">
        <v>710</v>
      </c>
      <c r="E2193" t="s">
        <v>2200</v>
      </c>
      <c r="F2193">
        <f>HYPERLINK("http://pbs.twimg.com/media/DZV2z_mWsAE80BH.jpg", "http://pbs.twimg.com/media/DZV2z_mWsAE80BH.jpg")</f>
        <v/>
      </c>
      <c r="G2193" t="s"/>
      <c r="H2193" t="s"/>
      <c r="I2193" t="s"/>
      <c r="J2193" t="n">
        <v>-0.128</v>
      </c>
      <c r="K2193" t="n">
        <v>0.132</v>
      </c>
      <c r="L2193" t="n">
        <v>0.755</v>
      </c>
      <c r="M2193" t="n">
        <v>0.113</v>
      </c>
    </row>
    <row r="2194" spans="1:13">
      <c r="A2194" s="1">
        <f>HYPERLINK("http://www.twitter.com/NathanBLawrence/status/978860997648764929", "978860997648764929")</f>
        <v/>
      </c>
      <c r="B2194" s="2" t="n">
        <v>43187.21321759259</v>
      </c>
      <c r="C2194" t="n">
        <v>0</v>
      </c>
      <c r="D2194" t="n">
        <v>304</v>
      </c>
      <c r="E2194" t="s">
        <v>2201</v>
      </c>
      <c r="F2194">
        <f>HYPERLINK("http://pbs.twimg.com/media/DZVyy21U0AEByGK.jpg", "http://pbs.twimg.com/media/DZVyy21U0AEByGK.jpg")</f>
        <v/>
      </c>
      <c r="G2194" t="s"/>
      <c r="H2194" t="s"/>
      <c r="I2194" t="s"/>
      <c r="J2194" t="n">
        <v>0.3034</v>
      </c>
      <c r="K2194" t="n">
        <v>0.237</v>
      </c>
      <c r="L2194" t="n">
        <v>0.458</v>
      </c>
      <c r="M2194" t="n">
        <v>0.305</v>
      </c>
    </row>
    <row r="2195" spans="1:13">
      <c r="A2195" s="1">
        <f>HYPERLINK("http://www.twitter.com/NathanBLawrence/status/978860814458413056", "978860814458413056")</f>
        <v/>
      </c>
      <c r="B2195" s="2" t="n">
        <v>43187.21271990741</v>
      </c>
      <c r="C2195" t="n">
        <v>0</v>
      </c>
      <c r="D2195" t="n">
        <v>248</v>
      </c>
      <c r="E2195" t="s">
        <v>2202</v>
      </c>
      <c r="F2195">
        <f>HYPERLINK("http://pbs.twimg.com/media/DZVOJOqXcAA1v1D.jpg", "http://pbs.twimg.com/media/DZVOJOqXcAA1v1D.jpg")</f>
        <v/>
      </c>
      <c r="G2195" t="s"/>
      <c r="H2195" t="s"/>
      <c r="I2195" t="s"/>
      <c r="J2195" t="n">
        <v>0.3818</v>
      </c>
      <c r="K2195" t="n">
        <v>0</v>
      </c>
      <c r="L2195" t="n">
        <v>0.841</v>
      </c>
      <c r="M2195" t="n">
        <v>0.159</v>
      </c>
    </row>
    <row r="2196" spans="1:13">
      <c r="A2196" s="1">
        <f>HYPERLINK("http://www.twitter.com/NathanBLawrence/status/978860695876927488", "978860695876927488")</f>
        <v/>
      </c>
      <c r="B2196" s="2" t="n">
        <v>43187.21238425926</v>
      </c>
      <c r="C2196" t="n">
        <v>0</v>
      </c>
      <c r="D2196" t="n">
        <v>7</v>
      </c>
      <c r="E2196" t="s">
        <v>2203</v>
      </c>
      <c r="F2196" t="s"/>
      <c r="G2196" t="s"/>
      <c r="H2196" t="s"/>
      <c r="I2196" t="s"/>
      <c r="J2196" t="n">
        <v>-0.7403999999999999</v>
      </c>
      <c r="K2196" t="n">
        <v>0.269</v>
      </c>
      <c r="L2196" t="n">
        <v>0.731</v>
      </c>
      <c r="M2196" t="n">
        <v>0</v>
      </c>
    </row>
    <row r="2197" spans="1:13">
      <c r="A2197" s="1">
        <f>HYPERLINK("http://www.twitter.com/NathanBLawrence/status/978860537214795776", "978860537214795776")</f>
        <v/>
      </c>
      <c r="B2197" s="2" t="n">
        <v>43187.21195601852</v>
      </c>
      <c r="C2197" t="n">
        <v>0</v>
      </c>
      <c r="D2197" t="n">
        <v>20</v>
      </c>
      <c r="E2197" t="s">
        <v>2204</v>
      </c>
      <c r="F2197" t="s"/>
      <c r="G2197" t="s"/>
      <c r="H2197" t="s"/>
      <c r="I2197" t="s"/>
      <c r="J2197" t="n">
        <v>0</v>
      </c>
      <c r="K2197" t="n">
        <v>0</v>
      </c>
      <c r="L2197" t="n">
        <v>1</v>
      </c>
      <c r="M2197" t="n">
        <v>0</v>
      </c>
    </row>
    <row r="2198" spans="1:13">
      <c r="A2198" s="1">
        <f>HYPERLINK("http://www.twitter.com/NathanBLawrence/status/978860464607301633", "978860464607301633")</f>
        <v/>
      </c>
      <c r="B2198" s="2" t="n">
        <v>43187.21174768519</v>
      </c>
      <c r="C2198" t="n">
        <v>0</v>
      </c>
      <c r="D2198" t="n">
        <v>546</v>
      </c>
      <c r="E2198" t="s">
        <v>2205</v>
      </c>
      <c r="F2198">
        <f>HYPERLINK("http://pbs.twimg.com/media/DZWFYfjVMAA5EIF.jpg", "http://pbs.twimg.com/media/DZWFYfjVMAA5EIF.jpg")</f>
        <v/>
      </c>
      <c r="G2198" t="s"/>
      <c r="H2198" t="s"/>
      <c r="I2198" t="s"/>
      <c r="J2198" t="n">
        <v>0</v>
      </c>
      <c r="K2198" t="n">
        <v>0.058</v>
      </c>
      <c r="L2198" t="n">
        <v>0.885</v>
      </c>
      <c r="M2198" t="n">
        <v>0.058</v>
      </c>
    </row>
    <row r="2199" spans="1:13">
      <c r="A2199" s="1">
        <f>HYPERLINK("http://www.twitter.com/NathanBLawrence/status/978860397682929664", "978860397682929664")</f>
        <v/>
      </c>
      <c r="B2199" s="2" t="n">
        <v>43187.2115625</v>
      </c>
      <c r="C2199" t="n">
        <v>0</v>
      </c>
      <c r="D2199" t="n">
        <v>2134</v>
      </c>
      <c r="E2199" t="s">
        <v>2206</v>
      </c>
      <c r="F2199">
        <f>HYPERLINK("http://pbs.twimg.com/media/DZUgN0WX4AE4KVo.jpg", "http://pbs.twimg.com/media/DZUgN0WX4AE4KVo.jpg")</f>
        <v/>
      </c>
      <c r="G2199" t="s"/>
      <c r="H2199" t="s"/>
      <c r="I2199" t="s"/>
      <c r="J2199" t="n">
        <v>0.3612</v>
      </c>
      <c r="K2199" t="n">
        <v>0</v>
      </c>
      <c r="L2199" t="n">
        <v>0.865</v>
      </c>
      <c r="M2199" t="n">
        <v>0.135</v>
      </c>
    </row>
    <row r="2200" spans="1:13">
      <c r="A2200" s="1">
        <f>HYPERLINK("http://www.twitter.com/NathanBLawrence/status/978859767891361792", "978859767891361792")</f>
        <v/>
      </c>
      <c r="B2200" s="2" t="n">
        <v>43187.20982638889</v>
      </c>
      <c r="C2200" t="n">
        <v>0</v>
      </c>
      <c r="D2200" t="n">
        <v>299</v>
      </c>
      <c r="E2200" t="s">
        <v>2207</v>
      </c>
      <c r="F2200">
        <f>HYPERLINK("http://pbs.twimg.com/media/DZUGN1RVoAAJb89.jpg", "http://pbs.twimg.com/media/DZUGN1RVoAAJb89.jpg")</f>
        <v/>
      </c>
      <c r="G2200" t="s"/>
      <c r="H2200" t="s"/>
      <c r="I2200" t="s"/>
      <c r="J2200" t="n">
        <v>0.5574</v>
      </c>
      <c r="K2200" t="n">
        <v>0</v>
      </c>
      <c r="L2200" t="n">
        <v>0.82</v>
      </c>
      <c r="M2200" t="n">
        <v>0.18</v>
      </c>
    </row>
    <row r="2201" spans="1:13">
      <c r="A2201" s="1">
        <f>HYPERLINK("http://www.twitter.com/NathanBLawrence/status/978859641571631104", "978859641571631104")</f>
        <v/>
      </c>
      <c r="B2201" s="2" t="n">
        <v>43187.20947916667</v>
      </c>
      <c r="C2201" t="n">
        <v>0</v>
      </c>
      <c r="D2201" t="n">
        <v>20</v>
      </c>
      <c r="E2201" t="s">
        <v>2208</v>
      </c>
      <c r="F2201">
        <f>HYPERLINK("http://pbs.twimg.com/media/DZWbZ3EW0AAgRUV.jpg", "http://pbs.twimg.com/media/DZWbZ3EW0AAgRUV.jpg")</f>
        <v/>
      </c>
      <c r="G2201" t="s"/>
      <c r="H2201" t="s"/>
      <c r="I2201" t="s"/>
      <c r="J2201" t="n">
        <v>-0.6597</v>
      </c>
      <c r="K2201" t="n">
        <v>0.196</v>
      </c>
      <c r="L2201" t="n">
        <v>0.804</v>
      </c>
      <c r="M2201" t="n">
        <v>0</v>
      </c>
    </row>
    <row r="2202" spans="1:13">
      <c r="A2202" s="1">
        <f>HYPERLINK("http://www.twitter.com/NathanBLawrence/status/978859282983804931", "978859282983804931")</f>
        <v/>
      </c>
      <c r="B2202" s="2" t="n">
        <v>43187.20849537037</v>
      </c>
      <c r="C2202" t="n">
        <v>0</v>
      </c>
      <c r="D2202" t="n">
        <v>4542</v>
      </c>
      <c r="E2202" t="s">
        <v>2209</v>
      </c>
      <c r="F2202">
        <f>HYPERLINK("http://pbs.twimg.com/media/DZVi0dNX0AEJupn.jpg", "http://pbs.twimg.com/media/DZVi0dNX0AEJupn.jpg")</f>
        <v/>
      </c>
      <c r="G2202" t="s"/>
      <c r="H2202" t="s"/>
      <c r="I2202" t="s"/>
      <c r="J2202" t="n">
        <v>-0.4724</v>
      </c>
      <c r="K2202" t="n">
        <v>0.305</v>
      </c>
      <c r="L2202" t="n">
        <v>0.695</v>
      </c>
      <c r="M2202" t="n">
        <v>0</v>
      </c>
    </row>
    <row r="2203" spans="1:13">
      <c r="A2203" s="1">
        <f>HYPERLINK("http://www.twitter.com/NathanBLawrence/status/978859183545245697", "978859183545245697")</f>
        <v/>
      </c>
      <c r="B2203" s="2" t="n">
        <v>43187.20821759259</v>
      </c>
      <c r="C2203" t="n">
        <v>0</v>
      </c>
      <c r="D2203" t="n">
        <v>0</v>
      </c>
      <c r="E2203" t="s">
        <v>2210</v>
      </c>
      <c r="F2203" t="s"/>
      <c r="G2203" t="s"/>
      <c r="H2203" t="s"/>
      <c r="I2203" t="s"/>
      <c r="J2203" t="n">
        <v>0</v>
      </c>
      <c r="K2203" t="n">
        <v>0</v>
      </c>
      <c r="L2203" t="n">
        <v>1</v>
      </c>
      <c r="M2203" t="n">
        <v>0</v>
      </c>
    </row>
    <row r="2204" spans="1:13">
      <c r="A2204" s="1">
        <f>HYPERLINK("http://www.twitter.com/NathanBLawrence/status/978766763050414080", "978766763050414080")</f>
        <v/>
      </c>
      <c r="B2204" s="2" t="n">
        <v>43186.95318287037</v>
      </c>
      <c r="C2204" t="n">
        <v>37</v>
      </c>
      <c r="D2204" t="n">
        <v>13</v>
      </c>
      <c r="E2204" t="s">
        <v>2211</v>
      </c>
      <c r="F2204">
        <f>HYPERLINK("http://pbs.twimg.com/media/DZVHIx3VoAEAPM-.jpg", "http://pbs.twimg.com/media/DZVHIx3VoAEAPM-.jpg")</f>
        <v/>
      </c>
      <c r="G2204" t="s"/>
      <c r="H2204" t="s"/>
      <c r="I2204" t="s"/>
      <c r="J2204" t="n">
        <v>-0.6597</v>
      </c>
      <c r="K2204" t="n">
        <v>0.355</v>
      </c>
      <c r="L2204" t="n">
        <v>0.645</v>
      </c>
      <c r="M2204" t="n">
        <v>0</v>
      </c>
    </row>
    <row r="2205" spans="1:13">
      <c r="A2205" s="1">
        <f>HYPERLINK("http://www.twitter.com/NathanBLawrence/status/978766252297437184", "978766252297437184")</f>
        <v/>
      </c>
      <c r="B2205" s="2" t="n">
        <v>43186.95177083334</v>
      </c>
      <c r="C2205" t="n">
        <v>46</v>
      </c>
      <c r="D2205" t="n">
        <v>17</v>
      </c>
      <c r="E2205" t="s">
        <v>2212</v>
      </c>
      <c r="F2205">
        <f>HYPERLINK("http://pbs.twimg.com/media/DZVGtnLU0AAviLx.jpg", "http://pbs.twimg.com/media/DZVGtnLU0AAviLx.jpg")</f>
        <v/>
      </c>
      <c r="G2205" t="s"/>
      <c r="H2205" t="s"/>
      <c r="I2205" t="s"/>
      <c r="J2205" t="n">
        <v>0.4215</v>
      </c>
      <c r="K2205" t="n">
        <v>0</v>
      </c>
      <c r="L2205" t="n">
        <v>0.641</v>
      </c>
      <c r="M2205" t="n">
        <v>0.359</v>
      </c>
    </row>
    <row r="2206" spans="1:13">
      <c r="A2206" s="1">
        <f>HYPERLINK("http://www.twitter.com/NathanBLawrence/status/978685440432644097", "978685440432644097")</f>
        <v/>
      </c>
      <c r="B2206" s="2" t="n">
        <v>43186.72877314815</v>
      </c>
      <c r="C2206" t="n">
        <v>3</v>
      </c>
      <c r="D2206" t="n">
        <v>0</v>
      </c>
      <c r="E2206" t="s">
        <v>2213</v>
      </c>
      <c r="F2206" t="s"/>
      <c r="G2206" t="s"/>
      <c r="H2206" t="s"/>
      <c r="I2206" t="s"/>
      <c r="J2206" t="n">
        <v>0</v>
      </c>
      <c r="K2206" t="n">
        <v>0</v>
      </c>
      <c r="L2206" t="n">
        <v>1</v>
      </c>
      <c r="M2206" t="n">
        <v>0</v>
      </c>
    </row>
    <row r="2207" spans="1:13">
      <c r="A2207" s="1">
        <f>HYPERLINK("http://www.twitter.com/NathanBLawrence/status/978546449599234048", "978546449599234048")</f>
        <v/>
      </c>
      <c r="B2207" s="2" t="n">
        <v>43186.34523148148</v>
      </c>
      <c r="C2207" t="n">
        <v>0</v>
      </c>
      <c r="D2207" t="n">
        <v>6</v>
      </c>
      <c r="E2207" t="s">
        <v>2214</v>
      </c>
      <c r="F2207">
        <f>HYPERLINK("http://pbs.twimg.com/media/DZPIMECVwAAtOC1.jpg", "http://pbs.twimg.com/media/DZPIMECVwAAtOC1.jpg")</f>
        <v/>
      </c>
      <c r="G2207" t="s"/>
      <c r="H2207" t="s"/>
      <c r="I2207" t="s"/>
      <c r="J2207" t="n">
        <v>0.5362</v>
      </c>
      <c r="K2207" t="n">
        <v>0</v>
      </c>
      <c r="L2207" t="n">
        <v>0.853</v>
      </c>
      <c r="M2207" t="n">
        <v>0.147</v>
      </c>
    </row>
    <row r="2208" spans="1:13">
      <c r="A2208" s="1">
        <f>HYPERLINK("http://www.twitter.com/NathanBLawrence/status/978546238516707329", "978546238516707329")</f>
        <v/>
      </c>
      <c r="B2208" s="2" t="n">
        <v>43186.34465277778</v>
      </c>
      <c r="C2208" t="n">
        <v>0</v>
      </c>
      <c r="D2208" t="n">
        <v>28923</v>
      </c>
      <c r="E2208" t="s">
        <v>2215</v>
      </c>
      <c r="F2208" t="s"/>
      <c r="G2208" t="s"/>
      <c r="H2208" t="s"/>
      <c r="I2208" t="s"/>
      <c r="J2208" t="n">
        <v>0.2732</v>
      </c>
      <c r="K2208" t="n">
        <v>0</v>
      </c>
      <c r="L2208" t="n">
        <v>0.877</v>
      </c>
      <c r="M2208" t="n">
        <v>0.123</v>
      </c>
    </row>
    <row r="2209" spans="1:13">
      <c r="A2209" s="1">
        <f>HYPERLINK("http://www.twitter.com/NathanBLawrence/status/978546043083137024", "978546043083137024")</f>
        <v/>
      </c>
      <c r="B2209" s="2" t="n">
        <v>43186.34410879629</v>
      </c>
      <c r="C2209" t="n">
        <v>0</v>
      </c>
      <c r="D2209" t="n">
        <v>324</v>
      </c>
      <c r="E2209" t="s">
        <v>138</v>
      </c>
      <c r="F2209">
        <f>HYPERLINK("http://pbs.twimg.com/media/DTWo3jkX4AYMGoT.jpg", "http://pbs.twimg.com/media/DTWo3jkX4AYMGoT.jpg")</f>
        <v/>
      </c>
      <c r="G2209" t="s"/>
      <c r="H2209" t="s"/>
      <c r="I2209" t="s"/>
      <c r="J2209" t="n">
        <v>0</v>
      </c>
      <c r="K2209" t="n">
        <v>0</v>
      </c>
      <c r="L2209" t="n">
        <v>1</v>
      </c>
      <c r="M2209" t="n">
        <v>0</v>
      </c>
    </row>
    <row r="2210" spans="1:13">
      <c r="A2210" s="1">
        <f>HYPERLINK("http://www.twitter.com/NathanBLawrence/status/978545430316199938", "978545430316199938")</f>
        <v/>
      </c>
      <c r="B2210" s="2" t="n">
        <v>43186.34241898148</v>
      </c>
      <c r="C2210" t="n">
        <v>0</v>
      </c>
      <c r="D2210" t="n">
        <v>473</v>
      </c>
      <c r="E2210" t="s">
        <v>2216</v>
      </c>
      <c r="F2210">
        <f>HYPERLINK("http://pbs.twimg.com/media/DZQLeGAU0AAOUpO.jpg", "http://pbs.twimg.com/media/DZQLeGAU0AAOUpO.jpg")</f>
        <v/>
      </c>
      <c r="G2210" t="s"/>
      <c r="H2210" t="s"/>
      <c r="I2210" t="s"/>
      <c r="J2210" t="n">
        <v>0</v>
      </c>
      <c r="K2210" t="n">
        <v>0</v>
      </c>
      <c r="L2210" t="n">
        <v>1</v>
      </c>
      <c r="M2210" t="n">
        <v>0</v>
      </c>
    </row>
    <row r="2211" spans="1:13">
      <c r="A2211" s="1">
        <f>HYPERLINK("http://www.twitter.com/NathanBLawrence/status/978545086609813505", "978545086609813505")</f>
        <v/>
      </c>
      <c r="B2211" s="2" t="n">
        <v>43186.34146990741</v>
      </c>
      <c r="C2211" t="n">
        <v>0</v>
      </c>
      <c r="D2211" t="n">
        <v>237</v>
      </c>
      <c r="E2211" t="s">
        <v>2217</v>
      </c>
      <c r="F2211" t="s"/>
      <c r="G2211" t="s"/>
      <c r="H2211" t="s"/>
      <c r="I2211" t="s"/>
      <c r="J2211" t="n">
        <v>0</v>
      </c>
      <c r="K2211" t="n">
        <v>0</v>
      </c>
      <c r="L2211" t="n">
        <v>1</v>
      </c>
      <c r="M2211" t="n">
        <v>0</v>
      </c>
    </row>
    <row r="2212" spans="1:13">
      <c r="A2212" s="1">
        <f>HYPERLINK("http://www.twitter.com/NathanBLawrence/status/978544891192987648", "978544891192987648")</f>
        <v/>
      </c>
      <c r="B2212" s="2" t="n">
        <v>43186.3409375</v>
      </c>
      <c r="C2212" t="n">
        <v>0</v>
      </c>
      <c r="D2212" t="n">
        <v>204</v>
      </c>
      <c r="E2212" t="s">
        <v>2218</v>
      </c>
      <c r="F2212">
        <f>HYPERLINK("http://pbs.twimg.com/media/DZQQ75IVQAAIoG0.jpg", "http://pbs.twimg.com/media/DZQQ75IVQAAIoG0.jpg")</f>
        <v/>
      </c>
      <c r="G2212" t="s"/>
      <c r="H2212" t="s"/>
      <c r="I2212" t="s"/>
      <c r="J2212" t="n">
        <v>0.8070000000000001</v>
      </c>
      <c r="K2212" t="n">
        <v>0</v>
      </c>
      <c r="L2212" t="n">
        <v>0.759</v>
      </c>
      <c r="M2212" t="n">
        <v>0.241</v>
      </c>
    </row>
    <row r="2213" spans="1:13">
      <c r="A2213" s="1">
        <f>HYPERLINK("http://www.twitter.com/NathanBLawrence/status/978544717162979329", "978544717162979329")</f>
        <v/>
      </c>
      <c r="B2213" s="2" t="n">
        <v>43186.34045138889</v>
      </c>
      <c r="C2213" t="n">
        <v>0</v>
      </c>
      <c r="D2213" t="n">
        <v>276</v>
      </c>
      <c r="E2213" t="s">
        <v>2219</v>
      </c>
      <c r="F2213">
        <f>HYPERLINK("http://pbs.twimg.com/media/DZQTQPwWAAEAEW4.jpg", "http://pbs.twimg.com/media/DZQTQPwWAAEAEW4.jpg")</f>
        <v/>
      </c>
      <c r="G2213" t="s"/>
      <c r="H2213" t="s"/>
      <c r="I2213" t="s"/>
      <c r="J2213" t="n">
        <v>0.6025</v>
      </c>
      <c r="K2213" t="n">
        <v>0.096</v>
      </c>
      <c r="L2213" t="n">
        <v>0.627</v>
      </c>
      <c r="M2213" t="n">
        <v>0.277</v>
      </c>
    </row>
    <row r="2214" spans="1:13">
      <c r="A2214" s="1">
        <f>HYPERLINK("http://www.twitter.com/NathanBLawrence/status/978544671872794624", "978544671872794624")</f>
        <v/>
      </c>
      <c r="B2214" s="2" t="n">
        <v>43186.34032407407</v>
      </c>
      <c r="C2214" t="n">
        <v>0</v>
      </c>
      <c r="D2214" t="n">
        <v>169</v>
      </c>
      <c r="E2214" t="s">
        <v>2220</v>
      </c>
      <c r="F2214">
        <f>HYPERLINK("http://pbs.twimg.com/media/DZRowIAW4AAvpl-.jpg", "http://pbs.twimg.com/media/DZRowIAW4AAvpl-.jpg")</f>
        <v/>
      </c>
      <c r="G2214" t="s"/>
      <c r="H2214" t="s"/>
      <c r="I2214" t="s"/>
      <c r="J2214" t="n">
        <v>-0.7978</v>
      </c>
      <c r="K2214" t="n">
        <v>0.337</v>
      </c>
      <c r="L2214" t="n">
        <v>0.552</v>
      </c>
      <c r="M2214" t="n">
        <v>0.112</v>
      </c>
    </row>
    <row r="2215" spans="1:13">
      <c r="A2215" s="1">
        <f>HYPERLINK("http://www.twitter.com/NathanBLawrence/status/978544650272178176", "978544650272178176")</f>
        <v/>
      </c>
      <c r="B2215" s="2" t="n">
        <v>43186.3402662037</v>
      </c>
      <c r="C2215" t="n">
        <v>0</v>
      </c>
      <c r="D2215" t="n">
        <v>1017</v>
      </c>
      <c r="E2215" t="s">
        <v>2221</v>
      </c>
      <c r="F2215">
        <f>HYPERLINK("http://pbs.twimg.com/media/DZQjuBhXUAEOE7H.jpg", "http://pbs.twimg.com/media/DZQjuBhXUAEOE7H.jpg")</f>
        <v/>
      </c>
      <c r="G2215" t="s"/>
      <c r="H2215" t="s"/>
      <c r="I2215" t="s"/>
      <c r="J2215" t="n">
        <v>0</v>
      </c>
      <c r="K2215" t="n">
        <v>0</v>
      </c>
      <c r="L2215" t="n">
        <v>1</v>
      </c>
      <c r="M2215" t="n">
        <v>0</v>
      </c>
    </row>
    <row r="2216" spans="1:13">
      <c r="A2216" s="1">
        <f>HYPERLINK("http://www.twitter.com/NathanBLawrence/status/978544528964464640", "978544528964464640")</f>
        <v/>
      </c>
      <c r="B2216" s="2" t="n">
        <v>43186.33993055556</v>
      </c>
      <c r="C2216" t="n">
        <v>0</v>
      </c>
      <c r="D2216" t="n">
        <v>820</v>
      </c>
      <c r="E2216" t="s">
        <v>2222</v>
      </c>
      <c r="F2216">
        <f>HYPERLINK("https://video.twimg.com/amplify_video/978416271330086913/vid/1280x720/pXH16vElQRUjQ8EV.mp4", "https://video.twimg.com/amplify_video/978416271330086913/vid/1280x720/pXH16vElQRUjQ8EV.mp4")</f>
        <v/>
      </c>
      <c r="G2216" t="s"/>
      <c r="H2216" t="s"/>
      <c r="I2216" t="s"/>
      <c r="J2216" t="n">
        <v>-0.34</v>
      </c>
      <c r="K2216" t="n">
        <v>0.103</v>
      </c>
      <c r="L2216" t="n">
        <v>0.897</v>
      </c>
      <c r="M2216" t="n">
        <v>0</v>
      </c>
    </row>
    <row r="2217" spans="1:13">
      <c r="A2217" s="1">
        <f>HYPERLINK("http://www.twitter.com/NathanBLawrence/status/978544457770401792", "978544457770401792")</f>
        <v/>
      </c>
      <c r="B2217" s="2" t="n">
        <v>43186.3397337963</v>
      </c>
      <c r="C2217" t="n">
        <v>3</v>
      </c>
      <c r="D2217" t="n">
        <v>1</v>
      </c>
      <c r="E2217" t="s">
        <v>2223</v>
      </c>
      <c r="F2217" t="s"/>
      <c r="G2217" t="s"/>
      <c r="H2217" t="s"/>
      <c r="I2217" t="s"/>
      <c r="J2217" t="n">
        <v>-0.3802</v>
      </c>
      <c r="K2217" t="n">
        <v>0.42</v>
      </c>
      <c r="L2217" t="n">
        <v>0.341</v>
      </c>
      <c r="M2217" t="n">
        <v>0.239</v>
      </c>
    </row>
    <row r="2218" spans="1:13">
      <c r="A2218" s="1">
        <f>HYPERLINK("http://www.twitter.com/NathanBLawrence/status/978544244343291904", "978544244343291904")</f>
        <v/>
      </c>
      <c r="B2218" s="2" t="n">
        <v>43186.33914351852</v>
      </c>
      <c r="C2218" t="n">
        <v>0</v>
      </c>
      <c r="D2218" t="n">
        <v>641</v>
      </c>
      <c r="E2218" t="s">
        <v>2224</v>
      </c>
      <c r="F2218">
        <f>HYPERLINK("http://pbs.twimg.com/media/DZQpMQNVMAADhHB.jpg", "http://pbs.twimg.com/media/DZQpMQNVMAADhHB.jpg")</f>
        <v/>
      </c>
      <c r="G2218" t="s"/>
      <c r="H2218" t="s"/>
      <c r="I2218" t="s"/>
      <c r="J2218" t="n">
        <v>0.3182</v>
      </c>
      <c r="K2218" t="n">
        <v>0</v>
      </c>
      <c r="L2218" t="n">
        <v>0.905</v>
      </c>
      <c r="M2218" t="n">
        <v>0.095</v>
      </c>
    </row>
    <row r="2219" spans="1:13">
      <c r="A2219" s="1">
        <f>HYPERLINK("http://www.twitter.com/NathanBLawrence/status/978544014906437633", "978544014906437633")</f>
        <v/>
      </c>
      <c r="B2219" s="2" t="n">
        <v>43186.33851851852</v>
      </c>
      <c r="C2219" t="n">
        <v>0</v>
      </c>
      <c r="D2219" t="n">
        <v>141</v>
      </c>
      <c r="E2219" t="s">
        <v>2225</v>
      </c>
      <c r="F2219" t="s"/>
      <c r="G2219" t="s"/>
      <c r="H2219" t="s"/>
      <c r="I2219" t="s"/>
      <c r="J2219" t="n">
        <v>0.2263</v>
      </c>
      <c r="K2219" t="n">
        <v>0.172</v>
      </c>
      <c r="L2219" t="n">
        <v>0.596</v>
      </c>
      <c r="M2219" t="n">
        <v>0.232</v>
      </c>
    </row>
    <row r="2220" spans="1:13">
      <c r="A2220" s="1">
        <f>HYPERLINK("http://www.twitter.com/NathanBLawrence/status/978543947839520769", "978543947839520769")</f>
        <v/>
      </c>
      <c r="B2220" s="2" t="n">
        <v>43186.33833333333</v>
      </c>
      <c r="C2220" t="n">
        <v>0</v>
      </c>
      <c r="D2220" t="n">
        <v>22</v>
      </c>
      <c r="E2220" t="s">
        <v>2226</v>
      </c>
      <c r="F2220" t="s"/>
      <c r="G2220" t="s"/>
      <c r="H2220" t="s"/>
      <c r="I2220" t="s"/>
      <c r="J2220" t="n">
        <v>0</v>
      </c>
      <c r="K2220" t="n">
        <v>0</v>
      </c>
      <c r="L2220" t="n">
        <v>1</v>
      </c>
      <c r="M2220" t="n">
        <v>0</v>
      </c>
    </row>
    <row r="2221" spans="1:13">
      <c r="A2221" s="1">
        <f>HYPERLINK("http://www.twitter.com/NathanBLawrence/status/978543725449175040", "978543725449175040")</f>
        <v/>
      </c>
      <c r="B2221" s="2" t="n">
        <v>43186.33771990741</v>
      </c>
      <c r="C2221" t="n">
        <v>0</v>
      </c>
      <c r="D2221" t="n">
        <v>803</v>
      </c>
      <c r="E2221" t="s">
        <v>2227</v>
      </c>
      <c r="F2221" t="s"/>
      <c r="G2221" t="s"/>
      <c r="H2221" t="s"/>
      <c r="I2221" t="s"/>
      <c r="J2221" t="n">
        <v>-0.1511</v>
      </c>
      <c r="K2221" t="n">
        <v>0.08799999999999999</v>
      </c>
      <c r="L2221" t="n">
        <v>0.844</v>
      </c>
      <c r="M2221" t="n">
        <v>0.068</v>
      </c>
    </row>
    <row r="2222" spans="1:13">
      <c r="A2222" s="1">
        <f>HYPERLINK("http://www.twitter.com/NathanBLawrence/status/978543616019775488", "978543616019775488")</f>
        <v/>
      </c>
      <c r="B2222" s="2" t="n">
        <v>43186.33741898148</v>
      </c>
      <c r="C2222" t="n">
        <v>3</v>
      </c>
      <c r="D2222" t="n">
        <v>0</v>
      </c>
      <c r="E2222" t="s">
        <v>2228</v>
      </c>
      <c r="F2222" t="s"/>
      <c r="G2222" t="s"/>
      <c r="H2222" t="s"/>
      <c r="I2222" t="s"/>
      <c r="J2222" t="n">
        <v>-0.5983000000000001</v>
      </c>
      <c r="K2222" t="n">
        <v>0.438</v>
      </c>
      <c r="L2222" t="n">
        <v>0.5620000000000001</v>
      </c>
      <c r="M2222" t="n">
        <v>0</v>
      </c>
    </row>
    <row r="2223" spans="1:13">
      <c r="A2223" s="1">
        <f>HYPERLINK("http://www.twitter.com/NathanBLawrence/status/978543313237131264", "978543313237131264")</f>
        <v/>
      </c>
      <c r="B2223" s="2" t="n">
        <v>43186.33657407408</v>
      </c>
      <c r="C2223" t="n">
        <v>22</v>
      </c>
      <c r="D2223" t="n">
        <v>7</v>
      </c>
      <c r="E2223" t="s">
        <v>2229</v>
      </c>
      <c r="F2223" t="s"/>
      <c r="G2223" t="s"/>
      <c r="H2223" t="s"/>
      <c r="I2223" t="s"/>
      <c r="J2223" t="n">
        <v>-0.8979</v>
      </c>
      <c r="K2223" t="n">
        <v>0.421</v>
      </c>
      <c r="L2223" t="n">
        <v>0.579</v>
      </c>
      <c r="M2223" t="n">
        <v>0</v>
      </c>
    </row>
    <row r="2224" spans="1:13">
      <c r="A2224" s="1">
        <f>HYPERLINK("http://www.twitter.com/NathanBLawrence/status/978542401621864448", "978542401621864448")</f>
        <v/>
      </c>
      <c r="B2224" s="2" t="n">
        <v>43186.3340625</v>
      </c>
      <c r="C2224" t="n">
        <v>0</v>
      </c>
      <c r="D2224" t="n">
        <v>1824</v>
      </c>
      <c r="E2224" t="s">
        <v>2230</v>
      </c>
      <c r="F2224">
        <f>HYPERLINK("https://video.twimg.com/ext_tw_video/978463307207032833/pu/vid/720x720/xR_947-V8rgMwdA7.mp4", "https://video.twimg.com/ext_tw_video/978463307207032833/pu/vid/720x720/xR_947-V8rgMwdA7.mp4")</f>
        <v/>
      </c>
      <c r="G2224" t="s"/>
      <c r="H2224" t="s"/>
      <c r="I2224" t="s"/>
      <c r="J2224" t="n">
        <v>-0.872</v>
      </c>
      <c r="K2224" t="n">
        <v>0.355</v>
      </c>
      <c r="L2224" t="n">
        <v>0.645</v>
      </c>
      <c r="M2224" t="n">
        <v>0</v>
      </c>
    </row>
    <row r="2225" spans="1:13">
      <c r="A2225" s="1">
        <f>HYPERLINK("http://www.twitter.com/NathanBLawrence/status/978542308261023744", "978542308261023744")</f>
        <v/>
      </c>
      <c r="B2225" s="2" t="n">
        <v>43186.33380787037</v>
      </c>
      <c r="C2225" t="n">
        <v>0</v>
      </c>
      <c r="D2225" t="n">
        <v>6</v>
      </c>
      <c r="E2225" t="s">
        <v>2231</v>
      </c>
      <c r="F2225">
        <f>HYPERLINK("http://pbs.twimg.com/media/DZQcJoIW4AU4vEI.jpg", "http://pbs.twimg.com/media/DZQcJoIW4AU4vEI.jpg")</f>
        <v/>
      </c>
      <c r="G2225" t="s"/>
      <c r="H2225" t="s"/>
      <c r="I2225" t="s"/>
      <c r="J2225" t="n">
        <v>0.5904</v>
      </c>
      <c r="K2225" t="n">
        <v>0.1</v>
      </c>
      <c r="L2225" t="n">
        <v>0.615</v>
      </c>
      <c r="M2225" t="n">
        <v>0.286</v>
      </c>
    </row>
    <row r="2226" spans="1:13">
      <c r="A2226" s="1">
        <f>HYPERLINK("http://www.twitter.com/NathanBLawrence/status/978541782848847872", "978541782848847872")</f>
        <v/>
      </c>
      <c r="B2226" s="2" t="n">
        <v>43186.33236111111</v>
      </c>
      <c r="C2226" t="n">
        <v>0</v>
      </c>
      <c r="D2226" t="n">
        <v>68</v>
      </c>
      <c r="E2226" t="s">
        <v>2232</v>
      </c>
      <c r="F2226" t="s"/>
      <c r="G2226" t="s"/>
      <c r="H2226" t="s"/>
      <c r="I2226" t="s"/>
      <c r="J2226" t="n">
        <v>0.4767</v>
      </c>
      <c r="K2226" t="n">
        <v>0</v>
      </c>
      <c r="L2226" t="n">
        <v>0.881</v>
      </c>
      <c r="M2226" t="n">
        <v>0.119</v>
      </c>
    </row>
    <row r="2227" spans="1:13">
      <c r="A2227" s="1">
        <f>HYPERLINK("http://www.twitter.com/NathanBLawrence/status/978541685801074688", "978541685801074688")</f>
        <v/>
      </c>
      <c r="B2227" s="2" t="n">
        <v>43186.33208333333</v>
      </c>
      <c r="C2227" t="n">
        <v>0</v>
      </c>
      <c r="D2227" t="n">
        <v>580</v>
      </c>
      <c r="E2227" t="s">
        <v>2233</v>
      </c>
      <c r="F2227">
        <f>HYPERLINK("http://pbs.twimg.com/media/DZQj_PGUMAAVPN8.jpg", "http://pbs.twimg.com/media/DZQj_PGUMAAVPN8.jpg")</f>
        <v/>
      </c>
      <c r="G2227" t="s"/>
      <c r="H2227" t="s"/>
      <c r="I2227" t="s"/>
      <c r="J2227" t="n">
        <v>-0.5451</v>
      </c>
      <c r="K2227" t="n">
        <v>0.244</v>
      </c>
      <c r="L2227" t="n">
        <v>0.756</v>
      </c>
      <c r="M2227" t="n">
        <v>0</v>
      </c>
    </row>
    <row r="2228" spans="1:13">
      <c r="A2228" s="1">
        <f>HYPERLINK("http://www.twitter.com/NathanBLawrence/status/978541508075839489", "978541508075839489")</f>
        <v/>
      </c>
      <c r="B2228" s="2" t="n">
        <v>43186.33159722222</v>
      </c>
      <c r="C2228" t="n">
        <v>0</v>
      </c>
      <c r="D2228" t="n">
        <v>2162</v>
      </c>
      <c r="E2228" t="s">
        <v>2234</v>
      </c>
      <c r="F2228" t="s"/>
      <c r="G2228" t="s"/>
      <c r="H2228" t="s"/>
      <c r="I2228" t="s"/>
      <c r="J2228" t="n">
        <v>-0.7579</v>
      </c>
      <c r="K2228" t="n">
        <v>0.22</v>
      </c>
      <c r="L2228" t="n">
        <v>0.78</v>
      </c>
      <c r="M2228" t="n">
        <v>0</v>
      </c>
    </row>
    <row r="2229" spans="1:13">
      <c r="A2229" s="1">
        <f>HYPERLINK("http://www.twitter.com/NathanBLawrence/status/978541151228592129", "978541151228592129")</f>
        <v/>
      </c>
      <c r="B2229" s="2" t="n">
        <v>43186.33061342593</v>
      </c>
      <c r="C2229" t="n">
        <v>0</v>
      </c>
      <c r="D2229" t="n">
        <v>656</v>
      </c>
      <c r="E2229" t="s">
        <v>2235</v>
      </c>
      <c r="F2229">
        <f>HYPERLINK("http://pbs.twimg.com/media/DZNuT6QWAAEZ7Rs.jpg", "http://pbs.twimg.com/media/DZNuT6QWAAEZ7Rs.jpg")</f>
        <v/>
      </c>
      <c r="G2229" t="s"/>
      <c r="H2229" t="s"/>
      <c r="I2229" t="s"/>
      <c r="J2229" t="n">
        <v>0.9371</v>
      </c>
      <c r="K2229" t="n">
        <v>0</v>
      </c>
      <c r="L2229" t="n">
        <v>0.509</v>
      </c>
      <c r="M2229" t="n">
        <v>0.491</v>
      </c>
    </row>
    <row r="2230" spans="1:13">
      <c r="A2230" s="1">
        <f>HYPERLINK("http://www.twitter.com/NathanBLawrence/status/978541076519698432", "978541076519698432")</f>
        <v/>
      </c>
      <c r="B2230" s="2" t="n">
        <v>43186.33040509259</v>
      </c>
      <c r="C2230" t="n">
        <v>0</v>
      </c>
      <c r="D2230" t="n">
        <v>16</v>
      </c>
      <c r="E2230" t="s">
        <v>2236</v>
      </c>
      <c r="F2230">
        <f>HYPERLINK("http://pbs.twimg.com/media/DZRpTPyUMAAMrRe.jpg", "http://pbs.twimg.com/media/DZRpTPyUMAAMrRe.jpg")</f>
        <v/>
      </c>
      <c r="G2230" t="s"/>
      <c r="H2230" t="s"/>
      <c r="I2230" t="s"/>
      <c r="J2230" t="n">
        <v>-0.3182</v>
      </c>
      <c r="K2230" t="n">
        <v>0.144</v>
      </c>
      <c r="L2230" t="n">
        <v>0.758</v>
      </c>
      <c r="M2230" t="n">
        <v>0.097</v>
      </c>
    </row>
    <row r="2231" spans="1:13">
      <c r="A2231" s="1">
        <f>HYPERLINK("http://www.twitter.com/NathanBLawrence/status/978539134095564800", "978539134095564800")</f>
        <v/>
      </c>
      <c r="B2231" s="2" t="n">
        <v>43186.3250462963</v>
      </c>
      <c r="C2231" t="n">
        <v>0</v>
      </c>
      <c r="D2231" t="n">
        <v>7168</v>
      </c>
      <c r="E2231" t="s">
        <v>2237</v>
      </c>
      <c r="F2231" t="s"/>
      <c r="G2231" t="s"/>
      <c r="H2231" t="s"/>
      <c r="I2231" t="s"/>
      <c r="J2231" t="n">
        <v>0</v>
      </c>
      <c r="K2231" t="n">
        <v>0</v>
      </c>
      <c r="L2231" t="n">
        <v>1</v>
      </c>
      <c r="M2231" t="n">
        <v>0</v>
      </c>
    </row>
    <row r="2232" spans="1:13">
      <c r="A2232" s="1">
        <f>HYPERLINK("http://www.twitter.com/NathanBLawrence/status/978539040688369665", "978539040688369665")</f>
        <v/>
      </c>
      <c r="B2232" s="2" t="n">
        <v>43186.32479166667</v>
      </c>
      <c r="C2232" t="n">
        <v>0</v>
      </c>
      <c r="D2232" t="n">
        <v>20679</v>
      </c>
      <c r="E2232" t="s">
        <v>2238</v>
      </c>
      <c r="F2232" t="s"/>
      <c r="G2232" t="s"/>
      <c r="H2232" t="s"/>
      <c r="I2232" t="s"/>
      <c r="J2232" t="n">
        <v>-0.3252</v>
      </c>
      <c r="K2232" t="n">
        <v>0.096</v>
      </c>
      <c r="L2232" t="n">
        <v>0.904</v>
      </c>
      <c r="M2232" t="n">
        <v>0</v>
      </c>
    </row>
    <row r="2233" spans="1:13">
      <c r="A2233" s="1">
        <f>HYPERLINK("http://www.twitter.com/NathanBLawrence/status/978092552623677440", "978092552623677440")</f>
        <v/>
      </c>
      <c r="B2233" s="2" t="n">
        <v>43185.09271990741</v>
      </c>
      <c r="C2233" t="n">
        <v>27</v>
      </c>
      <c r="D2233" t="n">
        <v>3</v>
      </c>
      <c r="E2233" t="s">
        <v>2239</v>
      </c>
      <c r="F2233">
        <f>HYPERLINK("http://pbs.twimg.com/media/DZLh_dPX0AEj9hv.jpg", "http://pbs.twimg.com/media/DZLh_dPX0AEj9hv.jpg")</f>
        <v/>
      </c>
      <c r="G2233" t="s"/>
      <c r="H2233" t="s"/>
      <c r="I2233" t="s"/>
      <c r="J2233" t="n">
        <v>0</v>
      </c>
      <c r="K2233" t="n">
        <v>0</v>
      </c>
      <c r="L2233" t="n">
        <v>1</v>
      </c>
      <c r="M2233" t="n">
        <v>0</v>
      </c>
    </row>
    <row r="2234" spans="1:13">
      <c r="A2234" s="1">
        <f>HYPERLINK("http://www.twitter.com/NathanBLawrence/status/978005099699085312", "978005099699085312")</f>
        <v/>
      </c>
      <c r="B2234" s="2" t="n">
        <v>43184.85138888889</v>
      </c>
      <c r="C2234" t="n">
        <v>0</v>
      </c>
      <c r="D2234" t="n">
        <v>734</v>
      </c>
      <c r="E2234" t="s">
        <v>2240</v>
      </c>
      <c r="F2234">
        <f>HYPERLINK("http://pbs.twimg.com/media/DZJ0OIEVAAEKPes.jpg", "http://pbs.twimg.com/media/DZJ0OIEVAAEKPes.jpg")</f>
        <v/>
      </c>
      <c r="G2234" t="s"/>
      <c r="H2234" t="s"/>
      <c r="I2234" t="s"/>
      <c r="J2234" t="n">
        <v>0.8972</v>
      </c>
      <c r="K2234" t="n">
        <v>0</v>
      </c>
      <c r="L2234" t="n">
        <v>0.636</v>
      </c>
      <c r="M2234" t="n">
        <v>0.364</v>
      </c>
    </row>
    <row r="2235" spans="1:13">
      <c r="A2235" s="1">
        <f>HYPERLINK("http://www.twitter.com/NathanBLawrence/status/978004952894205952", "978004952894205952")</f>
        <v/>
      </c>
      <c r="B2235" s="2" t="n">
        <v>43184.8509837963</v>
      </c>
      <c r="C2235" t="n">
        <v>0</v>
      </c>
      <c r="D2235" t="n">
        <v>472</v>
      </c>
      <c r="E2235" t="s">
        <v>2241</v>
      </c>
      <c r="F2235">
        <f>HYPERLINK("http://pbs.twimg.com/media/DZHl6eqVAAUsEHR.jpg", "http://pbs.twimg.com/media/DZHl6eqVAAUsEHR.jpg")</f>
        <v/>
      </c>
      <c r="G2235" t="s"/>
      <c r="H2235" t="s"/>
      <c r="I2235" t="s"/>
      <c r="J2235" t="n">
        <v>-0.2023</v>
      </c>
      <c r="K2235" t="n">
        <v>0.127</v>
      </c>
      <c r="L2235" t="n">
        <v>0.779</v>
      </c>
      <c r="M2235" t="n">
        <v>0.094</v>
      </c>
    </row>
    <row r="2236" spans="1:13">
      <c r="A2236" s="1">
        <f>HYPERLINK("http://www.twitter.com/NathanBLawrence/status/978004875052134400", "978004875052134400")</f>
        <v/>
      </c>
      <c r="B2236" s="2" t="n">
        <v>43184.85077546296</v>
      </c>
      <c r="C2236" t="n">
        <v>0</v>
      </c>
      <c r="D2236" t="n">
        <v>22</v>
      </c>
      <c r="E2236" t="s">
        <v>2242</v>
      </c>
      <c r="F2236">
        <f>HYPERLINK("http://pbs.twimg.com/media/DZI8cDmX0AAKtN3.jpg", "http://pbs.twimg.com/media/DZI8cDmX0AAKtN3.jpg")</f>
        <v/>
      </c>
      <c r="G2236" t="s"/>
      <c r="H2236" t="s"/>
      <c r="I2236" t="s"/>
      <c r="J2236" t="n">
        <v>-0.4019</v>
      </c>
      <c r="K2236" t="n">
        <v>0.114</v>
      </c>
      <c r="L2236" t="n">
        <v>0.886</v>
      </c>
      <c r="M2236" t="n">
        <v>0</v>
      </c>
    </row>
    <row r="2237" spans="1:13">
      <c r="A2237" s="1">
        <f>HYPERLINK("http://www.twitter.com/NathanBLawrence/status/978004834883284992", "978004834883284992")</f>
        <v/>
      </c>
      <c r="B2237" s="2" t="n">
        <v>43184.85065972222</v>
      </c>
      <c r="C2237" t="n">
        <v>0</v>
      </c>
      <c r="D2237" t="n">
        <v>2173</v>
      </c>
      <c r="E2237" t="s">
        <v>2243</v>
      </c>
      <c r="F2237">
        <f>HYPERLINK("https://video.twimg.com/ext_tw_video/977646296721952768/pu/vid/1280x720/gHlRxaosyf9V2i33.mp4", "https://video.twimg.com/ext_tw_video/977646296721952768/pu/vid/1280x720/gHlRxaosyf9V2i33.mp4")</f>
        <v/>
      </c>
      <c r="G2237" t="s"/>
      <c r="H2237" t="s"/>
      <c r="I2237" t="s"/>
      <c r="J2237" t="n">
        <v>-0.2942</v>
      </c>
      <c r="K2237" t="n">
        <v>0.12</v>
      </c>
      <c r="L2237" t="n">
        <v>0.88</v>
      </c>
      <c r="M2237" t="n">
        <v>0</v>
      </c>
    </row>
    <row r="2238" spans="1:13">
      <c r="A2238" s="1">
        <f>HYPERLINK("http://www.twitter.com/NathanBLawrence/status/978004756688904192", "978004756688904192")</f>
        <v/>
      </c>
      <c r="B2238" s="2" t="n">
        <v>43184.85045138889</v>
      </c>
      <c r="C2238" t="n">
        <v>0</v>
      </c>
      <c r="D2238" t="n">
        <v>148</v>
      </c>
      <c r="E2238" t="s">
        <v>2244</v>
      </c>
      <c r="F2238">
        <f>HYPERLINK("http://pbs.twimg.com/media/DZIzoSyVoAMP5Hd.jpg", "http://pbs.twimg.com/media/DZIzoSyVoAMP5Hd.jpg")</f>
        <v/>
      </c>
      <c r="G2238" t="s"/>
      <c r="H2238" t="s"/>
      <c r="I2238" t="s"/>
      <c r="J2238" t="n">
        <v>0</v>
      </c>
      <c r="K2238" t="n">
        <v>0</v>
      </c>
      <c r="L2238" t="n">
        <v>1</v>
      </c>
      <c r="M2238" t="n">
        <v>0</v>
      </c>
    </row>
    <row r="2239" spans="1:13">
      <c r="A2239" s="1">
        <f>HYPERLINK("http://www.twitter.com/NathanBLawrence/status/978004703161143296", "978004703161143296")</f>
        <v/>
      </c>
      <c r="B2239" s="2" t="n">
        <v>43184.85030092593</v>
      </c>
      <c r="C2239" t="n">
        <v>0</v>
      </c>
      <c r="D2239" t="n">
        <v>321</v>
      </c>
      <c r="E2239" t="s">
        <v>2245</v>
      </c>
      <c r="F2239">
        <f>HYPERLINK("http://pbs.twimg.com/media/DZIrSwaXUAAjJ5p.jpg", "http://pbs.twimg.com/media/DZIrSwaXUAAjJ5p.jpg")</f>
        <v/>
      </c>
      <c r="G2239" t="s"/>
      <c r="H2239" t="s"/>
      <c r="I2239" t="s"/>
      <c r="J2239" t="n">
        <v>0</v>
      </c>
      <c r="K2239" t="n">
        <v>0</v>
      </c>
      <c r="L2239" t="n">
        <v>1</v>
      </c>
      <c r="M2239" t="n">
        <v>0</v>
      </c>
    </row>
    <row r="2240" spans="1:13">
      <c r="A2240" s="1">
        <f>HYPERLINK("http://www.twitter.com/NathanBLawrence/status/978004634097762304", "978004634097762304")</f>
        <v/>
      </c>
      <c r="B2240" s="2" t="n">
        <v>43184.85010416667</v>
      </c>
      <c r="C2240" t="n">
        <v>0</v>
      </c>
      <c r="D2240" t="n">
        <v>276</v>
      </c>
      <c r="E2240" t="s">
        <v>2246</v>
      </c>
      <c r="F2240" t="s"/>
      <c r="G2240" t="s"/>
      <c r="H2240" t="s"/>
      <c r="I2240" t="s"/>
      <c r="J2240" t="n">
        <v>0</v>
      </c>
      <c r="K2240" t="n">
        <v>0</v>
      </c>
      <c r="L2240" t="n">
        <v>1</v>
      </c>
      <c r="M2240" t="n">
        <v>0</v>
      </c>
    </row>
    <row r="2241" spans="1:13">
      <c r="A2241" s="1">
        <f>HYPERLINK("http://www.twitter.com/NathanBLawrence/status/978004570419773440", "978004570419773440")</f>
        <v/>
      </c>
      <c r="B2241" s="2" t="n">
        <v>43184.84993055555</v>
      </c>
      <c r="C2241" t="n">
        <v>0</v>
      </c>
      <c r="D2241" t="n">
        <v>3453</v>
      </c>
      <c r="E2241" t="s">
        <v>2247</v>
      </c>
      <c r="F2241">
        <f>HYPERLINK("http://pbs.twimg.com/media/DZGsevaX0AAIYJH.jpg", "http://pbs.twimg.com/media/DZGsevaX0AAIYJH.jpg")</f>
        <v/>
      </c>
      <c r="G2241" t="s"/>
      <c r="H2241" t="s"/>
      <c r="I2241" t="s"/>
      <c r="J2241" t="n">
        <v>-0</v>
      </c>
      <c r="K2241" t="n">
        <v>0.149</v>
      </c>
      <c r="L2241" t="n">
        <v>0.661</v>
      </c>
      <c r="M2241" t="n">
        <v>0.19</v>
      </c>
    </row>
    <row r="2242" spans="1:13">
      <c r="A2242" s="1">
        <f>HYPERLINK("http://www.twitter.com/NathanBLawrence/status/978004372511604736", "978004372511604736")</f>
        <v/>
      </c>
      <c r="B2242" s="2" t="n">
        <v>43184.84938657407</v>
      </c>
      <c r="C2242" t="n">
        <v>0</v>
      </c>
      <c r="D2242" t="n">
        <v>344</v>
      </c>
      <c r="E2242" t="s">
        <v>2248</v>
      </c>
      <c r="F2242">
        <f>HYPERLINK("http://pbs.twimg.com/media/DZJbGjIXUAAaZ4K.jpg", "http://pbs.twimg.com/media/DZJbGjIXUAAaZ4K.jpg")</f>
        <v/>
      </c>
      <c r="G2242" t="s"/>
      <c r="H2242" t="s"/>
      <c r="I2242" t="s"/>
      <c r="J2242" t="n">
        <v>0.85</v>
      </c>
      <c r="K2242" t="n">
        <v>0</v>
      </c>
      <c r="L2242" t="n">
        <v>0.704</v>
      </c>
      <c r="M2242" t="n">
        <v>0.296</v>
      </c>
    </row>
    <row r="2243" spans="1:13">
      <c r="A2243" s="1">
        <f>HYPERLINK("http://www.twitter.com/NathanBLawrence/status/978004138402328576", "978004138402328576")</f>
        <v/>
      </c>
      <c r="B2243" s="2" t="n">
        <v>43184.84873842593</v>
      </c>
      <c r="C2243" t="n">
        <v>0</v>
      </c>
      <c r="D2243" t="n">
        <v>884</v>
      </c>
      <c r="E2243" t="s">
        <v>2249</v>
      </c>
      <c r="F2243">
        <f>HYPERLINK("https://video.twimg.com/ext_tw_video/977881883676561413/pu/vid/1280x720/krOTyW0XsftoZm5U.mp4", "https://video.twimg.com/ext_tw_video/977881883676561413/pu/vid/1280x720/krOTyW0XsftoZm5U.mp4")</f>
        <v/>
      </c>
      <c r="G2243" t="s"/>
      <c r="H2243" t="s"/>
      <c r="I2243" t="s"/>
      <c r="J2243" t="n">
        <v>-0.6858</v>
      </c>
      <c r="K2243" t="n">
        <v>0.232</v>
      </c>
      <c r="L2243" t="n">
        <v>0.768</v>
      </c>
      <c r="M2243" t="n">
        <v>0</v>
      </c>
    </row>
    <row r="2244" spans="1:13">
      <c r="A2244" s="1">
        <f>HYPERLINK("http://www.twitter.com/NathanBLawrence/status/977991734327062529", "977991734327062529")</f>
        <v/>
      </c>
      <c r="B2244" s="2" t="n">
        <v>43184.81451388889</v>
      </c>
      <c r="C2244" t="n">
        <v>4</v>
      </c>
      <c r="D2244" t="n">
        <v>1</v>
      </c>
      <c r="E2244" t="s">
        <v>2250</v>
      </c>
      <c r="F2244" t="s"/>
      <c r="G2244" t="s"/>
      <c r="H2244" t="s"/>
      <c r="I2244" t="s"/>
      <c r="J2244" t="n">
        <v>0</v>
      </c>
      <c r="K2244" t="n">
        <v>0</v>
      </c>
      <c r="L2244" t="n">
        <v>1</v>
      </c>
      <c r="M2244" t="n">
        <v>0</v>
      </c>
    </row>
    <row r="2245" spans="1:13">
      <c r="A2245" s="1">
        <f>HYPERLINK("http://www.twitter.com/NathanBLawrence/status/977818549786787841", "977818549786787841")</f>
        <v/>
      </c>
      <c r="B2245" s="2" t="n">
        <v>43184.33660879629</v>
      </c>
      <c r="C2245" t="n">
        <v>0</v>
      </c>
      <c r="D2245" t="n">
        <v>408</v>
      </c>
      <c r="E2245" t="s">
        <v>2251</v>
      </c>
      <c r="F2245">
        <f>HYPERLINK("http://pbs.twimg.com/media/DZDpJiKUQAIXIiT.jpg", "http://pbs.twimg.com/media/DZDpJiKUQAIXIiT.jpg")</f>
        <v/>
      </c>
      <c r="G2245" t="s"/>
      <c r="H2245" t="s"/>
      <c r="I2245" t="s"/>
      <c r="J2245" t="n">
        <v>0.7351</v>
      </c>
      <c r="K2245" t="n">
        <v>0</v>
      </c>
      <c r="L2245" t="n">
        <v>0.754</v>
      </c>
      <c r="M2245" t="n">
        <v>0.246</v>
      </c>
    </row>
    <row r="2246" spans="1:13">
      <c r="A2246" s="1">
        <f>HYPERLINK("http://www.twitter.com/NathanBLawrence/status/977818353023705089", "977818353023705089")</f>
        <v/>
      </c>
      <c r="B2246" s="2" t="n">
        <v>43184.33607638889</v>
      </c>
      <c r="C2246" t="n">
        <v>0</v>
      </c>
      <c r="D2246" t="n">
        <v>5</v>
      </c>
      <c r="E2246" t="s">
        <v>2252</v>
      </c>
      <c r="F2246" t="s"/>
      <c r="G2246" t="s"/>
      <c r="H2246" t="s"/>
      <c r="I2246" t="s"/>
      <c r="J2246" t="n">
        <v>0</v>
      </c>
      <c r="K2246" t="n">
        <v>0</v>
      </c>
      <c r="L2246" t="n">
        <v>1</v>
      </c>
      <c r="M2246" t="n">
        <v>0</v>
      </c>
    </row>
    <row r="2247" spans="1:13">
      <c r="A2247" s="1">
        <f>HYPERLINK("http://www.twitter.com/NathanBLawrence/status/977360490916491267", "977360490916491267")</f>
        <v/>
      </c>
      <c r="B2247" s="2" t="n">
        <v>43183.07261574074</v>
      </c>
      <c r="C2247" t="n">
        <v>0</v>
      </c>
      <c r="D2247" t="n">
        <v>793</v>
      </c>
      <c r="E2247" t="s">
        <v>2253</v>
      </c>
      <c r="F2247">
        <f>HYPERLINK("https://video.twimg.com/ext_tw_video/976901190792261632/pu/vid/640x360/_z_nMZHKIfi6SBnU.mp4", "https://video.twimg.com/ext_tw_video/976901190792261632/pu/vid/640x360/_z_nMZHKIfi6SBnU.mp4")</f>
        <v/>
      </c>
      <c r="G2247" t="s"/>
      <c r="H2247" t="s"/>
      <c r="I2247" t="s"/>
      <c r="J2247" t="n">
        <v>-0.7096</v>
      </c>
      <c r="K2247" t="n">
        <v>0.237</v>
      </c>
      <c r="L2247" t="n">
        <v>0.763</v>
      </c>
      <c r="M2247" t="n">
        <v>0</v>
      </c>
    </row>
    <row r="2248" spans="1:13">
      <c r="A2248" s="1">
        <f>HYPERLINK("http://www.twitter.com/NathanBLawrence/status/977360214310584321", "977360214310584321")</f>
        <v/>
      </c>
      <c r="B2248" s="2" t="n">
        <v>43183.07185185186</v>
      </c>
      <c r="C2248" t="n">
        <v>0</v>
      </c>
      <c r="D2248" t="n">
        <v>430</v>
      </c>
      <c r="E2248" t="s">
        <v>2254</v>
      </c>
      <c r="F2248" t="s"/>
      <c r="G2248" t="s"/>
      <c r="H2248" t="s"/>
      <c r="I2248" t="s"/>
      <c r="J2248" t="n">
        <v>0.1531</v>
      </c>
      <c r="K2248" t="n">
        <v>0.176</v>
      </c>
      <c r="L2248" t="n">
        <v>0.625</v>
      </c>
      <c r="M2248" t="n">
        <v>0.199</v>
      </c>
    </row>
    <row r="2249" spans="1:13">
      <c r="A2249" s="1">
        <f>HYPERLINK("http://www.twitter.com/NathanBLawrence/status/977359433939300354", "977359433939300354")</f>
        <v/>
      </c>
      <c r="B2249" s="2" t="n">
        <v>43183.06969907408</v>
      </c>
      <c r="C2249" t="n">
        <v>19</v>
      </c>
      <c r="D2249" t="n">
        <v>7</v>
      </c>
      <c r="E2249" t="s">
        <v>2255</v>
      </c>
      <c r="F2249" t="s"/>
      <c r="G2249" t="s"/>
      <c r="H2249" t="s"/>
      <c r="I2249" t="s"/>
      <c r="J2249" t="n">
        <v>-0.75</v>
      </c>
      <c r="K2249" t="n">
        <v>0.444</v>
      </c>
      <c r="L2249" t="n">
        <v>0.556</v>
      </c>
      <c r="M2249" t="n">
        <v>0</v>
      </c>
    </row>
    <row r="2250" spans="1:13">
      <c r="A2250" s="1">
        <f>HYPERLINK("http://www.twitter.com/NathanBLawrence/status/977359047165804546", "977359047165804546")</f>
        <v/>
      </c>
      <c r="B2250" s="2" t="n">
        <v>43183.06862268518</v>
      </c>
      <c r="C2250" t="n">
        <v>0</v>
      </c>
      <c r="D2250" t="n">
        <v>191</v>
      </c>
      <c r="E2250" t="s">
        <v>2256</v>
      </c>
      <c r="F2250" t="s"/>
      <c r="G2250" t="s"/>
      <c r="H2250" t="s"/>
      <c r="I2250" t="s"/>
      <c r="J2250" t="n">
        <v>0</v>
      </c>
      <c r="K2250" t="n">
        <v>0</v>
      </c>
      <c r="L2250" t="n">
        <v>1</v>
      </c>
      <c r="M2250" t="n">
        <v>0</v>
      </c>
    </row>
    <row r="2251" spans="1:13">
      <c r="A2251" s="1">
        <f>HYPERLINK("http://www.twitter.com/NathanBLawrence/status/977358865648861184", "977358865648861184")</f>
        <v/>
      </c>
      <c r="B2251" s="2" t="n">
        <v>43183.068125</v>
      </c>
      <c r="C2251" t="n">
        <v>0</v>
      </c>
      <c r="D2251" t="n">
        <v>597</v>
      </c>
      <c r="E2251" t="s">
        <v>2257</v>
      </c>
      <c r="F2251">
        <f>HYPERLINK("http://pbs.twimg.com/media/DY-ouBAV4AAE0ou.jpg", "http://pbs.twimg.com/media/DY-ouBAV4AAE0ou.jpg")</f>
        <v/>
      </c>
      <c r="G2251" t="s"/>
      <c r="H2251" t="s"/>
      <c r="I2251" t="s"/>
      <c r="J2251" t="n">
        <v>-0.7845</v>
      </c>
      <c r="K2251" t="n">
        <v>0.266</v>
      </c>
      <c r="L2251" t="n">
        <v>0.734</v>
      </c>
      <c r="M2251" t="n">
        <v>0</v>
      </c>
    </row>
    <row r="2252" spans="1:13">
      <c r="A2252" s="1">
        <f>HYPERLINK("http://www.twitter.com/NathanBLawrence/status/977358378417635330", "977358378417635330")</f>
        <v/>
      </c>
      <c r="B2252" s="2" t="n">
        <v>43183.0667824074</v>
      </c>
      <c r="C2252" t="n">
        <v>0</v>
      </c>
      <c r="D2252" t="n">
        <v>837</v>
      </c>
      <c r="E2252" t="s">
        <v>2258</v>
      </c>
      <c r="F2252">
        <f>HYPERLINK("http://pbs.twimg.com/media/DZALHF5XUAAG_zS.jpg", "http://pbs.twimg.com/media/DZALHF5XUAAG_zS.jpg")</f>
        <v/>
      </c>
      <c r="G2252" t="s"/>
      <c r="H2252" t="s"/>
      <c r="I2252" t="s"/>
      <c r="J2252" t="n">
        <v>0.0772</v>
      </c>
      <c r="K2252" t="n">
        <v>0.092</v>
      </c>
      <c r="L2252" t="n">
        <v>0.805</v>
      </c>
      <c r="M2252" t="n">
        <v>0.103</v>
      </c>
    </row>
    <row r="2253" spans="1:13">
      <c r="A2253" s="1">
        <f>HYPERLINK("http://www.twitter.com/NathanBLawrence/status/977358134514663424", "977358134514663424")</f>
        <v/>
      </c>
      <c r="B2253" s="2" t="n">
        <v>43183.06611111111</v>
      </c>
      <c r="C2253" t="n">
        <v>0</v>
      </c>
      <c r="D2253" t="n">
        <v>971</v>
      </c>
      <c r="E2253" t="s">
        <v>2259</v>
      </c>
      <c r="F2253" t="s"/>
      <c r="G2253" t="s"/>
      <c r="H2253" t="s"/>
      <c r="I2253" t="s"/>
      <c r="J2253" t="n">
        <v>-0.6124000000000001</v>
      </c>
      <c r="K2253" t="n">
        <v>0.264</v>
      </c>
      <c r="L2253" t="n">
        <v>0.642</v>
      </c>
      <c r="M2253" t="n">
        <v>0.095</v>
      </c>
    </row>
    <row r="2254" spans="1:13">
      <c r="A2254" s="1">
        <f>HYPERLINK("http://www.twitter.com/NathanBLawrence/status/977357060160417793", "977357060160417793")</f>
        <v/>
      </c>
      <c r="B2254" s="2" t="n">
        <v>43183.06314814815</v>
      </c>
      <c r="C2254" t="n">
        <v>0</v>
      </c>
      <c r="D2254" t="n">
        <v>329</v>
      </c>
      <c r="E2254" t="s">
        <v>2260</v>
      </c>
      <c r="F2254" t="s"/>
      <c r="G2254" t="s"/>
      <c r="H2254" t="s"/>
      <c r="I2254" t="s"/>
      <c r="J2254" t="n">
        <v>0</v>
      </c>
      <c r="K2254" t="n">
        <v>0</v>
      </c>
      <c r="L2254" t="n">
        <v>1</v>
      </c>
      <c r="M2254" t="n">
        <v>0</v>
      </c>
    </row>
    <row r="2255" spans="1:13">
      <c r="A2255" s="1">
        <f>HYPERLINK("http://www.twitter.com/NathanBLawrence/status/977356404351680512", "977356404351680512")</f>
        <v/>
      </c>
      <c r="B2255" s="2" t="n">
        <v>43183.06133101852</v>
      </c>
      <c r="C2255" t="n">
        <v>0</v>
      </c>
      <c r="D2255" t="n">
        <v>5188</v>
      </c>
      <c r="E2255" t="s">
        <v>2261</v>
      </c>
      <c r="F2255" t="s"/>
      <c r="G2255" t="s"/>
      <c r="H2255" t="s"/>
      <c r="I2255" t="s"/>
      <c r="J2255" t="n">
        <v>0</v>
      </c>
      <c r="K2255" t="n">
        <v>0</v>
      </c>
      <c r="L2255" t="n">
        <v>1</v>
      </c>
      <c r="M2255" t="n">
        <v>0</v>
      </c>
    </row>
    <row r="2256" spans="1:13">
      <c r="A2256" s="1">
        <f>HYPERLINK("http://www.twitter.com/NathanBLawrence/status/977356303780605952", "977356303780605952")</f>
        <v/>
      </c>
      <c r="B2256" s="2" t="n">
        <v>43183.06105324074</v>
      </c>
      <c r="C2256" t="n">
        <v>0</v>
      </c>
      <c r="D2256" t="n">
        <v>1110</v>
      </c>
      <c r="E2256" t="s">
        <v>2262</v>
      </c>
      <c r="F2256">
        <f>HYPERLINK("https://video.twimg.com/ext_tw_video/977187381152550912/pu/vid/986x720/bw1Fz5PNU9uRjwcF.mp4", "https://video.twimg.com/ext_tw_video/977187381152550912/pu/vid/986x720/bw1Fz5PNU9uRjwcF.mp4")</f>
        <v/>
      </c>
      <c r="G2256" t="s"/>
      <c r="H2256" t="s"/>
      <c r="I2256" t="s"/>
      <c r="J2256" t="n">
        <v>0.4588</v>
      </c>
      <c r="K2256" t="n">
        <v>0</v>
      </c>
      <c r="L2256" t="n">
        <v>0.826</v>
      </c>
      <c r="M2256" t="n">
        <v>0.174</v>
      </c>
    </row>
    <row r="2257" spans="1:13">
      <c r="A2257" s="1">
        <f>HYPERLINK("http://www.twitter.com/NathanBLawrence/status/977356262420529152", "977356262420529152")</f>
        <v/>
      </c>
      <c r="B2257" s="2" t="n">
        <v>43183.06094907408</v>
      </c>
      <c r="C2257" t="n">
        <v>0</v>
      </c>
      <c r="D2257" t="n">
        <v>2728</v>
      </c>
      <c r="E2257" t="s">
        <v>2263</v>
      </c>
      <c r="F2257">
        <f>HYPERLINK("http://pbs.twimg.com/media/DZA_KGWX0AAxShH.jpg", "http://pbs.twimg.com/media/DZA_KGWX0AAxShH.jpg")</f>
        <v/>
      </c>
      <c r="G2257" t="s"/>
      <c r="H2257" t="s"/>
      <c r="I2257" t="s"/>
      <c r="J2257" t="n">
        <v>0.5266999999999999</v>
      </c>
      <c r="K2257" t="n">
        <v>0.076</v>
      </c>
      <c r="L2257" t="n">
        <v>0.729</v>
      </c>
      <c r="M2257" t="n">
        <v>0.194</v>
      </c>
    </row>
    <row r="2258" spans="1:13">
      <c r="A2258" s="1">
        <f>HYPERLINK("http://www.twitter.com/NathanBLawrence/status/977286619270008832", "977286619270008832")</f>
        <v/>
      </c>
      <c r="B2258" s="2" t="n">
        <v>43182.86876157407</v>
      </c>
      <c r="C2258" t="n">
        <v>0</v>
      </c>
      <c r="D2258" t="n">
        <v>679</v>
      </c>
      <c r="E2258" t="s">
        <v>2264</v>
      </c>
      <c r="F2258">
        <f>HYPERLINK("http://pbs.twimg.com/media/DY_t12zVAAAoiUB.jpg", "http://pbs.twimg.com/media/DY_t12zVAAAoiUB.jpg")</f>
        <v/>
      </c>
      <c r="G2258" t="s"/>
      <c r="H2258" t="s"/>
      <c r="I2258" t="s"/>
      <c r="J2258" t="n">
        <v>-0.7579</v>
      </c>
      <c r="K2258" t="n">
        <v>0.317</v>
      </c>
      <c r="L2258" t="n">
        <v>0.6830000000000001</v>
      </c>
      <c r="M2258" t="n">
        <v>0</v>
      </c>
    </row>
    <row r="2259" spans="1:13">
      <c r="A2259" s="1">
        <f>HYPERLINK("http://www.twitter.com/NathanBLawrence/status/977097744673251328", "977097744673251328")</f>
        <v/>
      </c>
      <c r="B2259" s="2" t="n">
        <v>43182.34756944444</v>
      </c>
      <c r="C2259" t="n">
        <v>0</v>
      </c>
      <c r="D2259" t="n">
        <v>376</v>
      </c>
      <c r="E2259" t="s">
        <v>2265</v>
      </c>
      <c r="F2259" t="s"/>
      <c r="G2259" t="s"/>
      <c r="H2259" t="s"/>
      <c r="I2259" t="s"/>
      <c r="J2259" t="n">
        <v>0</v>
      </c>
      <c r="K2259" t="n">
        <v>0</v>
      </c>
      <c r="L2259" t="n">
        <v>1</v>
      </c>
      <c r="M2259" t="n">
        <v>0</v>
      </c>
    </row>
    <row r="2260" spans="1:13">
      <c r="A2260" s="1">
        <f>HYPERLINK("http://www.twitter.com/NathanBLawrence/status/977097465600950272", "977097465600950272")</f>
        <v/>
      </c>
      <c r="B2260" s="2" t="n">
        <v>43182.34680555556</v>
      </c>
      <c r="C2260" t="n">
        <v>0</v>
      </c>
      <c r="D2260" t="n">
        <v>189</v>
      </c>
      <c r="E2260" t="s">
        <v>2266</v>
      </c>
      <c r="F2260" t="s"/>
      <c r="G2260" t="s"/>
      <c r="H2260" t="s"/>
      <c r="I2260" t="s"/>
      <c r="J2260" t="n">
        <v>0</v>
      </c>
      <c r="K2260" t="n">
        <v>0</v>
      </c>
      <c r="L2260" t="n">
        <v>1</v>
      </c>
      <c r="M2260" t="n">
        <v>0</v>
      </c>
    </row>
    <row r="2261" spans="1:13">
      <c r="A2261" s="1">
        <f>HYPERLINK("http://www.twitter.com/NathanBLawrence/status/977096981741953024", "977096981741953024")</f>
        <v/>
      </c>
      <c r="B2261" s="2" t="n">
        <v>43182.34546296296</v>
      </c>
      <c r="C2261" t="n">
        <v>0</v>
      </c>
      <c r="D2261" t="n">
        <v>1118</v>
      </c>
      <c r="E2261" t="s">
        <v>2267</v>
      </c>
      <c r="F2261">
        <f>HYPERLINK("https://video.twimg.com/amplify_video/976643800872386560/vid/1280x720/YbX9ryLZQF7H70YM.mp4", "https://video.twimg.com/amplify_video/976643800872386560/vid/1280x720/YbX9ryLZQF7H70YM.mp4")</f>
        <v/>
      </c>
      <c r="G2261" t="s"/>
      <c r="H2261" t="s"/>
      <c r="I2261" t="s"/>
      <c r="J2261" t="n">
        <v>0</v>
      </c>
      <c r="K2261" t="n">
        <v>0</v>
      </c>
      <c r="L2261" t="n">
        <v>1</v>
      </c>
      <c r="M2261" t="n">
        <v>0</v>
      </c>
    </row>
    <row r="2262" spans="1:13">
      <c r="A2262" s="1">
        <f>HYPERLINK("http://www.twitter.com/NathanBLawrence/status/976736557213278208", "976736557213278208")</f>
        <v/>
      </c>
      <c r="B2262" s="2" t="n">
        <v>43181.35087962963</v>
      </c>
      <c r="C2262" t="n">
        <v>0</v>
      </c>
      <c r="D2262" t="n">
        <v>56</v>
      </c>
      <c r="E2262" t="s">
        <v>2268</v>
      </c>
      <c r="F2262" t="s"/>
      <c r="G2262" t="s"/>
      <c r="H2262" t="s"/>
      <c r="I2262" t="s"/>
      <c r="J2262" t="n">
        <v>0</v>
      </c>
      <c r="K2262" t="n">
        <v>0</v>
      </c>
      <c r="L2262" t="n">
        <v>1</v>
      </c>
      <c r="M2262" t="n">
        <v>0</v>
      </c>
    </row>
    <row r="2263" spans="1:13">
      <c r="A2263" s="1">
        <f>HYPERLINK("http://www.twitter.com/NathanBLawrence/status/976735383449817088", "976735383449817088")</f>
        <v/>
      </c>
      <c r="B2263" s="2" t="n">
        <v>43181.34763888889</v>
      </c>
      <c r="C2263" t="n">
        <v>0</v>
      </c>
      <c r="D2263" t="n">
        <v>8627</v>
      </c>
      <c r="E2263" t="s">
        <v>2269</v>
      </c>
      <c r="F2263">
        <f>HYPERLINK("http://pbs.twimg.com/media/DYzX-NLVwAAMFS8.jpg", "http://pbs.twimg.com/media/DYzX-NLVwAAMFS8.jpg")</f>
        <v/>
      </c>
      <c r="G2263" t="s"/>
      <c r="H2263" t="s"/>
      <c r="I2263" t="s"/>
      <c r="J2263" t="n">
        <v>-0.4404</v>
      </c>
      <c r="K2263" t="n">
        <v>0.127</v>
      </c>
      <c r="L2263" t="n">
        <v>0.873</v>
      </c>
      <c r="M2263" t="n">
        <v>0</v>
      </c>
    </row>
    <row r="2264" spans="1:13">
      <c r="A2264" s="1">
        <f>HYPERLINK("http://www.twitter.com/NathanBLawrence/status/976735109054324736", "976735109054324736")</f>
        <v/>
      </c>
      <c r="B2264" s="2" t="n">
        <v>43181.34688657407</v>
      </c>
      <c r="C2264" t="n">
        <v>0</v>
      </c>
      <c r="D2264" t="n">
        <v>1378</v>
      </c>
      <c r="E2264" t="s">
        <v>2270</v>
      </c>
      <c r="F2264" t="s"/>
      <c r="G2264" t="s"/>
      <c r="H2264" t="s"/>
      <c r="I2264" t="s"/>
      <c r="J2264" t="n">
        <v>0.6486</v>
      </c>
      <c r="K2264" t="n">
        <v>0</v>
      </c>
      <c r="L2264" t="n">
        <v>0.782</v>
      </c>
      <c r="M2264" t="n">
        <v>0.218</v>
      </c>
    </row>
    <row r="2265" spans="1:13">
      <c r="A2265" s="1">
        <f>HYPERLINK("http://www.twitter.com/NathanBLawrence/status/976735049981677568", "976735049981677568")</f>
        <v/>
      </c>
      <c r="B2265" s="2" t="n">
        <v>43181.34672453703</v>
      </c>
      <c r="C2265" t="n">
        <v>0</v>
      </c>
      <c r="D2265" t="n">
        <v>2960</v>
      </c>
      <c r="E2265" t="s">
        <v>2271</v>
      </c>
      <c r="F2265">
        <f>HYPERLINK("https://video.twimg.com/ext_tw_video/976246629161492485/pu/vid/1280x720/7wu7mV9ypTuSmiJV.mp4", "https://video.twimg.com/ext_tw_video/976246629161492485/pu/vid/1280x720/7wu7mV9ypTuSmiJV.mp4")</f>
        <v/>
      </c>
      <c r="G2265" t="s"/>
      <c r="H2265" t="s"/>
      <c r="I2265" t="s"/>
      <c r="J2265" t="n">
        <v>0.8126</v>
      </c>
      <c r="K2265" t="n">
        <v>0</v>
      </c>
      <c r="L2265" t="n">
        <v>0.709</v>
      </c>
      <c r="M2265" t="n">
        <v>0.291</v>
      </c>
    </row>
    <row r="2266" spans="1:13">
      <c r="A2266" s="1">
        <f>HYPERLINK("http://www.twitter.com/NathanBLawrence/status/976734757475069952", "976734757475069952")</f>
        <v/>
      </c>
      <c r="B2266" s="2" t="n">
        <v>43181.34591435185</v>
      </c>
      <c r="C2266" t="n">
        <v>0</v>
      </c>
      <c r="D2266" t="n">
        <v>499</v>
      </c>
      <c r="E2266" t="s">
        <v>2272</v>
      </c>
      <c r="F2266">
        <f>HYPERLINK("https://video.twimg.com/ext_tw_video/976373866523107328/pu/vid/1208x720/GA5XPAH6gSWMOSYi.mp4", "https://video.twimg.com/ext_tw_video/976373866523107328/pu/vid/1208x720/GA5XPAH6gSWMOSYi.mp4")</f>
        <v/>
      </c>
      <c r="G2266" t="s"/>
      <c r="H2266" t="s"/>
      <c r="I2266" t="s"/>
      <c r="J2266" t="n">
        <v>0</v>
      </c>
      <c r="K2266" t="n">
        <v>0</v>
      </c>
      <c r="L2266" t="n">
        <v>1</v>
      </c>
      <c r="M2266" t="n">
        <v>0</v>
      </c>
    </row>
    <row r="2267" spans="1:13">
      <c r="A2267" s="1">
        <f>HYPERLINK("http://www.twitter.com/NathanBLawrence/status/976734523093209088", "976734523093209088")</f>
        <v/>
      </c>
      <c r="B2267" s="2" t="n">
        <v>43181.3452662037</v>
      </c>
      <c r="C2267" t="n">
        <v>0</v>
      </c>
      <c r="D2267" t="n">
        <v>3188</v>
      </c>
      <c r="E2267" t="s">
        <v>2273</v>
      </c>
      <c r="F2267">
        <f>HYPERLINK("http://pbs.twimg.com/media/DYxS3PfX0AEQ3bj.jpg", "http://pbs.twimg.com/media/DYxS3PfX0AEQ3bj.jpg")</f>
        <v/>
      </c>
      <c r="G2267" t="s"/>
      <c r="H2267" t="s"/>
      <c r="I2267" t="s"/>
      <c r="J2267" t="n">
        <v>0.8270999999999999</v>
      </c>
      <c r="K2267" t="n">
        <v>0</v>
      </c>
      <c r="L2267" t="n">
        <v>0.732</v>
      </c>
      <c r="M2267" t="n">
        <v>0.268</v>
      </c>
    </row>
    <row r="2268" spans="1:13">
      <c r="A2268" s="1">
        <f>HYPERLINK("http://www.twitter.com/NathanBLawrence/status/976734487005376512", "976734487005376512")</f>
        <v/>
      </c>
      <c r="B2268" s="2" t="n">
        <v>43181.34517361111</v>
      </c>
      <c r="C2268" t="n">
        <v>0</v>
      </c>
      <c r="D2268" t="n">
        <v>621</v>
      </c>
      <c r="E2268" t="s">
        <v>2274</v>
      </c>
      <c r="F2268" t="s"/>
      <c r="G2268" t="s"/>
      <c r="H2268" t="s"/>
      <c r="I2268" t="s"/>
      <c r="J2268" t="n">
        <v>-0.2732</v>
      </c>
      <c r="K2268" t="n">
        <v>0.197</v>
      </c>
      <c r="L2268" t="n">
        <v>0.68</v>
      </c>
      <c r="M2268" t="n">
        <v>0.122</v>
      </c>
    </row>
    <row r="2269" spans="1:13">
      <c r="A2269" s="1">
        <f>HYPERLINK("http://www.twitter.com/NathanBLawrence/status/976702838179971073", "976702838179971073")</f>
        <v/>
      </c>
      <c r="B2269" s="2" t="n">
        <v>43181.25783564815</v>
      </c>
      <c r="C2269" t="n">
        <v>0</v>
      </c>
      <c r="D2269" t="n">
        <v>7</v>
      </c>
      <c r="E2269" t="s">
        <v>2275</v>
      </c>
      <c r="F2269" t="s"/>
      <c r="G2269" t="s"/>
      <c r="H2269" t="s"/>
      <c r="I2269" t="s"/>
      <c r="J2269" t="n">
        <v>-0.7089</v>
      </c>
      <c r="K2269" t="n">
        <v>0.223</v>
      </c>
      <c r="L2269" t="n">
        <v>0.777</v>
      </c>
      <c r="M2269" t="n">
        <v>0</v>
      </c>
    </row>
    <row r="2270" spans="1:13">
      <c r="A2270" s="1">
        <f>HYPERLINK("http://www.twitter.com/NathanBLawrence/status/976702645074145280", "976702645074145280")</f>
        <v/>
      </c>
      <c r="B2270" s="2" t="n">
        <v>43181.25730324074</v>
      </c>
      <c r="C2270" t="n">
        <v>0</v>
      </c>
      <c r="D2270" t="n">
        <v>61</v>
      </c>
      <c r="E2270" t="s">
        <v>2276</v>
      </c>
      <c r="F2270" t="s"/>
      <c r="G2270" t="s"/>
      <c r="H2270" t="s"/>
      <c r="I2270" t="s"/>
      <c r="J2270" t="n">
        <v>0</v>
      </c>
      <c r="K2270" t="n">
        <v>0</v>
      </c>
      <c r="L2270" t="n">
        <v>1</v>
      </c>
      <c r="M2270" t="n">
        <v>0</v>
      </c>
    </row>
    <row r="2271" spans="1:13">
      <c r="A2271" s="1">
        <f>HYPERLINK("http://www.twitter.com/NathanBLawrence/status/976694979765485569", "976694979765485569")</f>
        <v/>
      </c>
      <c r="B2271" s="2" t="n">
        <v>43181.23614583333</v>
      </c>
      <c r="C2271" t="n">
        <v>0</v>
      </c>
      <c r="D2271" t="n">
        <v>1400</v>
      </c>
      <c r="E2271" t="s">
        <v>2277</v>
      </c>
      <c r="F2271" t="s"/>
      <c r="G2271" t="s"/>
      <c r="H2271" t="s"/>
      <c r="I2271" t="s"/>
      <c r="J2271" t="n">
        <v>-0.0516</v>
      </c>
      <c r="K2271" t="n">
        <v>0.059</v>
      </c>
      <c r="L2271" t="n">
        <v>0.9409999999999999</v>
      </c>
      <c r="M2271" t="n">
        <v>0</v>
      </c>
    </row>
    <row r="2272" spans="1:13">
      <c r="A2272" s="1">
        <f>HYPERLINK("http://www.twitter.com/NathanBLawrence/status/976694594673852416", "976694594673852416")</f>
        <v/>
      </c>
      <c r="B2272" s="2" t="n">
        <v>43181.23509259259</v>
      </c>
      <c r="C2272" t="n">
        <v>0</v>
      </c>
      <c r="D2272" t="n">
        <v>203</v>
      </c>
      <c r="E2272" t="s">
        <v>2278</v>
      </c>
      <c r="F2272">
        <f>HYPERLINK("http://pbs.twimg.com/media/DY3GTP5X4AAB1Ro.jpg", "http://pbs.twimg.com/media/DY3GTP5X4AAB1Ro.jpg")</f>
        <v/>
      </c>
      <c r="G2272" t="s"/>
      <c r="H2272" t="s"/>
      <c r="I2272" t="s"/>
      <c r="J2272" t="n">
        <v>0</v>
      </c>
      <c r="K2272" t="n">
        <v>0</v>
      </c>
      <c r="L2272" t="n">
        <v>1</v>
      </c>
      <c r="M2272" t="n">
        <v>0</v>
      </c>
    </row>
    <row r="2273" spans="1:13">
      <c r="A2273" s="1">
        <f>HYPERLINK("http://www.twitter.com/NathanBLawrence/status/976694536905809920", "976694536905809920")</f>
        <v/>
      </c>
      <c r="B2273" s="2" t="n">
        <v>43181.23493055555</v>
      </c>
      <c r="C2273" t="n">
        <v>0</v>
      </c>
      <c r="D2273" t="n">
        <v>631</v>
      </c>
      <c r="E2273" t="s">
        <v>2279</v>
      </c>
      <c r="F2273">
        <f>HYPERLINK("http://pbs.twimg.com/media/DY2ykpYUMAA1kgX.jpg", "http://pbs.twimg.com/media/DY2ykpYUMAA1kgX.jpg")</f>
        <v/>
      </c>
      <c r="G2273" t="s"/>
      <c r="H2273" t="s"/>
      <c r="I2273" t="s"/>
      <c r="J2273" t="n">
        <v>-0.126</v>
      </c>
      <c r="K2273" t="n">
        <v>0.136</v>
      </c>
      <c r="L2273" t="n">
        <v>0.745</v>
      </c>
      <c r="M2273" t="n">
        <v>0.12</v>
      </c>
    </row>
    <row r="2274" spans="1:13">
      <c r="A2274" s="1">
        <f>HYPERLINK("http://www.twitter.com/NathanBLawrence/status/976694495776358400", "976694495776358400")</f>
        <v/>
      </c>
      <c r="B2274" s="2" t="n">
        <v>43181.23481481482</v>
      </c>
      <c r="C2274" t="n">
        <v>0</v>
      </c>
      <c r="D2274" t="n">
        <v>230</v>
      </c>
      <c r="E2274" t="s">
        <v>2280</v>
      </c>
      <c r="F2274">
        <f>HYPERLINK("http://pbs.twimg.com/media/DY28uQCVoAAejtr.jpg", "http://pbs.twimg.com/media/DY28uQCVoAAejtr.jpg")</f>
        <v/>
      </c>
      <c r="G2274" t="s"/>
      <c r="H2274" t="s"/>
      <c r="I2274" t="s"/>
      <c r="J2274" t="n">
        <v>0</v>
      </c>
      <c r="K2274" t="n">
        <v>0</v>
      </c>
      <c r="L2274" t="n">
        <v>1</v>
      </c>
      <c r="M2274" t="n">
        <v>0</v>
      </c>
    </row>
    <row r="2275" spans="1:13">
      <c r="A2275" s="1">
        <f>HYPERLINK("http://www.twitter.com/NathanBLawrence/status/976694255262490624", "976694255262490624")</f>
        <v/>
      </c>
      <c r="B2275" s="2" t="n">
        <v>43181.23415509259</v>
      </c>
      <c r="C2275" t="n">
        <v>0</v>
      </c>
      <c r="D2275" t="n">
        <v>608</v>
      </c>
      <c r="E2275" t="s">
        <v>2281</v>
      </c>
      <c r="F2275">
        <f>HYPERLINK("http://pbs.twimg.com/media/DY23qNnVQAAIeQy.jpg", "http://pbs.twimg.com/media/DY23qNnVQAAIeQy.jpg")</f>
        <v/>
      </c>
      <c r="G2275" t="s"/>
      <c r="H2275" t="s"/>
      <c r="I2275" t="s"/>
      <c r="J2275" t="n">
        <v>-0.5574</v>
      </c>
      <c r="K2275" t="n">
        <v>0.126</v>
      </c>
      <c r="L2275" t="n">
        <v>0.874</v>
      </c>
      <c r="M2275" t="n">
        <v>0</v>
      </c>
    </row>
    <row r="2276" spans="1:13">
      <c r="A2276" s="1">
        <f>HYPERLINK("http://www.twitter.com/NathanBLawrence/status/976694122852462593", "976694122852462593")</f>
        <v/>
      </c>
      <c r="B2276" s="2" t="n">
        <v>43181.23378472222</v>
      </c>
      <c r="C2276" t="n">
        <v>0</v>
      </c>
      <c r="D2276" t="n">
        <v>1350</v>
      </c>
      <c r="E2276" t="s">
        <v>2282</v>
      </c>
      <c r="F2276">
        <f>HYPERLINK("http://pbs.twimg.com/media/DY2mcmTUQAAYD8R.jpg", "http://pbs.twimg.com/media/DY2mcmTUQAAYD8R.jpg")</f>
        <v/>
      </c>
      <c r="G2276" t="s"/>
      <c r="H2276" t="s"/>
      <c r="I2276" t="s"/>
      <c r="J2276" t="n">
        <v>-0.3875</v>
      </c>
      <c r="K2276" t="n">
        <v>0.111</v>
      </c>
      <c r="L2276" t="n">
        <v>0.889</v>
      </c>
      <c r="M2276" t="n">
        <v>0</v>
      </c>
    </row>
    <row r="2277" spans="1:13">
      <c r="A2277" s="1">
        <f>HYPERLINK("http://www.twitter.com/NathanBLawrence/status/976694050144202752", "976694050144202752")</f>
        <v/>
      </c>
      <c r="B2277" s="2" t="n">
        <v>43181.23358796296</v>
      </c>
      <c r="C2277" t="n">
        <v>4</v>
      </c>
      <c r="D2277" t="n">
        <v>1</v>
      </c>
      <c r="E2277" t="s">
        <v>2283</v>
      </c>
      <c r="F2277" t="s"/>
      <c r="G2277" t="s"/>
      <c r="H2277" t="s"/>
      <c r="I2277" t="s"/>
      <c r="J2277" t="n">
        <v>0</v>
      </c>
      <c r="K2277" t="n">
        <v>0</v>
      </c>
      <c r="L2277" t="n">
        <v>1</v>
      </c>
      <c r="M2277" t="n">
        <v>0</v>
      </c>
    </row>
    <row r="2278" spans="1:13">
      <c r="A2278" s="1">
        <f>HYPERLINK("http://www.twitter.com/NathanBLawrence/status/976659080172380162", "976659080172380162")</f>
        <v/>
      </c>
      <c r="B2278" s="2" t="n">
        <v>43181.13708333333</v>
      </c>
      <c r="C2278" t="n">
        <v>9</v>
      </c>
      <c r="D2278" t="n">
        <v>2</v>
      </c>
      <c r="E2278" t="s">
        <v>2115</v>
      </c>
      <c r="F2278" t="s"/>
      <c r="G2278" t="s"/>
      <c r="H2278" t="s"/>
      <c r="I2278" t="s"/>
      <c r="J2278" t="n">
        <v>0</v>
      </c>
      <c r="K2278" t="n">
        <v>0</v>
      </c>
      <c r="L2278" t="n">
        <v>1</v>
      </c>
      <c r="M2278" t="n">
        <v>0</v>
      </c>
    </row>
    <row r="2279" spans="1:13">
      <c r="A2279" s="1">
        <f>HYPERLINK("http://www.twitter.com/NathanBLawrence/status/976375764873486336", "976375764873486336")</f>
        <v/>
      </c>
      <c r="B2279" s="2" t="n">
        <v>43180.35528935185</v>
      </c>
      <c r="C2279" t="n">
        <v>0</v>
      </c>
      <c r="D2279" t="n">
        <v>130</v>
      </c>
      <c r="E2279" t="s">
        <v>2284</v>
      </c>
      <c r="F2279">
        <f>HYPERLINK("http://pbs.twimg.com/media/DYynBWzVMAAKTWA.jpg", "http://pbs.twimg.com/media/DYynBWzVMAAKTWA.jpg")</f>
        <v/>
      </c>
      <c r="G2279" t="s"/>
      <c r="H2279" t="s"/>
      <c r="I2279" t="s"/>
      <c r="J2279" t="n">
        <v>0</v>
      </c>
      <c r="K2279" t="n">
        <v>0</v>
      </c>
      <c r="L2279" t="n">
        <v>1</v>
      </c>
      <c r="M2279" t="n">
        <v>0</v>
      </c>
    </row>
    <row r="2280" spans="1:13">
      <c r="A2280" s="1">
        <f>HYPERLINK("http://www.twitter.com/NathanBLawrence/status/976374457022361601", "976374457022361601")</f>
        <v/>
      </c>
      <c r="B2280" s="2" t="n">
        <v>43180.35167824074</v>
      </c>
      <c r="C2280" t="n">
        <v>0</v>
      </c>
      <c r="D2280" t="n">
        <v>1144</v>
      </c>
      <c r="E2280" t="s">
        <v>2285</v>
      </c>
      <c r="F2280" t="s"/>
      <c r="G2280" t="s"/>
      <c r="H2280" t="s"/>
      <c r="I2280" t="s"/>
      <c r="J2280" t="n">
        <v>-0.7339</v>
      </c>
      <c r="K2280" t="n">
        <v>0.184</v>
      </c>
      <c r="L2280" t="n">
        <v>0.8159999999999999</v>
      </c>
      <c r="M2280" t="n">
        <v>0</v>
      </c>
    </row>
    <row r="2281" spans="1:13">
      <c r="A2281" s="1">
        <f>HYPERLINK("http://www.twitter.com/NathanBLawrence/status/976374260686979072", "976374260686979072")</f>
        <v/>
      </c>
      <c r="B2281" s="2" t="n">
        <v>43180.35113425926</v>
      </c>
      <c r="C2281" t="n">
        <v>0</v>
      </c>
      <c r="D2281" t="n">
        <v>32</v>
      </c>
      <c r="E2281" t="s">
        <v>2286</v>
      </c>
      <c r="F2281">
        <f>HYPERLINK("http://pbs.twimg.com/media/DYySQBwVQAIRGVN.jpg", "http://pbs.twimg.com/media/DYySQBwVQAIRGVN.jpg")</f>
        <v/>
      </c>
      <c r="G2281" t="s"/>
      <c r="H2281" t="s"/>
      <c r="I2281" t="s"/>
      <c r="J2281" t="n">
        <v>0</v>
      </c>
      <c r="K2281" t="n">
        <v>0</v>
      </c>
      <c r="L2281" t="n">
        <v>1</v>
      </c>
      <c r="M2281" t="n">
        <v>0</v>
      </c>
    </row>
    <row r="2282" spans="1:13">
      <c r="A2282" s="1">
        <f>HYPERLINK("http://www.twitter.com/NathanBLawrence/status/976374078289293312", "976374078289293312")</f>
        <v/>
      </c>
      <c r="B2282" s="2" t="n">
        <v>43180.35063657408</v>
      </c>
      <c r="C2282" t="n">
        <v>0</v>
      </c>
      <c r="D2282" t="n">
        <v>126</v>
      </c>
      <c r="E2282" t="s">
        <v>2287</v>
      </c>
      <c r="F2282">
        <f>HYPERLINK("http://pbs.twimg.com/media/DYybopDVAAAA_1j.jpg", "http://pbs.twimg.com/media/DYybopDVAAAA_1j.jpg")</f>
        <v/>
      </c>
      <c r="G2282" t="s"/>
      <c r="H2282" t="s"/>
      <c r="I2282" t="s"/>
      <c r="J2282" t="n">
        <v>-0.6597</v>
      </c>
      <c r="K2282" t="n">
        <v>0.351</v>
      </c>
      <c r="L2282" t="n">
        <v>0.649</v>
      </c>
      <c r="M2282" t="n">
        <v>0</v>
      </c>
    </row>
    <row r="2283" spans="1:13">
      <c r="A2283" s="1">
        <f>HYPERLINK("http://www.twitter.com/NathanBLawrence/status/976373970407636992", "976373970407636992")</f>
        <v/>
      </c>
      <c r="B2283" s="2" t="n">
        <v>43180.35033564815</v>
      </c>
      <c r="C2283" t="n">
        <v>0</v>
      </c>
      <c r="D2283" t="n">
        <v>5</v>
      </c>
      <c r="E2283" t="s">
        <v>2288</v>
      </c>
      <c r="F2283">
        <f>HYPERLINK("http://pbs.twimg.com/media/DYzF1y9XcAAQPWK.jpg", "http://pbs.twimg.com/media/DYzF1y9XcAAQPWK.jpg")</f>
        <v/>
      </c>
      <c r="G2283" t="s"/>
      <c r="H2283" t="s"/>
      <c r="I2283" t="s"/>
      <c r="J2283" t="n">
        <v>0</v>
      </c>
      <c r="K2283" t="n">
        <v>0</v>
      </c>
      <c r="L2283" t="n">
        <v>1</v>
      </c>
      <c r="M2283" t="n">
        <v>0</v>
      </c>
    </row>
    <row r="2284" spans="1:13">
      <c r="A2284" s="1">
        <f>HYPERLINK("http://www.twitter.com/NathanBLawrence/status/976373938925158400", "976373938925158400")</f>
        <v/>
      </c>
      <c r="B2284" s="2" t="n">
        <v>43180.35024305555</v>
      </c>
      <c r="C2284" t="n">
        <v>0</v>
      </c>
      <c r="D2284" t="n">
        <v>51</v>
      </c>
      <c r="E2284" t="s">
        <v>2289</v>
      </c>
      <c r="F2284">
        <f>HYPERLINK("http://pbs.twimg.com/media/DYzFEVCX0AA-gna.jpg", "http://pbs.twimg.com/media/DYzFEVCX0AA-gna.jpg")</f>
        <v/>
      </c>
      <c r="G2284" t="s"/>
      <c r="H2284" t="s"/>
      <c r="I2284" t="s"/>
      <c r="J2284" t="n">
        <v>-0.6486</v>
      </c>
      <c r="K2284" t="n">
        <v>0.249</v>
      </c>
      <c r="L2284" t="n">
        <v>0.751</v>
      </c>
      <c r="M2284" t="n">
        <v>0</v>
      </c>
    </row>
    <row r="2285" spans="1:13">
      <c r="A2285" s="1">
        <f>HYPERLINK("http://www.twitter.com/NathanBLawrence/status/976373804384399361", "976373804384399361")</f>
        <v/>
      </c>
      <c r="B2285" s="2" t="n">
        <v>43180.34987268518</v>
      </c>
      <c r="C2285" t="n">
        <v>0</v>
      </c>
      <c r="D2285" t="n">
        <v>48</v>
      </c>
      <c r="E2285" t="s">
        <v>2290</v>
      </c>
      <c r="F2285">
        <f>HYPERLINK("http://pbs.twimg.com/media/DYyRh2rVoAAMBgr.jpg", "http://pbs.twimg.com/media/DYyRh2rVoAAMBgr.jpg")</f>
        <v/>
      </c>
      <c r="G2285" t="s"/>
      <c r="H2285" t="s"/>
      <c r="I2285" t="s"/>
      <c r="J2285" t="n">
        <v>0</v>
      </c>
      <c r="K2285" t="n">
        <v>0</v>
      </c>
      <c r="L2285" t="n">
        <v>1</v>
      </c>
      <c r="M2285" t="n">
        <v>0</v>
      </c>
    </row>
    <row r="2286" spans="1:13">
      <c r="A2286" s="1">
        <f>HYPERLINK("http://www.twitter.com/NathanBLawrence/status/976373730275295234", "976373730275295234")</f>
        <v/>
      </c>
      <c r="B2286" s="2" t="n">
        <v>43180.34967592593</v>
      </c>
      <c r="C2286" t="n">
        <v>0</v>
      </c>
      <c r="D2286" t="n">
        <v>645</v>
      </c>
      <c r="E2286" t="s">
        <v>2291</v>
      </c>
      <c r="F2286">
        <f>HYPERLINK("http://pbs.twimg.com/media/DYvgqXPU0AAQObs.jpg", "http://pbs.twimg.com/media/DYvgqXPU0AAQObs.jpg")</f>
        <v/>
      </c>
      <c r="G2286" t="s"/>
      <c r="H2286" t="s"/>
      <c r="I2286" t="s"/>
      <c r="J2286" t="n">
        <v>0.3252</v>
      </c>
      <c r="K2286" t="n">
        <v>0.116</v>
      </c>
      <c r="L2286" t="n">
        <v>0.6879999999999999</v>
      </c>
      <c r="M2286" t="n">
        <v>0.196</v>
      </c>
    </row>
    <row r="2287" spans="1:13">
      <c r="A2287" s="1">
        <f>HYPERLINK("http://www.twitter.com/NathanBLawrence/status/976373442021748742", "976373442021748742")</f>
        <v/>
      </c>
      <c r="B2287" s="2" t="n">
        <v>43180.34887731481</v>
      </c>
      <c r="C2287" t="n">
        <v>0</v>
      </c>
      <c r="D2287" t="n">
        <v>8</v>
      </c>
      <c r="E2287" t="s">
        <v>2288</v>
      </c>
      <c r="F2287">
        <f>HYPERLINK("http://pbs.twimg.com/media/DYzF89BWAAAC_-A.jpg", "http://pbs.twimg.com/media/DYzF89BWAAAC_-A.jpg")</f>
        <v/>
      </c>
      <c r="G2287" t="s"/>
      <c r="H2287" t="s"/>
      <c r="I2287" t="s"/>
      <c r="J2287" t="n">
        <v>0</v>
      </c>
      <c r="K2287" t="n">
        <v>0</v>
      </c>
      <c r="L2287" t="n">
        <v>1</v>
      </c>
      <c r="M2287" t="n">
        <v>0</v>
      </c>
    </row>
    <row r="2288" spans="1:13">
      <c r="A2288" s="1">
        <f>HYPERLINK("http://www.twitter.com/NathanBLawrence/status/976373265554857984", "976373265554857984")</f>
        <v/>
      </c>
      <c r="B2288" s="2" t="n">
        <v>43180.3483912037</v>
      </c>
      <c r="C2288" t="n">
        <v>0</v>
      </c>
      <c r="D2288" t="n">
        <v>5226</v>
      </c>
      <c r="E2288" t="s">
        <v>2292</v>
      </c>
      <c r="F2288">
        <f>HYPERLINK("http://pbs.twimg.com/media/DYbAGcvV4AAG2pJ.jpg", "http://pbs.twimg.com/media/DYbAGcvV4AAG2pJ.jpg")</f>
        <v/>
      </c>
      <c r="G2288" t="s"/>
      <c r="H2288" t="s"/>
      <c r="I2288" t="s"/>
      <c r="J2288" t="n">
        <v>-0.296</v>
      </c>
      <c r="K2288" t="n">
        <v>0.08400000000000001</v>
      </c>
      <c r="L2288" t="n">
        <v>0.916</v>
      </c>
      <c r="M2288" t="n">
        <v>0</v>
      </c>
    </row>
    <row r="2289" spans="1:13">
      <c r="A2289" s="1">
        <f>HYPERLINK("http://www.twitter.com/NathanBLawrence/status/976372932510334977", "976372932510334977")</f>
        <v/>
      </c>
      <c r="B2289" s="2" t="n">
        <v>43180.34746527778</v>
      </c>
      <c r="C2289" t="n">
        <v>0</v>
      </c>
      <c r="D2289" t="n">
        <v>439</v>
      </c>
      <c r="E2289" t="s">
        <v>2293</v>
      </c>
      <c r="F2289">
        <f>HYPERLINK("http://pbs.twimg.com/media/DYdyibQXUAA_Vpm.jpg", "http://pbs.twimg.com/media/DYdyibQXUAA_Vpm.jpg")</f>
        <v/>
      </c>
      <c r="G2289" t="s"/>
      <c r="H2289" t="s"/>
      <c r="I2289" t="s"/>
      <c r="J2289" t="n">
        <v>-0.8159</v>
      </c>
      <c r="K2289" t="n">
        <v>0.377</v>
      </c>
      <c r="L2289" t="n">
        <v>0.491</v>
      </c>
      <c r="M2289" t="n">
        <v>0.132</v>
      </c>
    </row>
    <row r="2290" spans="1:13">
      <c r="A2290" s="1">
        <f>HYPERLINK("http://www.twitter.com/NathanBLawrence/status/975820273327882240", "975820273327882240")</f>
        <v/>
      </c>
      <c r="B2290" s="2" t="n">
        <v>43178.82241898148</v>
      </c>
      <c r="C2290" t="n">
        <v>0</v>
      </c>
      <c r="D2290" t="n">
        <v>33</v>
      </c>
      <c r="E2290" t="s">
        <v>2294</v>
      </c>
      <c r="F2290">
        <f>HYPERLINK("http://pbs.twimg.com/media/DYg1wyFV4AYXovB.jpg", "http://pbs.twimg.com/media/DYg1wyFV4AYXovB.jpg")</f>
        <v/>
      </c>
      <c r="G2290" t="s"/>
      <c r="H2290" t="s"/>
      <c r="I2290" t="s"/>
      <c r="J2290" t="n">
        <v>0</v>
      </c>
      <c r="K2290" t="n">
        <v>0</v>
      </c>
      <c r="L2290" t="n">
        <v>1</v>
      </c>
      <c r="M2290" t="n">
        <v>0</v>
      </c>
    </row>
    <row r="2291" spans="1:13">
      <c r="A2291" s="1">
        <f>HYPERLINK("http://www.twitter.com/NathanBLawrence/status/975612097101930496", "975612097101930496")</f>
        <v/>
      </c>
      <c r="B2291" s="2" t="n">
        <v>43178.24796296296</v>
      </c>
      <c r="C2291" t="n">
        <v>0</v>
      </c>
      <c r="D2291" t="n">
        <v>5183</v>
      </c>
      <c r="E2291" t="s">
        <v>2295</v>
      </c>
      <c r="F2291" t="s"/>
      <c r="G2291" t="s"/>
      <c r="H2291" t="s"/>
      <c r="I2291" t="s"/>
      <c r="J2291" t="n">
        <v>0.5574</v>
      </c>
      <c r="K2291" t="n">
        <v>0</v>
      </c>
      <c r="L2291" t="n">
        <v>0.854</v>
      </c>
      <c r="M2291" t="n">
        <v>0.146</v>
      </c>
    </row>
    <row r="2292" spans="1:13">
      <c r="A2292" s="1">
        <f>HYPERLINK("http://www.twitter.com/NathanBLawrence/status/975611752451792896", "975611752451792896")</f>
        <v/>
      </c>
      <c r="B2292" s="2" t="n">
        <v>43178.24701388889</v>
      </c>
      <c r="C2292" t="n">
        <v>0</v>
      </c>
      <c r="D2292" t="n">
        <v>22</v>
      </c>
      <c r="E2292" t="s">
        <v>2296</v>
      </c>
      <c r="F2292">
        <f>HYPERLINK("http://pbs.twimg.com/media/DYoBeSYU8AA0V48.png", "http://pbs.twimg.com/media/DYoBeSYU8AA0V48.png")</f>
        <v/>
      </c>
      <c r="G2292" t="s"/>
      <c r="H2292" t="s"/>
      <c r="I2292" t="s"/>
      <c r="J2292" t="n">
        <v>0</v>
      </c>
      <c r="K2292" t="n">
        <v>0</v>
      </c>
      <c r="L2292" t="n">
        <v>1</v>
      </c>
      <c r="M2292" t="n">
        <v>0</v>
      </c>
    </row>
    <row r="2293" spans="1:13">
      <c r="A2293" s="1">
        <f>HYPERLINK("http://www.twitter.com/NathanBLawrence/status/975611479222300672", "975611479222300672")</f>
        <v/>
      </c>
      <c r="B2293" s="2" t="n">
        <v>43178.24626157407</v>
      </c>
      <c r="C2293" t="n">
        <v>21</v>
      </c>
      <c r="D2293" t="n">
        <v>8</v>
      </c>
      <c r="E2293" t="s">
        <v>2297</v>
      </c>
      <c r="F2293" t="s"/>
      <c r="G2293" t="s"/>
      <c r="H2293" t="s"/>
      <c r="I2293" t="s"/>
      <c r="J2293" t="n">
        <v>-0.6514</v>
      </c>
      <c r="K2293" t="n">
        <v>0.8120000000000001</v>
      </c>
      <c r="L2293" t="n">
        <v>0.188</v>
      </c>
      <c r="M2293" t="n">
        <v>0</v>
      </c>
    </row>
    <row r="2294" spans="1:13">
      <c r="A2294" s="1">
        <f>HYPERLINK("http://www.twitter.com/NathanBLawrence/status/975611346816442368", "975611346816442368")</f>
        <v/>
      </c>
      <c r="B2294" s="2" t="n">
        <v>43178.2458912037</v>
      </c>
      <c r="C2294" t="n">
        <v>0</v>
      </c>
      <c r="D2294" t="n">
        <v>412</v>
      </c>
      <c r="E2294" t="s">
        <v>2298</v>
      </c>
      <c r="F2294">
        <f>HYPERLINK("http://pbs.twimg.com/media/DYm4rYfW4AEGpEA.jpg", "http://pbs.twimg.com/media/DYm4rYfW4AEGpEA.jpg")</f>
        <v/>
      </c>
      <c r="G2294" t="s"/>
      <c r="H2294" t="s"/>
      <c r="I2294" t="s"/>
      <c r="J2294" t="n">
        <v>0</v>
      </c>
      <c r="K2294" t="n">
        <v>0</v>
      </c>
      <c r="L2294" t="n">
        <v>1</v>
      </c>
      <c r="M2294" t="n">
        <v>0</v>
      </c>
    </row>
    <row r="2295" spans="1:13">
      <c r="A2295" s="1">
        <f>HYPERLINK("http://www.twitter.com/NathanBLawrence/status/975610904741056512", "975610904741056512")</f>
        <v/>
      </c>
      <c r="B2295" s="2" t="n">
        <v>43178.24467592593</v>
      </c>
      <c r="C2295" t="n">
        <v>0</v>
      </c>
      <c r="D2295" t="n">
        <v>126</v>
      </c>
      <c r="E2295" t="s">
        <v>2299</v>
      </c>
      <c r="F2295">
        <f>HYPERLINK("http://pbs.twimg.com/media/DYoQah_UMAEmvnr.jpg", "http://pbs.twimg.com/media/DYoQah_UMAEmvnr.jpg")</f>
        <v/>
      </c>
      <c r="G2295" t="s"/>
      <c r="H2295" t="s"/>
      <c r="I2295" t="s"/>
      <c r="J2295" t="n">
        <v>0</v>
      </c>
      <c r="K2295" t="n">
        <v>0</v>
      </c>
      <c r="L2295" t="n">
        <v>1</v>
      </c>
      <c r="M2295" t="n">
        <v>0</v>
      </c>
    </row>
    <row r="2296" spans="1:13">
      <c r="A2296" s="1">
        <f>HYPERLINK("http://www.twitter.com/NathanBLawrence/status/975610843231485952", "975610843231485952")</f>
        <v/>
      </c>
      <c r="B2296" s="2" t="n">
        <v>43178.24450231482</v>
      </c>
      <c r="C2296" t="n">
        <v>4</v>
      </c>
      <c r="D2296" t="n">
        <v>1</v>
      </c>
      <c r="E2296" t="s">
        <v>2300</v>
      </c>
      <c r="F2296" t="s"/>
      <c r="G2296" t="s"/>
      <c r="H2296" t="s"/>
      <c r="I2296" t="s"/>
      <c r="J2296" t="n">
        <v>0.4019</v>
      </c>
      <c r="K2296" t="n">
        <v>0</v>
      </c>
      <c r="L2296" t="n">
        <v>0.828</v>
      </c>
      <c r="M2296" t="n">
        <v>0.172</v>
      </c>
    </row>
    <row r="2297" spans="1:13">
      <c r="A2297" s="1">
        <f>HYPERLINK("http://www.twitter.com/NathanBLawrence/status/975590119997546497", "975590119997546497")</f>
        <v/>
      </c>
      <c r="B2297" s="2" t="n">
        <v>43178.18731481482</v>
      </c>
      <c r="C2297" t="n">
        <v>2</v>
      </c>
      <c r="D2297" t="n">
        <v>0</v>
      </c>
      <c r="E2297" t="s">
        <v>2301</v>
      </c>
      <c r="F2297" t="s"/>
      <c r="G2297" t="s"/>
      <c r="H2297" t="s"/>
      <c r="I2297" t="s"/>
      <c r="J2297" t="n">
        <v>0.4574</v>
      </c>
      <c r="K2297" t="n">
        <v>0</v>
      </c>
      <c r="L2297" t="n">
        <v>0.824</v>
      </c>
      <c r="M2297" t="n">
        <v>0.176</v>
      </c>
    </row>
    <row r="2298" spans="1:13">
      <c r="A2298" s="1">
        <f>HYPERLINK("http://www.twitter.com/NathanBLawrence/status/975582351320215554", "975582351320215554")</f>
        <v/>
      </c>
      <c r="B2298" s="2" t="n">
        <v>43178.16587962963</v>
      </c>
      <c r="C2298" t="n">
        <v>0</v>
      </c>
      <c r="D2298" t="n">
        <v>10</v>
      </c>
      <c r="E2298" t="s">
        <v>2302</v>
      </c>
      <c r="F2298">
        <f>HYPERLINK("http://pbs.twimg.com/media/DYn2QsTVQAEOT6u.jpg", "http://pbs.twimg.com/media/DYn2QsTVQAEOT6u.jpg")</f>
        <v/>
      </c>
      <c r="G2298" t="s"/>
      <c r="H2298" t="s"/>
      <c r="I2298" t="s"/>
      <c r="J2298" t="n">
        <v>0</v>
      </c>
      <c r="K2298" t="n">
        <v>0</v>
      </c>
      <c r="L2298" t="n">
        <v>1</v>
      </c>
      <c r="M2298" t="n">
        <v>0</v>
      </c>
    </row>
    <row r="2299" spans="1:13">
      <c r="A2299" s="1">
        <f>HYPERLINK("http://www.twitter.com/NathanBLawrence/status/975582115956867072", "975582115956867072")</f>
        <v/>
      </c>
      <c r="B2299" s="2" t="n">
        <v>43178.16523148148</v>
      </c>
      <c r="C2299" t="n">
        <v>0</v>
      </c>
      <c r="D2299" t="n">
        <v>15</v>
      </c>
      <c r="E2299" t="s">
        <v>2303</v>
      </c>
      <c r="F2299">
        <f>HYPERLINK("http://pbs.twimg.com/media/DXi1iuLV4AAslIY.jpg", "http://pbs.twimg.com/media/DXi1iuLV4AAslIY.jpg")</f>
        <v/>
      </c>
      <c r="G2299" t="s"/>
      <c r="H2299" t="s"/>
      <c r="I2299" t="s"/>
      <c r="J2299" t="n">
        <v>-0.6597</v>
      </c>
      <c r="K2299" t="n">
        <v>0.239</v>
      </c>
      <c r="L2299" t="n">
        <v>0.761</v>
      </c>
      <c r="M2299" t="n">
        <v>0</v>
      </c>
    </row>
    <row r="2300" spans="1:13">
      <c r="A2300" s="1">
        <f>HYPERLINK("http://www.twitter.com/NathanBLawrence/status/975581024636645376", "975581024636645376")</f>
        <v/>
      </c>
      <c r="B2300" s="2" t="n">
        <v>43178.16222222222</v>
      </c>
      <c r="C2300" t="n">
        <v>10</v>
      </c>
      <c r="D2300" t="n">
        <v>6</v>
      </c>
      <c r="E2300" t="s">
        <v>2304</v>
      </c>
      <c r="F2300" t="s"/>
      <c r="G2300" t="s"/>
      <c r="H2300" t="s"/>
      <c r="I2300" t="s"/>
      <c r="J2300" t="n">
        <v>0.4648</v>
      </c>
      <c r="K2300" t="n">
        <v>0</v>
      </c>
      <c r="L2300" t="n">
        <v>0.8110000000000001</v>
      </c>
      <c r="M2300" t="n">
        <v>0.189</v>
      </c>
    </row>
    <row r="2301" spans="1:13">
      <c r="A2301" s="1">
        <f>HYPERLINK("http://www.twitter.com/NathanBLawrence/status/975555705267728385", "975555705267728385")</f>
        <v/>
      </c>
      <c r="B2301" s="2" t="n">
        <v>43178.09234953704</v>
      </c>
      <c r="C2301" t="n">
        <v>31</v>
      </c>
      <c r="D2301" t="n">
        <v>8</v>
      </c>
      <c r="E2301" t="s">
        <v>2305</v>
      </c>
      <c r="F2301">
        <f>HYPERLINK("http://pbs.twimg.com/media/DYnevgnXkAAAcRn.jpg", "http://pbs.twimg.com/media/DYnevgnXkAAAcRn.jpg")</f>
        <v/>
      </c>
      <c r="G2301" t="s"/>
      <c r="H2301" t="s"/>
      <c r="I2301" t="s"/>
      <c r="J2301" t="n">
        <v>0</v>
      </c>
      <c r="K2301" t="n">
        <v>0</v>
      </c>
      <c r="L2301" t="n">
        <v>1</v>
      </c>
      <c r="M2301" t="n">
        <v>0</v>
      </c>
    </row>
    <row r="2302" spans="1:13">
      <c r="A2302" s="1">
        <f>HYPERLINK("http://www.twitter.com/NathanBLawrence/status/975122057477349376", "975122057477349376")</f>
        <v/>
      </c>
      <c r="B2302" s="2" t="n">
        <v>43176.89571759259</v>
      </c>
      <c r="C2302" t="n">
        <v>4</v>
      </c>
      <c r="D2302" t="n">
        <v>0</v>
      </c>
      <c r="E2302" t="s">
        <v>2306</v>
      </c>
      <c r="F2302" t="s"/>
      <c r="G2302" t="s"/>
      <c r="H2302" t="s"/>
      <c r="I2302" t="s"/>
      <c r="J2302" t="n">
        <v>0</v>
      </c>
      <c r="K2302" t="n">
        <v>0</v>
      </c>
      <c r="L2302" t="n">
        <v>1</v>
      </c>
      <c r="M2302" t="n">
        <v>0</v>
      </c>
    </row>
    <row r="2303" spans="1:13">
      <c r="A2303" s="1">
        <f>HYPERLINK("http://www.twitter.com/NathanBLawrence/status/975082240790077440", "975082240790077440")</f>
        <v/>
      </c>
      <c r="B2303" s="2" t="n">
        <v>43176.7858449074</v>
      </c>
      <c r="C2303" t="n">
        <v>0</v>
      </c>
      <c r="D2303" t="n">
        <v>20</v>
      </c>
      <c r="E2303" t="s">
        <v>2307</v>
      </c>
      <c r="F2303">
        <f>HYPERLINK("http://pbs.twimg.com/media/DYeKWA8VwAEt84L.jpg", "http://pbs.twimg.com/media/DYeKWA8VwAEt84L.jpg")</f>
        <v/>
      </c>
      <c r="G2303" t="s"/>
      <c r="H2303" t="s"/>
      <c r="I2303" t="s"/>
      <c r="J2303" t="n">
        <v>0.6249</v>
      </c>
      <c r="K2303" t="n">
        <v>0</v>
      </c>
      <c r="L2303" t="n">
        <v>0.6870000000000001</v>
      </c>
      <c r="M2303" t="n">
        <v>0.313</v>
      </c>
    </row>
    <row r="2304" spans="1:13">
      <c r="A2304" s="1">
        <f>HYPERLINK("http://www.twitter.com/NathanBLawrence/status/974930001849036802", "974930001849036802")</f>
        <v/>
      </c>
      <c r="B2304" s="2" t="n">
        <v>43176.36574074074</v>
      </c>
      <c r="C2304" t="n">
        <v>0</v>
      </c>
      <c r="D2304" t="n">
        <v>15</v>
      </c>
      <c r="E2304" t="s">
        <v>2308</v>
      </c>
      <c r="F2304">
        <f>HYPERLINK("http://pbs.twimg.com/media/DYeOmw5XcAA4tH5.jpg", "http://pbs.twimg.com/media/DYeOmw5XcAA4tH5.jpg")</f>
        <v/>
      </c>
      <c r="G2304" t="s"/>
      <c r="H2304" t="s"/>
      <c r="I2304" t="s"/>
      <c r="J2304" t="n">
        <v>0.5719</v>
      </c>
      <c r="K2304" t="n">
        <v>0</v>
      </c>
      <c r="L2304" t="n">
        <v>0.619</v>
      </c>
      <c r="M2304" t="n">
        <v>0.381</v>
      </c>
    </row>
    <row r="2305" spans="1:13">
      <c r="A2305" s="1">
        <f>HYPERLINK("http://www.twitter.com/NathanBLawrence/status/974929875969589248", "974929875969589248")</f>
        <v/>
      </c>
      <c r="B2305" s="2" t="n">
        <v>43176.36539351852</v>
      </c>
      <c r="C2305" t="n">
        <v>0</v>
      </c>
      <c r="D2305" t="n">
        <v>139</v>
      </c>
      <c r="E2305" t="s">
        <v>2309</v>
      </c>
      <c r="F2305" t="s"/>
      <c r="G2305" t="s"/>
      <c r="H2305" t="s"/>
      <c r="I2305" t="s"/>
      <c r="J2305" t="n">
        <v>0</v>
      </c>
      <c r="K2305" t="n">
        <v>0</v>
      </c>
      <c r="L2305" t="n">
        <v>1</v>
      </c>
      <c r="M2305" t="n">
        <v>0</v>
      </c>
    </row>
    <row r="2306" spans="1:13">
      <c r="A2306" s="1">
        <f>HYPERLINK("http://www.twitter.com/NathanBLawrence/status/974929674575884288", "974929674575884288")</f>
        <v/>
      </c>
      <c r="B2306" s="2" t="n">
        <v>43176.36483796296</v>
      </c>
      <c r="C2306" t="n">
        <v>0</v>
      </c>
      <c r="D2306" t="n">
        <v>203</v>
      </c>
      <c r="E2306" t="s">
        <v>2310</v>
      </c>
      <c r="F2306" t="s"/>
      <c r="G2306" t="s"/>
      <c r="H2306" t="s"/>
      <c r="I2306" t="s"/>
      <c r="J2306" t="n">
        <v>0.3612</v>
      </c>
      <c r="K2306" t="n">
        <v>0</v>
      </c>
      <c r="L2306" t="n">
        <v>0.872</v>
      </c>
      <c r="M2306" t="n">
        <v>0.128</v>
      </c>
    </row>
    <row r="2307" spans="1:13">
      <c r="A2307" s="1">
        <f>HYPERLINK("http://www.twitter.com/NathanBLawrence/status/974929612844052480", "974929612844052480")</f>
        <v/>
      </c>
      <c r="B2307" s="2" t="n">
        <v>43176.36466435185</v>
      </c>
      <c r="C2307" t="n">
        <v>0</v>
      </c>
      <c r="D2307" t="n">
        <v>46932</v>
      </c>
      <c r="E2307" t="s">
        <v>2311</v>
      </c>
      <c r="F2307" t="s"/>
      <c r="G2307" t="s"/>
      <c r="H2307" t="s"/>
      <c r="I2307" t="s"/>
      <c r="J2307" t="n">
        <v>0.5372</v>
      </c>
      <c r="K2307" t="n">
        <v>0.18</v>
      </c>
      <c r="L2307" t="n">
        <v>0.5639999999999999</v>
      </c>
      <c r="M2307" t="n">
        <v>0.257</v>
      </c>
    </row>
    <row r="2308" spans="1:13">
      <c r="A2308" s="1">
        <f>HYPERLINK("http://www.twitter.com/NathanBLawrence/status/974929498826092550", "974929498826092550")</f>
        <v/>
      </c>
      <c r="B2308" s="2" t="n">
        <v>43176.36435185185</v>
      </c>
      <c r="C2308" t="n">
        <v>0</v>
      </c>
      <c r="D2308" t="n">
        <v>195</v>
      </c>
      <c r="E2308" t="s">
        <v>2312</v>
      </c>
      <c r="F2308" t="s"/>
      <c r="G2308" t="s"/>
      <c r="H2308" t="s"/>
      <c r="I2308" t="s"/>
      <c r="J2308" t="n">
        <v>0.6369</v>
      </c>
      <c r="K2308" t="n">
        <v>0</v>
      </c>
      <c r="L2308" t="n">
        <v>0.588</v>
      </c>
      <c r="M2308" t="n">
        <v>0.412</v>
      </c>
    </row>
    <row r="2309" spans="1:13">
      <c r="A2309" s="1">
        <f>HYPERLINK("http://www.twitter.com/NathanBLawrence/status/974928825095135233", "974928825095135233")</f>
        <v/>
      </c>
      <c r="B2309" s="2" t="n">
        <v>43176.36248842593</v>
      </c>
      <c r="C2309" t="n">
        <v>0</v>
      </c>
      <c r="D2309" t="n">
        <v>22</v>
      </c>
      <c r="E2309" t="s">
        <v>2313</v>
      </c>
      <c r="F2309">
        <f>HYPERLINK("http://pbs.twimg.com/media/DYeYv5RWAAE8YE2.jpg", "http://pbs.twimg.com/media/DYeYv5RWAAE8YE2.jpg")</f>
        <v/>
      </c>
      <c r="G2309" t="s"/>
      <c r="H2309" t="s"/>
      <c r="I2309" t="s"/>
      <c r="J2309" t="n">
        <v>0.0772</v>
      </c>
      <c r="K2309" t="n">
        <v>0</v>
      </c>
      <c r="L2309" t="n">
        <v>0.9330000000000001</v>
      </c>
      <c r="M2309" t="n">
        <v>0.067</v>
      </c>
    </row>
    <row r="2310" spans="1:13">
      <c r="A2310" s="1">
        <f>HYPERLINK("http://www.twitter.com/NathanBLawrence/status/974928670119706624", "974928670119706624")</f>
        <v/>
      </c>
      <c r="B2310" s="2" t="n">
        <v>43176.36206018519</v>
      </c>
      <c r="C2310" t="n">
        <v>0</v>
      </c>
      <c r="D2310" t="n">
        <v>28</v>
      </c>
      <c r="E2310" t="s">
        <v>2314</v>
      </c>
      <c r="F2310">
        <f>HYPERLINK("http://pbs.twimg.com/media/DYeVVRrX4AA11S1.jpg", "http://pbs.twimg.com/media/DYeVVRrX4AA11S1.jpg")</f>
        <v/>
      </c>
      <c r="G2310" t="s"/>
      <c r="H2310" t="s"/>
      <c r="I2310" t="s"/>
      <c r="J2310" t="n">
        <v>0</v>
      </c>
      <c r="K2310" t="n">
        <v>0</v>
      </c>
      <c r="L2310" t="n">
        <v>1</v>
      </c>
      <c r="M2310" t="n">
        <v>0</v>
      </c>
    </row>
    <row r="2311" spans="1:13">
      <c r="A2311" s="1">
        <f>HYPERLINK("http://www.twitter.com/NathanBLawrence/status/974928451592310784", "974928451592310784")</f>
        <v/>
      </c>
      <c r="B2311" s="2" t="n">
        <v>43176.36145833333</v>
      </c>
      <c r="C2311" t="n">
        <v>0</v>
      </c>
      <c r="D2311" t="n">
        <v>95</v>
      </c>
      <c r="E2311" t="s">
        <v>2315</v>
      </c>
      <c r="F2311">
        <f>HYPERLINK("http://pbs.twimg.com/media/DYeHro8WkAAIXoB.jpg", "http://pbs.twimg.com/media/DYeHro8WkAAIXoB.jpg")</f>
        <v/>
      </c>
      <c r="G2311" t="s"/>
      <c r="H2311" t="s"/>
      <c r="I2311" t="s"/>
      <c r="J2311" t="n">
        <v>0</v>
      </c>
      <c r="K2311" t="n">
        <v>0</v>
      </c>
      <c r="L2311" t="n">
        <v>1</v>
      </c>
      <c r="M2311" t="n">
        <v>0</v>
      </c>
    </row>
    <row r="2312" spans="1:13">
      <c r="A2312" s="1">
        <f>HYPERLINK("http://www.twitter.com/NathanBLawrence/status/974890213771067392", "974890213771067392")</f>
        <v/>
      </c>
      <c r="B2312" s="2" t="n">
        <v>43176.25594907408</v>
      </c>
      <c r="C2312" t="n">
        <v>0</v>
      </c>
      <c r="D2312" t="n">
        <v>8</v>
      </c>
      <c r="E2312" t="s">
        <v>2316</v>
      </c>
      <c r="F2312">
        <f>HYPERLINK("http://pbs.twimg.com/media/DYd9wWeV4AAgvLP.jpg", "http://pbs.twimg.com/media/DYd9wWeV4AAgvLP.jpg")</f>
        <v/>
      </c>
      <c r="G2312" t="s"/>
      <c r="H2312" t="s"/>
      <c r="I2312" t="s"/>
      <c r="J2312" t="n">
        <v>0</v>
      </c>
      <c r="K2312" t="n">
        <v>0</v>
      </c>
      <c r="L2312" t="n">
        <v>1</v>
      </c>
      <c r="M2312" t="n">
        <v>0</v>
      </c>
    </row>
    <row r="2313" spans="1:13">
      <c r="A2313" s="1">
        <f>HYPERLINK("http://www.twitter.com/NathanBLawrence/status/974889935453827072", "974889935453827072")</f>
        <v/>
      </c>
      <c r="B2313" s="2" t="n">
        <v>43176.25517361111</v>
      </c>
      <c r="C2313" t="n">
        <v>6</v>
      </c>
      <c r="D2313" t="n">
        <v>2</v>
      </c>
      <c r="E2313" t="s">
        <v>2317</v>
      </c>
      <c r="F2313" t="s"/>
      <c r="G2313" t="s"/>
      <c r="H2313" t="s"/>
      <c r="I2313" t="s"/>
      <c r="J2313" t="n">
        <v>0</v>
      </c>
      <c r="K2313" t="n">
        <v>0</v>
      </c>
      <c r="L2313" t="n">
        <v>1</v>
      </c>
      <c r="M2313" t="n">
        <v>0</v>
      </c>
    </row>
    <row r="2314" spans="1:13">
      <c r="A2314" s="1">
        <f>HYPERLINK("http://www.twitter.com/NathanBLawrence/status/974889723364753408", "974889723364753408")</f>
        <v/>
      </c>
      <c r="B2314" s="2" t="n">
        <v>43176.2545949074</v>
      </c>
      <c r="C2314" t="n">
        <v>10</v>
      </c>
      <c r="D2314" t="n">
        <v>1</v>
      </c>
      <c r="E2314" t="s">
        <v>2318</v>
      </c>
      <c r="F2314" t="s"/>
      <c r="G2314" t="s"/>
      <c r="H2314" t="s"/>
      <c r="I2314" t="s"/>
      <c r="J2314" t="n">
        <v>0</v>
      </c>
      <c r="K2314" t="n">
        <v>0</v>
      </c>
      <c r="L2314" t="n">
        <v>1</v>
      </c>
      <c r="M2314" t="n">
        <v>0</v>
      </c>
    </row>
    <row r="2315" spans="1:13">
      <c r="A2315" s="1">
        <f>HYPERLINK("http://www.twitter.com/NathanBLawrence/status/974889249328611328", "974889249328611328")</f>
        <v/>
      </c>
      <c r="B2315" s="2" t="n">
        <v>43176.25328703703</v>
      </c>
      <c r="C2315" t="n">
        <v>1</v>
      </c>
      <c r="D2315" t="n">
        <v>0</v>
      </c>
      <c r="E2315" t="s">
        <v>2319</v>
      </c>
      <c r="F2315" t="s"/>
      <c r="G2315" t="s"/>
      <c r="H2315" t="s"/>
      <c r="I2315" t="s"/>
      <c r="J2315" t="n">
        <v>0</v>
      </c>
      <c r="K2315" t="n">
        <v>0</v>
      </c>
      <c r="L2315" t="n">
        <v>1</v>
      </c>
      <c r="M2315" t="n">
        <v>0</v>
      </c>
    </row>
    <row r="2316" spans="1:13">
      <c r="A2316" s="1">
        <f>HYPERLINK("http://www.twitter.com/NathanBLawrence/status/974880441646772224", "974880441646772224")</f>
        <v/>
      </c>
      <c r="B2316" s="2" t="n">
        <v>43176.22898148148</v>
      </c>
      <c r="C2316" t="n">
        <v>0</v>
      </c>
      <c r="D2316" t="n">
        <v>196</v>
      </c>
      <c r="E2316" t="s">
        <v>2320</v>
      </c>
      <c r="F2316">
        <f>HYPERLINK("http://pbs.twimg.com/media/DYdmFlvXcAA-eEN.jpg", "http://pbs.twimg.com/media/DYdmFlvXcAA-eEN.jpg")</f>
        <v/>
      </c>
      <c r="G2316" t="s"/>
      <c r="H2316" t="s"/>
      <c r="I2316" t="s"/>
      <c r="J2316" t="n">
        <v>0</v>
      </c>
      <c r="K2316" t="n">
        <v>0</v>
      </c>
      <c r="L2316" t="n">
        <v>1</v>
      </c>
      <c r="M2316" t="n">
        <v>0</v>
      </c>
    </row>
    <row r="2317" spans="1:13">
      <c r="A2317" s="1">
        <f>HYPERLINK("http://www.twitter.com/NathanBLawrence/status/974880376630886400", "974880376630886400")</f>
        <v/>
      </c>
      <c r="B2317" s="2" t="n">
        <v>43176.22879629629</v>
      </c>
      <c r="C2317" t="n">
        <v>0</v>
      </c>
      <c r="D2317" t="n">
        <v>1054</v>
      </c>
      <c r="E2317" t="s">
        <v>2321</v>
      </c>
      <c r="F2317">
        <f>HYPERLINK("http://pbs.twimg.com/media/DYdfy1qVoAA-BY7.jpg", "http://pbs.twimg.com/media/DYdfy1qVoAA-BY7.jpg")</f>
        <v/>
      </c>
      <c r="G2317" t="s"/>
      <c r="H2317" t="s"/>
      <c r="I2317" t="s"/>
      <c r="J2317" t="n">
        <v>-0.658</v>
      </c>
      <c r="K2317" t="n">
        <v>0.227</v>
      </c>
      <c r="L2317" t="n">
        <v>0.7</v>
      </c>
      <c r="M2317" t="n">
        <v>0.073</v>
      </c>
    </row>
    <row r="2318" spans="1:13">
      <c r="A2318" s="1">
        <f>HYPERLINK("http://www.twitter.com/NathanBLawrence/status/974880251112075265", "974880251112075265")</f>
        <v/>
      </c>
      <c r="B2318" s="2" t="n">
        <v>43176.22844907407</v>
      </c>
      <c r="C2318" t="n">
        <v>0</v>
      </c>
      <c r="D2318" t="n">
        <v>13</v>
      </c>
      <c r="E2318" t="s">
        <v>2322</v>
      </c>
      <c r="F2318">
        <f>HYPERLINK("http://pbs.twimg.com/media/DYd3DJ9V4AAL5pf.jpg", "http://pbs.twimg.com/media/DYd3DJ9V4AAL5pf.jpg")</f>
        <v/>
      </c>
      <c r="G2318" t="s"/>
      <c r="H2318" t="s"/>
      <c r="I2318" t="s"/>
      <c r="J2318" t="n">
        <v>0.8268</v>
      </c>
      <c r="K2318" t="n">
        <v>0</v>
      </c>
      <c r="L2318" t="n">
        <v>0.58</v>
      </c>
      <c r="M2318" t="n">
        <v>0.42</v>
      </c>
    </row>
    <row r="2319" spans="1:13">
      <c r="A2319" s="1">
        <f>HYPERLINK("http://www.twitter.com/NathanBLawrence/status/974880128323829760", "974880128323829760")</f>
        <v/>
      </c>
      <c r="B2319" s="2" t="n">
        <v>43176.22811342592</v>
      </c>
      <c r="C2319" t="n">
        <v>0</v>
      </c>
      <c r="D2319" t="n">
        <v>2173</v>
      </c>
      <c r="E2319" t="s">
        <v>2323</v>
      </c>
      <c r="F2319">
        <f>HYPERLINK("http://pbs.twimg.com/media/DYcsIVvVwAEiRHy.jpg", "http://pbs.twimg.com/media/DYcsIVvVwAEiRHy.jpg")</f>
        <v/>
      </c>
      <c r="G2319" t="s"/>
      <c r="H2319" t="s"/>
      <c r="I2319" t="s"/>
      <c r="J2319" t="n">
        <v>-0.8807</v>
      </c>
      <c r="K2319" t="n">
        <v>0.349</v>
      </c>
      <c r="L2319" t="n">
        <v>0.651</v>
      </c>
      <c r="M2319" t="n">
        <v>0</v>
      </c>
    </row>
    <row r="2320" spans="1:13">
      <c r="A2320" s="1">
        <f>HYPERLINK("http://www.twitter.com/NathanBLawrence/status/974880021532721153", "974880021532721153")</f>
        <v/>
      </c>
      <c r="B2320" s="2" t="n">
        <v>43176.22782407407</v>
      </c>
      <c r="C2320" t="n">
        <v>0</v>
      </c>
      <c r="D2320" t="n">
        <v>749</v>
      </c>
      <c r="E2320" t="s">
        <v>2324</v>
      </c>
      <c r="F2320">
        <f>HYPERLINK("http://pbs.twimg.com/media/DYd3XDDW4AAUctv.jpg", "http://pbs.twimg.com/media/DYd3XDDW4AAUctv.jpg")</f>
        <v/>
      </c>
      <c r="G2320" t="s"/>
      <c r="H2320" t="s"/>
      <c r="I2320" t="s"/>
      <c r="J2320" t="n">
        <v>0</v>
      </c>
      <c r="K2320" t="n">
        <v>0</v>
      </c>
      <c r="L2320" t="n">
        <v>1</v>
      </c>
      <c r="M2320" t="n">
        <v>0</v>
      </c>
    </row>
    <row r="2321" spans="1:13">
      <c r="A2321" s="1">
        <f>HYPERLINK("http://www.twitter.com/NathanBLawrence/status/974879901487542272", "974879901487542272")</f>
        <v/>
      </c>
      <c r="B2321" s="2" t="n">
        <v>43176.22748842592</v>
      </c>
      <c r="C2321" t="n">
        <v>0</v>
      </c>
      <c r="D2321" t="n">
        <v>21</v>
      </c>
      <c r="E2321" t="s">
        <v>2325</v>
      </c>
      <c r="F2321">
        <f>HYPERLINK("http://pbs.twimg.com/media/DYd0n3KWkAAgkI6.jpg", "http://pbs.twimg.com/media/DYd0n3KWkAAgkI6.jpg")</f>
        <v/>
      </c>
      <c r="G2321" t="s"/>
      <c r="H2321" t="s"/>
      <c r="I2321" t="s"/>
      <c r="J2321" t="n">
        <v>-0.4019</v>
      </c>
      <c r="K2321" t="n">
        <v>0.13</v>
      </c>
      <c r="L2321" t="n">
        <v>0.87</v>
      </c>
      <c r="M2321" t="n">
        <v>0</v>
      </c>
    </row>
    <row r="2322" spans="1:13">
      <c r="A2322" s="1">
        <f>HYPERLINK("http://www.twitter.com/NathanBLawrence/status/974879849817894912", "974879849817894912")</f>
        <v/>
      </c>
      <c r="B2322" s="2" t="n">
        <v>43176.22734953704</v>
      </c>
      <c r="C2322" t="n">
        <v>0</v>
      </c>
      <c r="D2322" t="n">
        <v>16</v>
      </c>
      <c r="E2322" t="s">
        <v>2326</v>
      </c>
      <c r="F2322">
        <f>HYPERLINK("http://pbs.twimg.com/media/DYblTS2W0AE8VsJ.jpg", "http://pbs.twimg.com/media/DYblTS2W0AE8VsJ.jpg")</f>
        <v/>
      </c>
      <c r="G2322" t="s"/>
      <c r="H2322" t="s"/>
      <c r="I2322" t="s"/>
      <c r="J2322" t="n">
        <v>0</v>
      </c>
      <c r="K2322" t="n">
        <v>0</v>
      </c>
      <c r="L2322" t="n">
        <v>1</v>
      </c>
      <c r="M2322" t="n">
        <v>0</v>
      </c>
    </row>
    <row r="2323" spans="1:13">
      <c r="A2323" s="1">
        <f>HYPERLINK("http://www.twitter.com/NathanBLawrence/status/974879769710903296", "974879769710903296")</f>
        <v/>
      </c>
      <c r="B2323" s="2" t="n">
        <v>43176.22712962963</v>
      </c>
      <c r="C2323" t="n">
        <v>0</v>
      </c>
      <c r="D2323" t="n">
        <v>2081</v>
      </c>
      <c r="E2323" t="s">
        <v>2327</v>
      </c>
      <c r="F2323">
        <f>HYPERLINK("http://pbs.twimg.com/media/DYd1uTwVwAA790z.jpg", "http://pbs.twimg.com/media/DYd1uTwVwAA790z.jpg")</f>
        <v/>
      </c>
      <c r="G2323" t="s"/>
      <c r="H2323" t="s"/>
      <c r="I2323" t="s"/>
      <c r="J2323" t="n">
        <v>-0.1984</v>
      </c>
      <c r="K2323" t="n">
        <v>0.165</v>
      </c>
      <c r="L2323" t="n">
        <v>0.835</v>
      </c>
      <c r="M2323" t="n">
        <v>0</v>
      </c>
    </row>
    <row r="2324" spans="1:13">
      <c r="A2324" s="1">
        <f>HYPERLINK("http://www.twitter.com/NathanBLawrence/status/974879740170461187", "974879740170461187")</f>
        <v/>
      </c>
      <c r="B2324" s="2" t="n">
        <v>43176.22704861111</v>
      </c>
      <c r="C2324" t="n">
        <v>0</v>
      </c>
      <c r="D2324" t="n">
        <v>1121</v>
      </c>
      <c r="E2324" t="s">
        <v>2328</v>
      </c>
      <c r="F2324">
        <f>HYPERLINK("http://pbs.twimg.com/media/DYd1oJ_U0AUe9TZ.jpg", "http://pbs.twimg.com/media/DYd1oJ_U0AUe9TZ.jpg")</f>
        <v/>
      </c>
      <c r="G2324" t="s"/>
      <c r="H2324" t="s"/>
      <c r="I2324" t="s"/>
      <c r="J2324" t="n">
        <v>0</v>
      </c>
      <c r="K2324" t="n">
        <v>0</v>
      </c>
      <c r="L2324" t="n">
        <v>1</v>
      </c>
      <c r="M2324" t="n">
        <v>0</v>
      </c>
    </row>
    <row r="2325" spans="1:13">
      <c r="A2325" s="1">
        <f>HYPERLINK("http://www.twitter.com/NathanBLawrence/status/974879664018571264", "974879664018571264")</f>
        <v/>
      </c>
      <c r="B2325" s="2" t="n">
        <v>43176.2268287037</v>
      </c>
      <c r="C2325" t="n">
        <v>0</v>
      </c>
      <c r="D2325" t="n">
        <v>961</v>
      </c>
      <c r="E2325" t="s">
        <v>2329</v>
      </c>
      <c r="F2325">
        <f>HYPERLINK("http://pbs.twimg.com/media/DYdRmWTXcAEFrTN.jpg", "http://pbs.twimg.com/media/DYdRmWTXcAEFrTN.jpg")</f>
        <v/>
      </c>
      <c r="G2325" t="s"/>
      <c r="H2325" t="s"/>
      <c r="I2325" t="s"/>
      <c r="J2325" t="n">
        <v>-0.5574</v>
      </c>
      <c r="K2325" t="n">
        <v>0.265</v>
      </c>
      <c r="L2325" t="n">
        <v>0.735</v>
      </c>
      <c r="M2325" t="n">
        <v>0</v>
      </c>
    </row>
    <row r="2326" spans="1:13">
      <c r="A2326" s="1">
        <f>HYPERLINK("http://www.twitter.com/NathanBLawrence/status/974879584104534018", "974879584104534018")</f>
        <v/>
      </c>
      <c r="B2326" s="2" t="n">
        <v>43176.2266087963</v>
      </c>
      <c r="C2326" t="n">
        <v>0</v>
      </c>
      <c r="D2326" t="n">
        <v>8</v>
      </c>
      <c r="E2326" t="s">
        <v>2330</v>
      </c>
      <c r="F2326" t="s"/>
      <c r="G2326" t="s"/>
      <c r="H2326" t="s"/>
      <c r="I2326" t="s"/>
      <c r="J2326" t="n">
        <v>0</v>
      </c>
      <c r="K2326" t="n">
        <v>0</v>
      </c>
      <c r="L2326" t="n">
        <v>1</v>
      </c>
      <c r="M2326" t="n">
        <v>0</v>
      </c>
    </row>
    <row r="2327" spans="1:13">
      <c r="A2327" s="1">
        <f>HYPERLINK("http://www.twitter.com/NathanBLawrence/status/974875845381693440", "974875845381693440")</f>
        <v/>
      </c>
      <c r="B2327" s="2" t="n">
        <v>43176.2162962963</v>
      </c>
      <c r="C2327" t="n">
        <v>0</v>
      </c>
      <c r="D2327" t="n">
        <v>0</v>
      </c>
      <c r="E2327" t="s">
        <v>2331</v>
      </c>
      <c r="F2327" t="s"/>
      <c r="G2327" t="s"/>
      <c r="H2327" t="s"/>
      <c r="I2327" t="s"/>
      <c r="J2327" t="n">
        <v>0</v>
      </c>
      <c r="K2327" t="n">
        <v>0</v>
      </c>
      <c r="L2327" t="n">
        <v>1</v>
      </c>
      <c r="M2327" t="n">
        <v>0</v>
      </c>
    </row>
    <row r="2328" spans="1:13">
      <c r="A2328" s="1">
        <f>HYPERLINK("http://www.twitter.com/NathanBLawrence/status/974872024458829824", "974872024458829824")</f>
        <v/>
      </c>
      <c r="B2328" s="2" t="n">
        <v>43176.20575231482</v>
      </c>
      <c r="C2328" t="n">
        <v>0</v>
      </c>
      <c r="D2328" t="n">
        <v>6</v>
      </c>
      <c r="E2328" t="s">
        <v>2332</v>
      </c>
      <c r="F2328" t="s"/>
      <c r="G2328" t="s"/>
      <c r="H2328" t="s"/>
      <c r="I2328" t="s"/>
      <c r="J2328" t="n">
        <v>0</v>
      </c>
      <c r="K2328" t="n">
        <v>0</v>
      </c>
      <c r="L2328" t="n">
        <v>1</v>
      </c>
      <c r="M2328" t="n">
        <v>0</v>
      </c>
    </row>
    <row r="2329" spans="1:13">
      <c r="A2329" s="1">
        <f>HYPERLINK("http://www.twitter.com/NathanBLawrence/status/974871960168538112", "974871960168538112")</f>
        <v/>
      </c>
      <c r="B2329" s="2" t="n">
        <v>43176.2055787037</v>
      </c>
      <c r="C2329" t="n">
        <v>0</v>
      </c>
      <c r="D2329" t="n">
        <v>352</v>
      </c>
      <c r="E2329" t="s">
        <v>2333</v>
      </c>
      <c r="F2329">
        <f>HYPERLINK("http://pbs.twimg.com/media/DYdLfrnXUAA0HCe.jpg", "http://pbs.twimg.com/media/DYdLfrnXUAA0HCe.jpg")</f>
        <v/>
      </c>
      <c r="G2329" t="s"/>
      <c r="H2329" t="s"/>
      <c r="I2329" t="s"/>
      <c r="J2329" t="n">
        <v>-0.7845</v>
      </c>
      <c r="K2329" t="n">
        <v>0.247</v>
      </c>
      <c r="L2329" t="n">
        <v>0.753</v>
      </c>
      <c r="M2329" t="n">
        <v>0</v>
      </c>
    </row>
    <row r="2330" spans="1:13">
      <c r="A2330" s="1">
        <f>HYPERLINK("http://www.twitter.com/NathanBLawrence/status/974871719029612544", "974871719029612544")</f>
        <v/>
      </c>
      <c r="B2330" s="2" t="n">
        <v>43176.20490740741</v>
      </c>
      <c r="C2330" t="n">
        <v>0</v>
      </c>
      <c r="D2330" t="n">
        <v>46</v>
      </c>
      <c r="E2330" t="s">
        <v>2334</v>
      </c>
      <c r="F2330">
        <f>HYPERLINK("http://pbs.twimg.com/media/DYdwKaBVAAESjWR.jpg", "http://pbs.twimg.com/media/DYdwKaBVAAESjWR.jpg")</f>
        <v/>
      </c>
      <c r="G2330" t="s"/>
      <c r="H2330" t="s"/>
      <c r="I2330" t="s"/>
      <c r="J2330" t="n">
        <v>0</v>
      </c>
      <c r="K2330" t="n">
        <v>0</v>
      </c>
      <c r="L2330" t="n">
        <v>1</v>
      </c>
      <c r="M2330" t="n">
        <v>0</v>
      </c>
    </row>
    <row r="2331" spans="1:13">
      <c r="A2331" s="1">
        <f>HYPERLINK("http://www.twitter.com/NathanBLawrence/status/974871630621978624", "974871630621978624")</f>
        <v/>
      </c>
      <c r="B2331" s="2" t="n">
        <v>43176.20466435186</v>
      </c>
      <c r="C2331" t="n">
        <v>0</v>
      </c>
      <c r="D2331" t="n">
        <v>2</v>
      </c>
      <c r="E2331" t="s">
        <v>2335</v>
      </c>
      <c r="F2331" t="s"/>
      <c r="G2331" t="s"/>
      <c r="H2331" t="s"/>
      <c r="I2331" t="s"/>
      <c r="J2331" t="n">
        <v>0</v>
      </c>
      <c r="K2331" t="n">
        <v>0</v>
      </c>
      <c r="L2331" t="n">
        <v>1</v>
      </c>
      <c r="M2331" t="n">
        <v>0</v>
      </c>
    </row>
    <row r="2332" spans="1:13">
      <c r="A2332" s="1">
        <f>HYPERLINK("http://www.twitter.com/NathanBLawrence/status/974871467400638465", "974871467400638465")</f>
        <v/>
      </c>
      <c r="B2332" s="2" t="n">
        <v>43176.20421296296</v>
      </c>
      <c r="C2332" t="n">
        <v>22</v>
      </c>
      <c r="D2332" t="n">
        <v>9</v>
      </c>
      <c r="E2332" t="s">
        <v>2336</v>
      </c>
      <c r="F2332" t="s"/>
      <c r="G2332" t="s"/>
      <c r="H2332" t="s"/>
      <c r="I2332" t="s"/>
      <c r="J2332" t="n">
        <v>-0.886</v>
      </c>
      <c r="K2332" t="n">
        <v>0.486</v>
      </c>
      <c r="L2332" t="n">
        <v>0.514</v>
      </c>
      <c r="M2332" t="n">
        <v>0</v>
      </c>
    </row>
    <row r="2333" spans="1:13">
      <c r="A2333" s="1">
        <f>HYPERLINK("http://www.twitter.com/NathanBLawrence/status/974871075682107393", "974871075682107393")</f>
        <v/>
      </c>
      <c r="B2333" s="2" t="n">
        <v>43176.20313657408</v>
      </c>
      <c r="C2333" t="n">
        <v>0</v>
      </c>
      <c r="D2333" t="n">
        <v>8</v>
      </c>
      <c r="E2333" t="s">
        <v>2337</v>
      </c>
      <c r="F2333">
        <f>HYPERLINK("http://pbs.twimg.com/media/DYdaiQ0XcAIefNI.jpg", "http://pbs.twimg.com/media/DYdaiQ0XcAIefNI.jpg")</f>
        <v/>
      </c>
      <c r="G2333" t="s"/>
      <c r="H2333" t="s"/>
      <c r="I2333" t="s"/>
      <c r="J2333" t="n">
        <v>-0.2732</v>
      </c>
      <c r="K2333" t="n">
        <v>0.095</v>
      </c>
      <c r="L2333" t="n">
        <v>0.905</v>
      </c>
      <c r="M2333" t="n">
        <v>0</v>
      </c>
    </row>
    <row r="2334" spans="1:13">
      <c r="A2334" s="1">
        <f>HYPERLINK("http://www.twitter.com/NathanBLawrence/status/974871013451210752", "974871013451210752")</f>
        <v/>
      </c>
      <c r="B2334" s="2" t="n">
        <v>43176.20296296296</v>
      </c>
      <c r="C2334" t="n">
        <v>0</v>
      </c>
      <c r="D2334" t="n">
        <v>1012</v>
      </c>
      <c r="E2334" t="s">
        <v>2338</v>
      </c>
      <c r="F2334">
        <f>HYPERLINK("http://pbs.twimg.com/media/DYdgGwHU0Aoeeu4.jpg", "http://pbs.twimg.com/media/DYdgGwHU0Aoeeu4.jpg")</f>
        <v/>
      </c>
      <c r="G2334" t="s"/>
      <c r="H2334" t="s"/>
      <c r="I2334" t="s"/>
      <c r="J2334" t="n">
        <v>0</v>
      </c>
      <c r="K2334" t="n">
        <v>0</v>
      </c>
      <c r="L2334" t="n">
        <v>1</v>
      </c>
      <c r="M2334" t="n">
        <v>0</v>
      </c>
    </row>
    <row r="2335" spans="1:13">
      <c r="A2335" s="1">
        <f>HYPERLINK("http://www.twitter.com/NathanBLawrence/status/974870920048201729", "974870920048201729")</f>
        <v/>
      </c>
      <c r="B2335" s="2" t="n">
        <v>43176.20270833333</v>
      </c>
      <c r="C2335" t="n">
        <v>0</v>
      </c>
      <c r="D2335" t="n">
        <v>3651</v>
      </c>
      <c r="E2335" t="s">
        <v>2339</v>
      </c>
      <c r="F2335" t="s"/>
      <c r="G2335" t="s"/>
      <c r="H2335" t="s"/>
      <c r="I2335" t="s"/>
      <c r="J2335" t="n">
        <v>-0.5294</v>
      </c>
      <c r="K2335" t="n">
        <v>0.179</v>
      </c>
      <c r="L2335" t="n">
        <v>0.729</v>
      </c>
      <c r="M2335" t="n">
        <v>0.091</v>
      </c>
    </row>
    <row r="2336" spans="1:13">
      <c r="A2336" s="1">
        <f>HYPERLINK("http://www.twitter.com/NathanBLawrence/status/974870814662172672", "974870814662172672")</f>
        <v/>
      </c>
      <c r="B2336" s="2" t="n">
        <v>43176.20241898148</v>
      </c>
      <c r="C2336" t="n">
        <v>0</v>
      </c>
      <c r="D2336" t="n">
        <v>3</v>
      </c>
      <c r="E2336" t="s">
        <v>2340</v>
      </c>
      <c r="F2336">
        <f>HYPERLINK("http://pbs.twimg.com/media/DYUkVQlVMAAv0Rl.png", "http://pbs.twimg.com/media/DYUkVQlVMAAv0Rl.png")</f>
        <v/>
      </c>
      <c r="G2336" t="s"/>
      <c r="H2336" t="s"/>
      <c r="I2336" t="s"/>
      <c r="J2336" t="n">
        <v>0</v>
      </c>
      <c r="K2336" t="n">
        <v>0</v>
      </c>
      <c r="L2336" t="n">
        <v>1</v>
      </c>
      <c r="M2336" t="n">
        <v>0</v>
      </c>
    </row>
    <row r="2337" spans="1:13">
      <c r="A2337" s="1">
        <f>HYPERLINK("http://www.twitter.com/NathanBLawrence/status/974869495469584384", "974869495469584384")</f>
        <v/>
      </c>
      <c r="B2337" s="2" t="n">
        <v>43176.19877314815</v>
      </c>
      <c r="C2337" t="n">
        <v>0</v>
      </c>
      <c r="D2337" t="n">
        <v>610</v>
      </c>
      <c r="E2337" t="s">
        <v>2341</v>
      </c>
      <c r="F2337" t="s"/>
      <c r="G2337" t="s"/>
      <c r="H2337" t="s"/>
      <c r="I2337" t="s"/>
      <c r="J2337" t="n">
        <v>0.4215</v>
      </c>
      <c r="K2337" t="n">
        <v>0.102</v>
      </c>
      <c r="L2337" t="n">
        <v>0.71</v>
      </c>
      <c r="M2337" t="n">
        <v>0.188</v>
      </c>
    </row>
    <row r="2338" spans="1:13">
      <c r="A2338" s="1">
        <f>HYPERLINK("http://www.twitter.com/NathanBLawrence/status/974869341232545792", "974869341232545792")</f>
        <v/>
      </c>
      <c r="B2338" s="2" t="n">
        <v>43176.19834490741</v>
      </c>
      <c r="C2338" t="n">
        <v>8</v>
      </c>
      <c r="D2338" t="n">
        <v>3</v>
      </c>
      <c r="E2338" t="s">
        <v>2342</v>
      </c>
      <c r="F2338" t="s"/>
      <c r="G2338" t="s"/>
      <c r="H2338" t="s"/>
      <c r="I2338" t="s"/>
      <c r="J2338" t="n">
        <v>0.7418</v>
      </c>
      <c r="K2338" t="n">
        <v>0</v>
      </c>
      <c r="L2338" t="n">
        <v>0.84</v>
      </c>
      <c r="M2338" t="n">
        <v>0.16</v>
      </c>
    </row>
    <row r="2339" spans="1:13">
      <c r="A2339" s="1">
        <f>HYPERLINK("http://www.twitter.com/NathanBLawrence/status/974225709626355713", "974225709626355713")</f>
        <v/>
      </c>
      <c r="B2339" s="2" t="n">
        <v>43174.42226851852</v>
      </c>
      <c r="C2339" t="n">
        <v>3</v>
      </c>
      <c r="D2339" t="n">
        <v>3</v>
      </c>
      <c r="E2339" t="s">
        <v>2343</v>
      </c>
      <c r="F2339">
        <f>HYPERLINK("http://pbs.twimg.com/media/DYUkVQlVMAAv0Rl.png", "http://pbs.twimg.com/media/DYUkVQlVMAAv0Rl.png")</f>
        <v/>
      </c>
      <c r="G2339" t="s"/>
      <c r="H2339" t="s"/>
      <c r="I2339" t="s"/>
      <c r="J2339" t="n">
        <v>0.4184</v>
      </c>
      <c r="K2339" t="n">
        <v>0</v>
      </c>
      <c r="L2339" t="n">
        <v>0.922</v>
      </c>
      <c r="M2339" t="n">
        <v>0.078</v>
      </c>
    </row>
    <row r="2340" spans="1:13">
      <c r="A2340" s="1">
        <f>HYPERLINK("http://www.twitter.com/NathanBLawrence/status/974224725688766465", "974224725688766465")</f>
        <v/>
      </c>
      <c r="B2340" s="2" t="n">
        <v>43174.41954861111</v>
      </c>
      <c r="C2340" t="n">
        <v>0</v>
      </c>
      <c r="D2340" t="n">
        <v>2734</v>
      </c>
      <c r="E2340" t="s">
        <v>2344</v>
      </c>
      <c r="F2340">
        <f>HYPERLINK("http://pbs.twimg.com/media/DXnFityVoAAV2P7.jpg", "http://pbs.twimg.com/media/DXnFityVoAAV2P7.jpg")</f>
        <v/>
      </c>
      <c r="G2340" t="s"/>
      <c r="H2340" t="s"/>
      <c r="I2340" t="s"/>
      <c r="J2340" t="n">
        <v>-0.2263</v>
      </c>
      <c r="K2340" t="n">
        <v>0.08599999999999999</v>
      </c>
      <c r="L2340" t="n">
        <v>0.86</v>
      </c>
      <c r="M2340" t="n">
        <v>0.054</v>
      </c>
    </row>
    <row r="2341" spans="1:13">
      <c r="A2341" s="1">
        <f>HYPERLINK("http://www.twitter.com/NathanBLawrence/status/974217078239473664", "974217078239473664")</f>
        <v/>
      </c>
      <c r="B2341" s="2" t="n">
        <v>43174.39844907408</v>
      </c>
      <c r="C2341" t="n">
        <v>4</v>
      </c>
      <c r="D2341" t="n">
        <v>2</v>
      </c>
      <c r="E2341" t="s">
        <v>2345</v>
      </c>
      <c r="F2341" t="s"/>
      <c r="G2341" t="s"/>
      <c r="H2341" t="s"/>
      <c r="I2341" t="s"/>
      <c r="J2341" t="n">
        <v>0.6369</v>
      </c>
      <c r="K2341" t="n">
        <v>0</v>
      </c>
      <c r="L2341" t="n">
        <v>0.743</v>
      </c>
      <c r="M2341" t="n">
        <v>0.257</v>
      </c>
    </row>
    <row r="2342" spans="1:13">
      <c r="A2342" s="1">
        <f>HYPERLINK("http://www.twitter.com/NathanBLawrence/status/974216550189117440", "974216550189117440")</f>
        <v/>
      </c>
      <c r="B2342" s="2" t="n">
        <v>43174.39699074074</v>
      </c>
      <c r="C2342" t="n">
        <v>28</v>
      </c>
      <c r="D2342" t="n">
        <v>16</v>
      </c>
      <c r="E2342" t="s">
        <v>2346</v>
      </c>
      <c r="F2342" t="s"/>
      <c r="G2342" t="s"/>
      <c r="H2342" t="s"/>
      <c r="I2342" t="s"/>
      <c r="J2342" t="n">
        <v>-0.1027</v>
      </c>
      <c r="K2342" t="n">
        <v>0.161</v>
      </c>
      <c r="L2342" t="n">
        <v>0.657</v>
      </c>
      <c r="M2342" t="n">
        <v>0.182</v>
      </c>
    </row>
    <row r="2343" spans="1:13">
      <c r="A2343" s="1">
        <f>HYPERLINK("http://www.twitter.com/NathanBLawrence/status/974215403864965120", "974215403864965120")</f>
        <v/>
      </c>
      <c r="B2343" s="2" t="n">
        <v>43174.39381944444</v>
      </c>
      <c r="C2343" t="n">
        <v>3</v>
      </c>
      <c r="D2343" t="n">
        <v>1</v>
      </c>
      <c r="E2343" t="s">
        <v>2347</v>
      </c>
      <c r="F2343" t="s"/>
      <c r="G2343" t="s"/>
      <c r="H2343" t="s"/>
      <c r="I2343" t="s"/>
      <c r="J2343" t="n">
        <v>0</v>
      </c>
      <c r="K2343" t="n">
        <v>0</v>
      </c>
      <c r="L2343" t="n">
        <v>1</v>
      </c>
      <c r="M2343" t="n">
        <v>0</v>
      </c>
    </row>
    <row r="2344" spans="1:13">
      <c r="A2344" s="1">
        <f>HYPERLINK("http://www.twitter.com/NathanBLawrence/status/974212759712747520", "974212759712747520")</f>
        <v/>
      </c>
      <c r="B2344" s="2" t="n">
        <v>43174.38652777778</v>
      </c>
      <c r="C2344" t="n">
        <v>0</v>
      </c>
      <c r="D2344" t="n">
        <v>619</v>
      </c>
      <c r="E2344" t="s">
        <v>2348</v>
      </c>
      <c r="F2344">
        <f>HYPERLINK("http://pbs.twimg.com/media/DYROwuFU8AAD76c.jpg", "http://pbs.twimg.com/media/DYROwuFU8AAD76c.jpg")</f>
        <v/>
      </c>
      <c r="G2344" t="s"/>
      <c r="H2344" t="s"/>
      <c r="I2344" t="s"/>
      <c r="J2344" t="n">
        <v>0</v>
      </c>
      <c r="K2344" t="n">
        <v>0</v>
      </c>
      <c r="L2344" t="n">
        <v>1</v>
      </c>
      <c r="M2344" t="n">
        <v>0</v>
      </c>
    </row>
    <row r="2345" spans="1:13">
      <c r="A2345" s="1">
        <f>HYPERLINK("http://www.twitter.com/NathanBLawrence/status/974212584466337792", "974212584466337792")</f>
        <v/>
      </c>
      <c r="B2345" s="2" t="n">
        <v>43174.38604166666</v>
      </c>
      <c r="C2345" t="n">
        <v>0</v>
      </c>
      <c r="D2345" t="n">
        <v>127</v>
      </c>
      <c r="E2345" t="s">
        <v>2349</v>
      </c>
      <c r="F2345" t="s"/>
      <c r="G2345" t="s"/>
      <c r="H2345" t="s"/>
      <c r="I2345" t="s"/>
      <c r="J2345" t="n">
        <v>0</v>
      </c>
      <c r="K2345" t="n">
        <v>0</v>
      </c>
      <c r="L2345" t="n">
        <v>1</v>
      </c>
      <c r="M2345" t="n">
        <v>0</v>
      </c>
    </row>
    <row r="2346" spans="1:13">
      <c r="A2346" s="1">
        <f>HYPERLINK("http://www.twitter.com/NathanBLawrence/status/974212243792515072", "974212243792515072")</f>
        <v/>
      </c>
      <c r="B2346" s="2" t="n">
        <v>43174.38510416666</v>
      </c>
      <c r="C2346" t="n">
        <v>0</v>
      </c>
      <c r="D2346" t="n">
        <v>13</v>
      </c>
      <c r="E2346" t="s">
        <v>2350</v>
      </c>
      <c r="F2346">
        <f>HYPERLINK("http://pbs.twimg.com/media/DWy_GonXkAEGiXE.jpg", "http://pbs.twimg.com/media/DWy_GonXkAEGiXE.jpg")</f>
        <v/>
      </c>
      <c r="G2346" t="s"/>
      <c r="H2346" t="s"/>
      <c r="I2346" t="s"/>
      <c r="J2346" t="n">
        <v>0</v>
      </c>
      <c r="K2346" t="n">
        <v>0</v>
      </c>
      <c r="L2346" t="n">
        <v>1</v>
      </c>
      <c r="M2346" t="n">
        <v>0</v>
      </c>
    </row>
    <row r="2347" spans="1:13">
      <c r="A2347" s="1">
        <f>HYPERLINK("http://www.twitter.com/NathanBLawrence/status/974211921850253312", "974211921850253312")</f>
        <v/>
      </c>
      <c r="B2347" s="2" t="n">
        <v>43174.38421296296</v>
      </c>
      <c r="C2347" t="n">
        <v>0</v>
      </c>
      <c r="D2347" t="n">
        <v>97</v>
      </c>
      <c r="E2347" t="s">
        <v>2351</v>
      </c>
      <c r="F2347" t="s"/>
      <c r="G2347" t="s"/>
      <c r="H2347" t="s"/>
      <c r="I2347" t="s"/>
      <c r="J2347" t="n">
        <v>0</v>
      </c>
      <c r="K2347" t="n">
        <v>0</v>
      </c>
      <c r="L2347" t="n">
        <v>1</v>
      </c>
      <c r="M2347" t="n">
        <v>0</v>
      </c>
    </row>
    <row r="2348" spans="1:13">
      <c r="A2348" s="1">
        <f>HYPERLINK("http://www.twitter.com/NathanBLawrence/status/974211569449025537", "974211569449025537")</f>
        <v/>
      </c>
      <c r="B2348" s="2" t="n">
        <v>43174.38324074074</v>
      </c>
      <c r="C2348" t="n">
        <v>0</v>
      </c>
      <c r="D2348" t="n">
        <v>194</v>
      </c>
      <c r="E2348" t="s">
        <v>2352</v>
      </c>
      <c r="F2348">
        <f>HYPERLINK("http://pbs.twimg.com/media/DYSf7CRVAAAy7eA.jpg", "http://pbs.twimg.com/media/DYSf7CRVAAAy7eA.jpg")</f>
        <v/>
      </c>
      <c r="G2348" t="s"/>
      <c r="H2348" t="s"/>
      <c r="I2348" t="s"/>
      <c r="J2348" t="n">
        <v>0.296</v>
      </c>
      <c r="K2348" t="n">
        <v>0.099</v>
      </c>
      <c r="L2348" t="n">
        <v>0.754</v>
      </c>
      <c r="M2348" t="n">
        <v>0.147</v>
      </c>
    </row>
    <row r="2349" spans="1:13">
      <c r="A2349" s="1">
        <f>HYPERLINK("http://www.twitter.com/NathanBLawrence/status/974211131936944128", "974211131936944128")</f>
        <v/>
      </c>
      <c r="B2349" s="2" t="n">
        <v>43174.38203703704</v>
      </c>
      <c r="C2349" t="n">
        <v>0</v>
      </c>
      <c r="D2349" t="n">
        <v>82</v>
      </c>
      <c r="E2349" t="s">
        <v>2353</v>
      </c>
      <c r="F2349" t="s"/>
      <c r="G2349" t="s"/>
      <c r="H2349" t="s"/>
      <c r="I2349" t="s"/>
      <c r="J2349" t="n">
        <v>0</v>
      </c>
      <c r="K2349" t="n">
        <v>0</v>
      </c>
      <c r="L2349" t="n">
        <v>1</v>
      </c>
      <c r="M2349" t="n">
        <v>0</v>
      </c>
    </row>
    <row r="2350" spans="1:13">
      <c r="A2350" s="1">
        <f>HYPERLINK("http://www.twitter.com/NathanBLawrence/status/974210731200585728", "974210731200585728")</f>
        <v/>
      </c>
      <c r="B2350" s="2" t="n">
        <v>43174.38092592593</v>
      </c>
      <c r="C2350" t="n">
        <v>0</v>
      </c>
      <c r="D2350" t="n">
        <v>32</v>
      </c>
      <c r="E2350" t="s">
        <v>2354</v>
      </c>
      <c r="F2350" t="s"/>
      <c r="G2350" t="s"/>
      <c r="H2350" t="s"/>
      <c r="I2350" t="s"/>
      <c r="J2350" t="n">
        <v>-0.7906</v>
      </c>
      <c r="K2350" t="n">
        <v>0.389</v>
      </c>
      <c r="L2350" t="n">
        <v>0.611</v>
      </c>
      <c r="M2350" t="n">
        <v>0</v>
      </c>
    </row>
    <row r="2351" spans="1:13">
      <c r="A2351" s="1">
        <f>HYPERLINK("http://www.twitter.com/NathanBLawrence/status/974209873746382848", "974209873746382848")</f>
        <v/>
      </c>
      <c r="B2351" s="2" t="n">
        <v>43174.37856481481</v>
      </c>
      <c r="C2351" t="n">
        <v>0</v>
      </c>
      <c r="D2351" t="n">
        <v>1891</v>
      </c>
      <c r="E2351" t="s">
        <v>2355</v>
      </c>
      <c r="F2351">
        <f>HYPERLINK("http://pbs.twimg.com/media/DYQJ6QfVwAM0V5L.jpg", "http://pbs.twimg.com/media/DYQJ6QfVwAM0V5L.jpg")</f>
        <v/>
      </c>
      <c r="G2351" t="s"/>
      <c r="H2351" t="s"/>
      <c r="I2351" t="s"/>
      <c r="J2351" t="n">
        <v>0</v>
      </c>
      <c r="K2351" t="n">
        <v>0</v>
      </c>
      <c r="L2351" t="n">
        <v>1</v>
      </c>
      <c r="M2351" t="n">
        <v>0</v>
      </c>
    </row>
    <row r="2352" spans="1:13">
      <c r="A2352" s="1">
        <f>HYPERLINK("http://www.twitter.com/NathanBLawrence/status/974209765285834752", "974209765285834752")</f>
        <v/>
      </c>
      <c r="B2352" s="2" t="n">
        <v>43174.37826388889</v>
      </c>
      <c r="C2352" t="n">
        <v>0</v>
      </c>
      <c r="D2352" t="n">
        <v>94</v>
      </c>
      <c r="E2352" t="s">
        <v>2356</v>
      </c>
      <c r="F2352" t="s"/>
      <c r="G2352" t="s"/>
      <c r="H2352" t="s"/>
      <c r="I2352" t="s"/>
      <c r="J2352" t="n">
        <v>-0.5574</v>
      </c>
      <c r="K2352" t="n">
        <v>0.217</v>
      </c>
      <c r="L2352" t="n">
        <v>0.783</v>
      </c>
      <c r="M2352" t="n">
        <v>0</v>
      </c>
    </row>
    <row r="2353" spans="1:13">
      <c r="A2353" s="1">
        <f>HYPERLINK("http://www.twitter.com/NathanBLawrence/status/974209658490519552", "974209658490519552")</f>
        <v/>
      </c>
      <c r="B2353" s="2" t="n">
        <v>43174.37797453703</v>
      </c>
      <c r="C2353" t="n">
        <v>0</v>
      </c>
      <c r="D2353" t="n">
        <v>12</v>
      </c>
      <c r="E2353" t="s">
        <v>2357</v>
      </c>
      <c r="F2353">
        <f>HYPERLINK("http://pbs.twimg.com/media/DYUUP32XkAAc5Dv.jpg", "http://pbs.twimg.com/media/DYUUP32XkAAc5Dv.jpg")</f>
        <v/>
      </c>
      <c r="G2353" t="s"/>
      <c r="H2353" t="s"/>
      <c r="I2353" t="s"/>
      <c r="J2353" t="n">
        <v>-0.25</v>
      </c>
      <c r="K2353" t="n">
        <v>0.083</v>
      </c>
      <c r="L2353" t="n">
        <v>0.917</v>
      </c>
      <c r="M2353" t="n">
        <v>0</v>
      </c>
    </row>
    <row r="2354" spans="1:13">
      <c r="A2354" s="1">
        <f>HYPERLINK("http://www.twitter.com/NathanBLawrence/status/974209602068799488", "974209602068799488")</f>
        <v/>
      </c>
      <c r="B2354" s="2" t="n">
        <v>43174.3778125</v>
      </c>
      <c r="C2354" t="n">
        <v>0</v>
      </c>
      <c r="D2354" t="n">
        <v>506</v>
      </c>
      <c r="E2354" t="s">
        <v>2358</v>
      </c>
      <c r="F2354">
        <f>HYPERLINK("http://pbs.twimg.com/media/DYQLNdbXcAINuwc.jpg", "http://pbs.twimg.com/media/DYQLNdbXcAINuwc.jpg")</f>
        <v/>
      </c>
      <c r="G2354" t="s"/>
      <c r="H2354" t="s"/>
      <c r="I2354" t="s"/>
      <c r="J2354" t="n">
        <v>0.2732</v>
      </c>
      <c r="K2354" t="n">
        <v>0</v>
      </c>
      <c r="L2354" t="n">
        <v>0.913</v>
      </c>
      <c r="M2354" t="n">
        <v>0.08699999999999999</v>
      </c>
    </row>
    <row r="2355" spans="1:13">
      <c r="A2355" s="1">
        <f>HYPERLINK("http://www.twitter.com/NathanBLawrence/status/974209557672030208", "974209557672030208")</f>
        <v/>
      </c>
      <c r="B2355" s="2" t="n">
        <v>43174.37769675926</v>
      </c>
      <c r="C2355" t="n">
        <v>0</v>
      </c>
      <c r="D2355" t="n">
        <v>1</v>
      </c>
      <c r="E2355" t="s">
        <v>2359</v>
      </c>
      <c r="F2355">
        <f>HYPERLINK("http://pbs.twimg.com/media/DYUVa91VQAAy6gz.jpg", "http://pbs.twimg.com/media/DYUVa91VQAAy6gz.jpg")</f>
        <v/>
      </c>
      <c r="G2355" t="s"/>
      <c r="H2355" t="s"/>
      <c r="I2355" t="s"/>
      <c r="J2355" t="n">
        <v>0</v>
      </c>
      <c r="K2355" t="n">
        <v>0</v>
      </c>
      <c r="L2355" t="n">
        <v>1</v>
      </c>
      <c r="M2355" t="n">
        <v>0</v>
      </c>
    </row>
    <row r="2356" spans="1:13">
      <c r="A2356" s="1">
        <f>HYPERLINK("http://www.twitter.com/NathanBLawrence/status/974209349030572032", "974209349030572032")</f>
        <v/>
      </c>
      <c r="B2356" s="2" t="n">
        <v>43174.37711805556</v>
      </c>
      <c r="C2356" t="n">
        <v>0</v>
      </c>
      <c r="D2356" t="n">
        <v>2</v>
      </c>
      <c r="E2356" t="s">
        <v>2360</v>
      </c>
      <c r="F2356">
        <f>HYPERLINK("http://pbs.twimg.com/media/DYUVoI6UMAAgQ6w.jpg", "http://pbs.twimg.com/media/DYUVoI6UMAAgQ6w.jpg")</f>
        <v/>
      </c>
      <c r="G2356" t="s"/>
      <c r="H2356" t="s"/>
      <c r="I2356" t="s"/>
      <c r="J2356" t="n">
        <v>0.6696</v>
      </c>
      <c r="K2356" t="n">
        <v>0</v>
      </c>
      <c r="L2356" t="n">
        <v>0.8169999999999999</v>
      </c>
      <c r="M2356" t="n">
        <v>0.183</v>
      </c>
    </row>
    <row r="2357" spans="1:13">
      <c r="A2357" s="1">
        <f>HYPERLINK("http://www.twitter.com/NathanBLawrence/status/974209225927794688", "974209225927794688")</f>
        <v/>
      </c>
      <c r="B2357" s="2" t="n">
        <v>43174.37678240741</v>
      </c>
      <c r="C2357" t="n">
        <v>0</v>
      </c>
      <c r="D2357" t="n">
        <v>1132</v>
      </c>
      <c r="E2357" t="s">
        <v>2361</v>
      </c>
      <c r="F2357">
        <f>HYPERLINK("http://pbs.twimg.com/media/DYSY2uRX4AA7P74.jpg", "http://pbs.twimg.com/media/DYSY2uRX4AA7P74.jpg")</f>
        <v/>
      </c>
      <c r="G2357" t="s"/>
      <c r="H2357" t="s"/>
      <c r="I2357" t="s"/>
      <c r="J2357" t="n">
        <v>0.4215</v>
      </c>
      <c r="K2357" t="n">
        <v>0</v>
      </c>
      <c r="L2357" t="n">
        <v>0.641</v>
      </c>
      <c r="M2357" t="n">
        <v>0.359</v>
      </c>
    </row>
    <row r="2358" spans="1:13">
      <c r="A2358" s="1">
        <f>HYPERLINK("http://www.twitter.com/NathanBLawrence/status/974209106960564224", "974209106960564224")</f>
        <v/>
      </c>
      <c r="B2358" s="2" t="n">
        <v>43174.37644675926</v>
      </c>
      <c r="C2358" t="n">
        <v>0</v>
      </c>
      <c r="D2358" t="n">
        <v>54</v>
      </c>
      <c r="E2358" t="s">
        <v>2362</v>
      </c>
      <c r="F2358">
        <f>HYPERLINK("http://pbs.twimg.com/media/DYUPXTiXUAECUUv.jpg", "http://pbs.twimg.com/media/DYUPXTiXUAECUUv.jpg")</f>
        <v/>
      </c>
      <c r="G2358" t="s"/>
      <c r="H2358" t="s"/>
      <c r="I2358" t="s"/>
      <c r="J2358" t="n">
        <v>-0.719</v>
      </c>
      <c r="K2358" t="n">
        <v>0.269</v>
      </c>
      <c r="L2358" t="n">
        <v>0.731</v>
      </c>
      <c r="M2358" t="n">
        <v>0</v>
      </c>
    </row>
    <row r="2359" spans="1:13">
      <c r="A2359" s="1">
        <f>HYPERLINK("http://www.twitter.com/NathanBLawrence/status/974208913447907328", "974208913447907328")</f>
        <v/>
      </c>
      <c r="B2359" s="2" t="n">
        <v>43174.37591435185</v>
      </c>
      <c r="C2359" t="n">
        <v>5</v>
      </c>
      <c r="D2359" t="n">
        <v>0</v>
      </c>
      <c r="E2359" t="s">
        <v>2363</v>
      </c>
      <c r="F2359" t="s"/>
      <c r="G2359" t="s"/>
      <c r="H2359" t="s"/>
      <c r="I2359" t="s"/>
      <c r="J2359" t="n">
        <v>0</v>
      </c>
      <c r="K2359" t="n">
        <v>0</v>
      </c>
      <c r="L2359" t="n">
        <v>1</v>
      </c>
      <c r="M2359" t="n">
        <v>0</v>
      </c>
    </row>
    <row r="2360" spans="1:13">
      <c r="A2360" s="1">
        <f>HYPERLINK("http://www.twitter.com/NathanBLawrence/status/974208597935534080", "974208597935534080")</f>
        <v/>
      </c>
      <c r="B2360" s="2" t="n">
        <v>43174.3750462963</v>
      </c>
      <c r="C2360" t="n">
        <v>1</v>
      </c>
      <c r="D2360" t="n">
        <v>0</v>
      </c>
      <c r="E2360" t="s">
        <v>2364</v>
      </c>
      <c r="F2360" t="s"/>
      <c r="G2360" t="s"/>
      <c r="H2360" t="s"/>
      <c r="I2360" t="s"/>
      <c r="J2360" t="n">
        <v>0.5574</v>
      </c>
      <c r="K2360" t="n">
        <v>0</v>
      </c>
      <c r="L2360" t="n">
        <v>0.357</v>
      </c>
      <c r="M2360" t="n">
        <v>0.643</v>
      </c>
    </row>
    <row r="2361" spans="1:13">
      <c r="A2361" s="1">
        <f>HYPERLINK("http://www.twitter.com/NathanBLawrence/status/974207840083632128", "974207840083632128")</f>
        <v/>
      </c>
      <c r="B2361" s="2" t="n">
        <v>43174.37295138889</v>
      </c>
      <c r="C2361" t="n">
        <v>8</v>
      </c>
      <c r="D2361" t="n">
        <v>2</v>
      </c>
      <c r="E2361" t="s">
        <v>2365</v>
      </c>
      <c r="F2361" t="s"/>
      <c r="G2361" t="s"/>
      <c r="H2361" t="s"/>
      <c r="I2361" t="s"/>
      <c r="J2361" t="n">
        <v>0</v>
      </c>
      <c r="K2361" t="n">
        <v>0</v>
      </c>
      <c r="L2361" t="n">
        <v>1</v>
      </c>
      <c r="M2361" t="n">
        <v>0</v>
      </c>
    </row>
    <row r="2362" spans="1:13">
      <c r="A2362" s="1">
        <f>HYPERLINK("http://www.twitter.com/NathanBLawrence/status/974202517478301696", "974202517478301696")</f>
        <v/>
      </c>
      <c r="B2362" s="2" t="n">
        <v>43174.35826388889</v>
      </c>
      <c r="C2362" t="n">
        <v>12</v>
      </c>
      <c r="D2362" t="n">
        <v>3</v>
      </c>
      <c r="E2362" t="s">
        <v>2366</v>
      </c>
      <c r="F2362" t="s"/>
      <c r="G2362" t="s"/>
      <c r="H2362" t="s"/>
      <c r="I2362" t="s"/>
      <c r="J2362" t="n">
        <v>0.6369</v>
      </c>
      <c r="K2362" t="n">
        <v>0</v>
      </c>
      <c r="L2362" t="n">
        <v>0.417</v>
      </c>
      <c r="M2362" t="n">
        <v>0.583</v>
      </c>
    </row>
    <row r="2363" spans="1:13">
      <c r="A2363" s="1">
        <f>HYPERLINK("http://www.twitter.com/NathanBLawrence/status/974201445221216256", "974201445221216256")</f>
        <v/>
      </c>
      <c r="B2363" s="2" t="n">
        <v>43174.35530092593</v>
      </c>
      <c r="C2363" t="n">
        <v>2</v>
      </c>
      <c r="D2363" t="n">
        <v>2</v>
      </c>
      <c r="E2363" t="s">
        <v>2367</v>
      </c>
      <c r="F2363" t="s"/>
      <c r="G2363" t="s"/>
      <c r="H2363" t="s"/>
      <c r="I2363" t="s"/>
      <c r="J2363" t="n">
        <v>0</v>
      </c>
      <c r="K2363" t="n">
        <v>0</v>
      </c>
      <c r="L2363" t="n">
        <v>1</v>
      </c>
      <c r="M2363" t="n">
        <v>0</v>
      </c>
    </row>
    <row r="2364" spans="1:13">
      <c r="A2364" s="1">
        <f>HYPERLINK("http://www.twitter.com/NathanBLawrence/status/974201276274696193", "974201276274696193")</f>
        <v/>
      </c>
      <c r="B2364" s="2" t="n">
        <v>43174.35483796296</v>
      </c>
      <c r="C2364" t="n">
        <v>4</v>
      </c>
      <c r="D2364" t="n">
        <v>2</v>
      </c>
      <c r="E2364" t="s">
        <v>2368</v>
      </c>
      <c r="F2364" t="s"/>
      <c r="G2364" t="s"/>
      <c r="H2364" t="s"/>
      <c r="I2364" t="s"/>
      <c r="J2364" t="n">
        <v>0</v>
      </c>
      <c r="K2364" t="n">
        <v>0</v>
      </c>
      <c r="L2364" t="n">
        <v>1</v>
      </c>
      <c r="M2364" t="n">
        <v>0</v>
      </c>
    </row>
    <row r="2365" spans="1:13">
      <c r="A2365" s="1">
        <f>HYPERLINK("http://www.twitter.com/NathanBLawrence/status/974200619085873152", "974200619085873152")</f>
        <v/>
      </c>
      <c r="B2365" s="2" t="n">
        <v>43174.35303240741</v>
      </c>
      <c r="C2365" t="n">
        <v>4</v>
      </c>
      <c r="D2365" t="n">
        <v>1</v>
      </c>
      <c r="E2365" t="s">
        <v>2369</v>
      </c>
      <c r="F2365" t="s"/>
      <c r="G2365" t="s"/>
      <c r="H2365" t="s"/>
      <c r="I2365" t="s"/>
      <c r="J2365" t="n">
        <v>0.6369</v>
      </c>
      <c r="K2365" t="n">
        <v>0</v>
      </c>
      <c r="L2365" t="n">
        <v>0.417</v>
      </c>
      <c r="M2365" t="n">
        <v>0.583</v>
      </c>
    </row>
    <row r="2366" spans="1:13">
      <c r="A2366" s="1">
        <f>HYPERLINK("http://www.twitter.com/NathanBLawrence/status/974199114211602432", "974199114211602432")</f>
        <v/>
      </c>
      <c r="B2366" s="2" t="n">
        <v>43174.34887731481</v>
      </c>
      <c r="C2366" t="n">
        <v>0</v>
      </c>
      <c r="D2366" t="n">
        <v>4</v>
      </c>
      <c r="E2366" t="s">
        <v>2370</v>
      </c>
      <c r="F2366" t="s"/>
      <c r="G2366" t="s"/>
      <c r="H2366" t="s"/>
      <c r="I2366" t="s"/>
      <c r="J2366" t="n">
        <v>0.8016</v>
      </c>
      <c r="K2366" t="n">
        <v>0</v>
      </c>
      <c r="L2366" t="n">
        <v>0.6870000000000001</v>
      </c>
      <c r="M2366" t="n">
        <v>0.313</v>
      </c>
    </row>
    <row r="2367" spans="1:13">
      <c r="A2367" s="1">
        <f>HYPERLINK("http://www.twitter.com/NathanBLawrence/status/974198633061957632", "974198633061957632")</f>
        <v/>
      </c>
      <c r="B2367" s="2" t="n">
        <v>43174.3475462963</v>
      </c>
      <c r="C2367" t="n">
        <v>0</v>
      </c>
      <c r="D2367" t="n">
        <v>14</v>
      </c>
      <c r="E2367" t="s">
        <v>2371</v>
      </c>
      <c r="F2367">
        <f>HYPERLINK("http://pbs.twimg.com/media/DYOwNI5XcAA8rgw.jpg", "http://pbs.twimg.com/media/DYOwNI5XcAA8rgw.jpg")</f>
        <v/>
      </c>
      <c r="G2367" t="s"/>
      <c r="H2367" t="s"/>
      <c r="I2367" t="s"/>
      <c r="J2367" t="n">
        <v>0</v>
      </c>
      <c r="K2367" t="n">
        <v>0</v>
      </c>
      <c r="L2367" t="n">
        <v>1</v>
      </c>
      <c r="M2367" t="n">
        <v>0</v>
      </c>
    </row>
    <row r="2368" spans="1:13">
      <c r="A2368" s="1">
        <f>HYPERLINK("http://www.twitter.com/NathanBLawrence/status/974198553487683584", "974198553487683584")</f>
        <v/>
      </c>
      <c r="B2368" s="2" t="n">
        <v>43174.34732638889</v>
      </c>
      <c r="C2368" t="n">
        <v>0</v>
      </c>
      <c r="D2368" t="n">
        <v>7</v>
      </c>
      <c r="E2368" t="s">
        <v>2372</v>
      </c>
      <c r="F2368">
        <f>HYPERLINK("http://pbs.twimg.com/media/DYUMFLrX4AAfGwY.jpg", "http://pbs.twimg.com/media/DYUMFLrX4AAfGwY.jpg")</f>
        <v/>
      </c>
      <c r="G2368" t="s"/>
      <c r="H2368" t="s"/>
      <c r="I2368" t="s"/>
      <c r="J2368" t="n">
        <v>0</v>
      </c>
      <c r="K2368" t="n">
        <v>0</v>
      </c>
      <c r="L2368" t="n">
        <v>1</v>
      </c>
      <c r="M2368" t="n">
        <v>0</v>
      </c>
    </row>
    <row r="2369" spans="1:13">
      <c r="A2369" s="1">
        <f>HYPERLINK("http://www.twitter.com/NathanBLawrence/status/974011362786525184", "974011362786525184")</f>
        <v/>
      </c>
      <c r="B2369" s="2" t="n">
        <v>43173.83077546296</v>
      </c>
      <c r="C2369" t="n">
        <v>4</v>
      </c>
      <c r="D2369" t="n">
        <v>2</v>
      </c>
      <c r="E2369" t="s">
        <v>2373</v>
      </c>
      <c r="F2369" t="s"/>
      <c r="G2369" t="s"/>
      <c r="H2369" t="s"/>
      <c r="I2369" t="s"/>
      <c r="J2369" t="n">
        <v>0.6369</v>
      </c>
      <c r="K2369" t="n">
        <v>0</v>
      </c>
      <c r="L2369" t="n">
        <v>0.794</v>
      </c>
      <c r="M2369" t="n">
        <v>0.206</v>
      </c>
    </row>
    <row r="2370" spans="1:13">
      <c r="A2370" s="1">
        <f>HYPERLINK("http://www.twitter.com/NathanBLawrence/status/974005459991412738", "974005459991412738")</f>
        <v/>
      </c>
      <c r="B2370" s="2" t="n">
        <v>43173.81449074074</v>
      </c>
      <c r="C2370" t="n">
        <v>12</v>
      </c>
      <c r="D2370" t="n">
        <v>6</v>
      </c>
      <c r="E2370" t="s">
        <v>2374</v>
      </c>
      <c r="F2370" t="s"/>
      <c r="G2370" t="s"/>
      <c r="H2370" t="s"/>
      <c r="I2370" t="s"/>
      <c r="J2370" t="n">
        <v>0</v>
      </c>
      <c r="K2370" t="n">
        <v>0</v>
      </c>
      <c r="L2370" t="n">
        <v>1</v>
      </c>
      <c r="M2370" t="n">
        <v>0</v>
      </c>
    </row>
    <row r="2371" spans="1:13">
      <c r="A2371" s="1">
        <f>HYPERLINK("http://www.twitter.com/NathanBLawrence/status/973964464650272768", "973964464650272768")</f>
        <v/>
      </c>
      <c r="B2371" s="2" t="n">
        <v>43173.70136574074</v>
      </c>
      <c r="C2371" t="n">
        <v>5</v>
      </c>
      <c r="D2371" t="n">
        <v>2</v>
      </c>
      <c r="E2371" t="s">
        <v>2375</v>
      </c>
      <c r="F2371" t="s"/>
      <c r="G2371" t="s"/>
      <c r="H2371" t="s"/>
      <c r="I2371" t="s"/>
      <c r="J2371" t="n">
        <v>0.6792</v>
      </c>
      <c r="K2371" t="n">
        <v>0</v>
      </c>
      <c r="L2371" t="n">
        <v>0.805</v>
      </c>
      <c r="M2371" t="n">
        <v>0.195</v>
      </c>
    </row>
    <row r="2372" spans="1:13">
      <c r="A2372" s="1">
        <f>HYPERLINK("http://www.twitter.com/NathanBLawrence/status/973845836516950017", "973845836516950017")</f>
        <v/>
      </c>
      <c r="B2372" s="2" t="n">
        <v>43173.37401620371</v>
      </c>
      <c r="C2372" t="n">
        <v>23</v>
      </c>
      <c r="D2372" t="n">
        <v>8</v>
      </c>
      <c r="E2372" t="s">
        <v>2376</v>
      </c>
      <c r="F2372" t="s"/>
      <c r="G2372" t="s"/>
      <c r="H2372" t="s"/>
      <c r="I2372" t="s"/>
      <c r="J2372" t="n">
        <v>0</v>
      </c>
      <c r="K2372" t="n">
        <v>0</v>
      </c>
      <c r="L2372" t="n">
        <v>1</v>
      </c>
      <c r="M2372" t="n">
        <v>0</v>
      </c>
    </row>
    <row r="2373" spans="1:13">
      <c r="A2373" s="1">
        <f>HYPERLINK("http://www.twitter.com/NathanBLawrence/status/973832986604068865", "973832986604068865")</f>
        <v/>
      </c>
      <c r="B2373" s="2" t="n">
        <v>43173.33855324074</v>
      </c>
      <c r="C2373" t="n">
        <v>0</v>
      </c>
      <c r="D2373" t="n">
        <v>888</v>
      </c>
      <c r="E2373" t="s">
        <v>2377</v>
      </c>
      <c r="F2373">
        <f>HYPERLINK("http://pbs.twimg.com/media/DYMts7YVMAA5gVt.jpg", "http://pbs.twimg.com/media/DYMts7YVMAA5gVt.jpg")</f>
        <v/>
      </c>
      <c r="G2373" t="s"/>
      <c r="H2373" t="s"/>
      <c r="I2373" t="s"/>
      <c r="J2373" t="n">
        <v>0.7359</v>
      </c>
      <c r="K2373" t="n">
        <v>0</v>
      </c>
      <c r="L2373" t="n">
        <v>0.535</v>
      </c>
      <c r="M2373" t="n">
        <v>0.465</v>
      </c>
    </row>
    <row r="2374" spans="1:13">
      <c r="A2374" s="1">
        <f>HYPERLINK("http://www.twitter.com/NathanBLawrence/status/973832888054702081", "973832888054702081")</f>
        <v/>
      </c>
      <c r="B2374" s="2" t="n">
        <v>43173.33828703704</v>
      </c>
      <c r="C2374" t="n">
        <v>0</v>
      </c>
      <c r="D2374" t="n">
        <v>6</v>
      </c>
      <c r="E2374" t="s">
        <v>2378</v>
      </c>
      <c r="F2374">
        <f>HYPERLINK("http://pbs.twimg.com/media/DYO_UQBX0AEHwZZ.jpg", "http://pbs.twimg.com/media/DYO_UQBX0AEHwZZ.jpg")</f>
        <v/>
      </c>
      <c r="G2374" t="s"/>
      <c r="H2374" t="s"/>
      <c r="I2374" t="s"/>
      <c r="J2374" t="n">
        <v>0</v>
      </c>
      <c r="K2374" t="n">
        <v>0</v>
      </c>
      <c r="L2374" t="n">
        <v>1</v>
      </c>
      <c r="M2374" t="n">
        <v>0</v>
      </c>
    </row>
    <row r="2375" spans="1:13">
      <c r="A2375" s="1">
        <f>HYPERLINK("http://www.twitter.com/NathanBLawrence/status/973832834988302336", "973832834988302336")</f>
        <v/>
      </c>
      <c r="B2375" s="2" t="n">
        <v>43173.33813657407</v>
      </c>
      <c r="C2375" t="n">
        <v>0</v>
      </c>
      <c r="D2375" t="n">
        <v>1</v>
      </c>
      <c r="E2375" t="s">
        <v>2379</v>
      </c>
      <c r="F2375">
        <f>HYPERLINK("https://video.twimg.com/amplify_video/966412685578461184/vid/1280x720/Udw7ye-PeupugB7E.mp4", "https://video.twimg.com/amplify_video/966412685578461184/vid/1280x720/Udw7ye-PeupugB7E.mp4")</f>
        <v/>
      </c>
      <c r="G2375" t="s"/>
      <c r="H2375" t="s"/>
      <c r="I2375" t="s"/>
      <c r="J2375" t="n">
        <v>0.6369</v>
      </c>
      <c r="K2375" t="n">
        <v>0</v>
      </c>
      <c r="L2375" t="n">
        <v>0.724</v>
      </c>
      <c r="M2375" t="n">
        <v>0.276</v>
      </c>
    </row>
    <row r="2376" spans="1:13">
      <c r="A2376" s="1">
        <f>HYPERLINK("http://www.twitter.com/NathanBLawrence/status/973832676934389760", "973832676934389760")</f>
        <v/>
      </c>
      <c r="B2376" s="2" t="n">
        <v>43173.33769675926</v>
      </c>
      <c r="C2376" t="n">
        <v>0</v>
      </c>
      <c r="D2376" t="n">
        <v>484</v>
      </c>
      <c r="E2376" t="s">
        <v>2380</v>
      </c>
      <c r="F2376">
        <f>HYPERLINK("http://pbs.twimg.com/media/DYKnbIKVoAAbNwX.jpg", "http://pbs.twimg.com/media/DYKnbIKVoAAbNwX.jpg")</f>
        <v/>
      </c>
      <c r="G2376" t="s"/>
      <c r="H2376" t="s"/>
      <c r="I2376" t="s"/>
      <c r="J2376" t="n">
        <v>0</v>
      </c>
      <c r="K2376" t="n">
        <v>0</v>
      </c>
      <c r="L2376" t="n">
        <v>1</v>
      </c>
      <c r="M2376" t="n">
        <v>0</v>
      </c>
    </row>
    <row r="2377" spans="1:13">
      <c r="A2377" s="1">
        <f>HYPERLINK("http://www.twitter.com/NathanBLawrence/status/973827731250208770", "973827731250208770")</f>
        <v/>
      </c>
      <c r="B2377" s="2" t="n">
        <v>43173.32405092593</v>
      </c>
      <c r="C2377" t="n">
        <v>24</v>
      </c>
      <c r="D2377" t="n">
        <v>9</v>
      </c>
      <c r="E2377" t="s">
        <v>2381</v>
      </c>
      <c r="F2377">
        <f>HYPERLINK("http://pbs.twimg.com/media/DYO7GKqWsAcwSHb.jpg", "http://pbs.twimg.com/media/DYO7GKqWsAcwSHb.jpg")</f>
        <v/>
      </c>
      <c r="G2377" t="s"/>
      <c r="H2377" t="s"/>
      <c r="I2377" t="s"/>
      <c r="J2377" t="n">
        <v>0</v>
      </c>
      <c r="K2377" t="n">
        <v>0</v>
      </c>
      <c r="L2377" t="n">
        <v>1</v>
      </c>
      <c r="M2377" t="n">
        <v>0</v>
      </c>
    </row>
    <row r="2378" spans="1:13">
      <c r="A2378" s="1">
        <f>HYPERLINK("http://www.twitter.com/NathanBLawrence/status/973826830250790912", "973826830250790912")</f>
        <v/>
      </c>
      <c r="B2378" s="2" t="n">
        <v>43173.3215625</v>
      </c>
      <c r="C2378" t="n">
        <v>0</v>
      </c>
      <c r="D2378" t="n">
        <v>994</v>
      </c>
      <c r="E2378" t="s">
        <v>2382</v>
      </c>
      <c r="F2378">
        <f>HYPERLINK("http://pbs.twimg.com/media/DYLN85uVAAAKrlf.jpg", "http://pbs.twimg.com/media/DYLN85uVAAAKrlf.jpg")</f>
        <v/>
      </c>
      <c r="G2378" t="s"/>
      <c r="H2378" t="s"/>
      <c r="I2378" t="s"/>
      <c r="J2378" t="n">
        <v>0</v>
      </c>
      <c r="K2378" t="n">
        <v>0</v>
      </c>
      <c r="L2378" t="n">
        <v>1</v>
      </c>
      <c r="M2378" t="n">
        <v>0</v>
      </c>
    </row>
    <row r="2379" spans="1:13">
      <c r="A2379" s="1">
        <f>HYPERLINK("http://www.twitter.com/NathanBLawrence/status/973826779076091904", "973826779076091904")</f>
        <v/>
      </c>
      <c r="B2379" s="2" t="n">
        <v>43173.32142361111</v>
      </c>
      <c r="C2379" t="n">
        <v>0</v>
      </c>
      <c r="D2379" t="n">
        <v>61</v>
      </c>
      <c r="E2379" t="s">
        <v>2383</v>
      </c>
      <c r="F2379">
        <f>HYPERLINK("http://pbs.twimg.com/media/DYKs3StWkAUGhvO.jpg", "http://pbs.twimg.com/media/DYKs3StWkAUGhvO.jpg")</f>
        <v/>
      </c>
      <c r="G2379" t="s"/>
      <c r="H2379" t="s"/>
      <c r="I2379" t="s"/>
      <c r="J2379" t="n">
        <v>0</v>
      </c>
      <c r="K2379" t="n">
        <v>0</v>
      </c>
      <c r="L2379" t="n">
        <v>1</v>
      </c>
      <c r="M2379" t="n">
        <v>0</v>
      </c>
    </row>
    <row r="2380" spans="1:13">
      <c r="A2380" s="1">
        <f>HYPERLINK("http://www.twitter.com/NathanBLawrence/status/973826363797983232", "973826363797983232")</f>
        <v/>
      </c>
      <c r="B2380" s="2" t="n">
        <v>43173.32027777778</v>
      </c>
      <c r="C2380" t="n">
        <v>0</v>
      </c>
      <c r="D2380" t="n">
        <v>16597</v>
      </c>
      <c r="E2380" t="s">
        <v>2384</v>
      </c>
      <c r="F2380">
        <f>HYPERLINK("http://pbs.twimg.com/media/DYLPhyVVMAAm9KC.jpg", "http://pbs.twimg.com/media/DYLPhyVVMAAm9KC.jpg")</f>
        <v/>
      </c>
      <c r="G2380" t="s"/>
      <c r="H2380" t="s"/>
      <c r="I2380" t="s"/>
      <c r="J2380" t="n">
        <v>0</v>
      </c>
      <c r="K2380" t="n">
        <v>0</v>
      </c>
      <c r="L2380" t="n">
        <v>1</v>
      </c>
      <c r="M2380" t="n">
        <v>0</v>
      </c>
    </row>
    <row r="2381" spans="1:13">
      <c r="A2381" s="1">
        <f>HYPERLINK("http://www.twitter.com/NathanBLawrence/status/973826256268677120", "973826256268677120")</f>
        <v/>
      </c>
      <c r="B2381" s="2" t="n">
        <v>43173.31997685185</v>
      </c>
      <c r="C2381" t="n">
        <v>0</v>
      </c>
      <c r="D2381" t="n">
        <v>67</v>
      </c>
      <c r="E2381" t="s">
        <v>2385</v>
      </c>
      <c r="F2381">
        <f>HYPERLINK("http://pbs.twimg.com/media/DYNM18tUMAMntqa.jpg", "http://pbs.twimg.com/media/DYNM18tUMAMntqa.jpg")</f>
        <v/>
      </c>
      <c r="G2381" t="s"/>
      <c r="H2381" t="s"/>
      <c r="I2381" t="s"/>
      <c r="J2381" t="n">
        <v>0</v>
      </c>
      <c r="K2381" t="n">
        <v>0</v>
      </c>
      <c r="L2381" t="n">
        <v>1</v>
      </c>
      <c r="M2381" t="n">
        <v>0</v>
      </c>
    </row>
    <row r="2382" spans="1:13">
      <c r="A2382" s="1">
        <f>HYPERLINK("http://www.twitter.com/NathanBLawrence/status/973826082096009217", "973826082096009217")</f>
        <v/>
      </c>
      <c r="B2382" s="2" t="n">
        <v>43173.31950231481</v>
      </c>
      <c r="C2382" t="n">
        <v>0</v>
      </c>
      <c r="D2382" t="n">
        <v>25740</v>
      </c>
      <c r="E2382" t="s">
        <v>2386</v>
      </c>
      <c r="F2382">
        <f>HYPERLINK("https://video.twimg.com/ext_tw_video/973684685359300608/pu/vid/1280x720/gctGbHCN_Z3K3rW0.mp4", "https://video.twimg.com/ext_tw_video/973684685359300608/pu/vid/1280x720/gctGbHCN_Z3K3rW0.mp4")</f>
        <v/>
      </c>
      <c r="G2382" t="s"/>
      <c r="H2382" t="s"/>
      <c r="I2382" t="s"/>
      <c r="J2382" t="n">
        <v>0</v>
      </c>
      <c r="K2382" t="n">
        <v>0</v>
      </c>
      <c r="L2382" t="n">
        <v>1</v>
      </c>
      <c r="M2382" t="n">
        <v>0</v>
      </c>
    </row>
    <row r="2383" spans="1:13">
      <c r="A2383" s="1">
        <f>HYPERLINK("http://www.twitter.com/NathanBLawrence/status/973824819669192705", "973824819669192705")</f>
        <v/>
      </c>
      <c r="B2383" s="2" t="n">
        <v>43173.31601851852</v>
      </c>
      <c r="C2383" t="n">
        <v>0</v>
      </c>
      <c r="D2383" t="n">
        <v>58</v>
      </c>
      <c r="E2383" t="s">
        <v>2387</v>
      </c>
      <c r="F2383">
        <f>HYPERLINK("http://pbs.twimg.com/media/DYO2058XkAAg36a.jpg", "http://pbs.twimg.com/media/DYO2058XkAAg36a.jpg")</f>
        <v/>
      </c>
      <c r="G2383" t="s"/>
      <c r="H2383" t="s"/>
      <c r="I2383" t="s"/>
      <c r="J2383" t="n">
        <v>0</v>
      </c>
      <c r="K2383" t="n">
        <v>0</v>
      </c>
      <c r="L2383" t="n">
        <v>1</v>
      </c>
      <c r="M2383" t="n">
        <v>0</v>
      </c>
    </row>
    <row r="2384" spans="1:13">
      <c r="A2384" s="1">
        <f>HYPERLINK("http://www.twitter.com/NathanBLawrence/status/973824658775605248", "973824658775605248")</f>
        <v/>
      </c>
      <c r="B2384" s="2" t="n">
        <v>43173.3155787037</v>
      </c>
      <c r="C2384" t="n">
        <v>0</v>
      </c>
      <c r="D2384" t="n">
        <v>244</v>
      </c>
      <c r="E2384" t="s">
        <v>2388</v>
      </c>
      <c r="F2384">
        <f>HYPERLINK("http://pbs.twimg.com/media/DYIzT8kVoAAYvhR.jpg", "http://pbs.twimg.com/media/DYIzT8kVoAAYvhR.jpg")</f>
        <v/>
      </c>
      <c r="G2384" t="s"/>
      <c r="H2384" t="s"/>
      <c r="I2384" t="s"/>
      <c r="J2384" t="n">
        <v>0</v>
      </c>
      <c r="K2384" t="n">
        <v>0</v>
      </c>
      <c r="L2384" t="n">
        <v>1</v>
      </c>
      <c r="M2384" t="n">
        <v>0</v>
      </c>
    </row>
    <row r="2385" spans="1:13">
      <c r="A2385" s="1">
        <f>HYPERLINK("http://www.twitter.com/NathanBLawrence/status/973769442910875648", "973769442910875648")</f>
        <v/>
      </c>
      <c r="B2385" s="2" t="n">
        <v>43173.16320601852</v>
      </c>
      <c r="C2385" t="n">
        <v>11</v>
      </c>
      <c r="D2385" t="n">
        <v>6</v>
      </c>
      <c r="E2385" t="s">
        <v>2389</v>
      </c>
      <c r="F2385" t="s"/>
      <c r="G2385" t="s"/>
      <c r="H2385" t="s"/>
      <c r="I2385" t="s"/>
      <c r="J2385" t="n">
        <v>0.3595</v>
      </c>
      <c r="K2385" t="n">
        <v>0</v>
      </c>
      <c r="L2385" t="n">
        <v>0.906</v>
      </c>
      <c r="M2385" t="n">
        <v>0.094</v>
      </c>
    </row>
    <row r="2386" spans="1:13">
      <c r="A2386" s="1">
        <f>HYPERLINK("http://www.twitter.com/NathanBLawrence/status/973768017132666880", "973768017132666880")</f>
        <v/>
      </c>
      <c r="B2386" s="2" t="n">
        <v>43173.15927083333</v>
      </c>
      <c r="C2386" t="n">
        <v>0</v>
      </c>
      <c r="D2386" t="n">
        <v>15</v>
      </c>
      <c r="E2386" t="s">
        <v>2390</v>
      </c>
      <c r="F2386" t="s"/>
      <c r="G2386" t="s"/>
      <c r="H2386" t="s"/>
      <c r="I2386" t="s"/>
      <c r="J2386" t="n">
        <v>0</v>
      </c>
      <c r="K2386" t="n">
        <v>0</v>
      </c>
      <c r="L2386" t="n">
        <v>1</v>
      </c>
      <c r="M2386" t="n">
        <v>0</v>
      </c>
    </row>
    <row r="2387" spans="1:13">
      <c r="A2387" s="1">
        <f>HYPERLINK("http://www.twitter.com/NathanBLawrence/status/973767813167853568", "973767813167853568")</f>
        <v/>
      </c>
      <c r="B2387" s="2" t="n">
        <v>43173.15871527778</v>
      </c>
      <c r="C2387" t="n">
        <v>7</v>
      </c>
      <c r="D2387" t="n">
        <v>4</v>
      </c>
      <c r="E2387" t="s">
        <v>2391</v>
      </c>
      <c r="F2387" t="s"/>
      <c r="G2387" t="s"/>
      <c r="H2387" t="s"/>
      <c r="I2387" t="s"/>
      <c r="J2387" t="n">
        <v>0.8168</v>
      </c>
      <c r="K2387" t="n">
        <v>0</v>
      </c>
      <c r="L2387" t="n">
        <v>0.702</v>
      </c>
      <c r="M2387" t="n">
        <v>0.298</v>
      </c>
    </row>
    <row r="2388" spans="1:13">
      <c r="A2388" s="1">
        <f>HYPERLINK("http://www.twitter.com/NathanBLawrence/status/973766375989792769", "973766375989792769")</f>
        <v/>
      </c>
      <c r="B2388" s="2" t="n">
        <v>43173.15474537037</v>
      </c>
      <c r="C2388" t="n">
        <v>3</v>
      </c>
      <c r="D2388" t="n">
        <v>0</v>
      </c>
      <c r="E2388" t="s">
        <v>2392</v>
      </c>
      <c r="F2388" t="s"/>
      <c r="G2388" t="s"/>
      <c r="H2388" t="s"/>
      <c r="I2388" t="s"/>
      <c r="J2388" t="n">
        <v>0.4767</v>
      </c>
      <c r="K2388" t="n">
        <v>0</v>
      </c>
      <c r="L2388" t="n">
        <v>0.846</v>
      </c>
      <c r="M2388" t="n">
        <v>0.154</v>
      </c>
    </row>
    <row r="2389" spans="1:13">
      <c r="A2389" s="1">
        <f>HYPERLINK("http://www.twitter.com/NathanBLawrence/status/973763626078109696", "973763626078109696")</f>
        <v/>
      </c>
      <c r="B2389" s="2" t="n">
        <v>43173.14715277778</v>
      </c>
      <c r="C2389" t="n">
        <v>5</v>
      </c>
      <c r="D2389" t="n">
        <v>1</v>
      </c>
      <c r="E2389" t="s">
        <v>2393</v>
      </c>
      <c r="F2389" t="s"/>
      <c r="G2389" t="s"/>
      <c r="H2389" t="s"/>
      <c r="I2389" t="s"/>
      <c r="J2389" t="n">
        <v>0</v>
      </c>
      <c r="K2389" t="n">
        <v>0</v>
      </c>
      <c r="L2389" t="n">
        <v>1</v>
      </c>
      <c r="M2389" t="n">
        <v>0</v>
      </c>
    </row>
    <row r="2390" spans="1:13">
      <c r="A2390" s="1">
        <f>HYPERLINK("http://www.twitter.com/NathanBLawrence/status/973494768436109313", "973494768436109313")</f>
        <v/>
      </c>
      <c r="B2390" s="2" t="n">
        <v>43172.40525462963</v>
      </c>
      <c r="C2390" t="n">
        <v>0</v>
      </c>
      <c r="D2390" t="n">
        <v>2452</v>
      </c>
      <c r="E2390" t="s">
        <v>2394</v>
      </c>
      <c r="F2390">
        <f>HYPERLINK("https://video.twimg.com/ext_tw_video/973284921438621696/pu/vid/516x360/x-pwyLTcAB1kXBmJ.mp4", "https://video.twimg.com/ext_tw_video/973284921438621696/pu/vid/516x360/x-pwyLTcAB1kXBmJ.mp4")</f>
        <v/>
      </c>
      <c r="G2390" t="s"/>
      <c r="H2390" t="s"/>
      <c r="I2390" t="s"/>
      <c r="J2390" t="n">
        <v>0</v>
      </c>
      <c r="K2390" t="n">
        <v>0</v>
      </c>
      <c r="L2390" t="n">
        <v>1</v>
      </c>
      <c r="M2390" t="n">
        <v>0</v>
      </c>
    </row>
    <row r="2391" spans="1:13">
      <c r="A2391" s="1">
        <f>HYPERLINK("http://www.twitter.com/NathanBLawrence/status/973494482728439808", "973494482728439808")</f>
        <v/>
      </c>
      <c r="B2391" s="2" t="n">
        <v>43172.40445601852</v>
      </c>
      <c r="C2391" t="n">
        <v>0</v>
      </c>
      <c r="D2391" t="n">
        <v>307</v>
      </c>
      <c r="E2391" t="s">
        <v>2395</v>
      </c>
      <c r="F2391" t="s"/>
      <c r="G2391" t="s"/>
      <c r="H2391" t="s"/>
      <c r="I2391" t="s"/>
      <c r="J2391" t="n">
        <v>-0.9413</v>
      </c>
      <c r="K2391" t="n">
        <v>0.514</v>
      </c>
      <c r="L2391" t="n">
        <v>0.486</v>
      </c>
      <c r="M2391" t="n">
        <v>0</v>
      </c>
    </row>
    <row r="2392" spans="1:13">
      <c r="A2392" s="1">
        <f>HYPERLINK("http://www.twitter.com/NathanBLawrence/status/973480535535206406", "973480535535206406")</f>
        <v/>
      </c>
      <c r="B2392" s="2" t="n">
        <v>43172.36597222222</v>
      </c>
      <c r="C2392" t="n">
        <v>0</v>
      </c>
      <c r="D2392" t="n">
        <v>1331</v>
      </c>
      <c r="E2392" t="s">
        <v>2396</v>
      </c>
      <c r="F2392">
        <f>HYPERLINK("http://pbs.twimg.com/media/DYIGgkcVwAATBy5.jpg", "http://pbs.twimg.com/media/DYIGgkcVwAATBy5.jpg")</f>
        <v/>
      </c>
      <c r="G2392" t="s"/>
      <c r="H2392" t="s"/>
      <c r="I2392" t="s"/>
      <c r="J2392" t="n">
        <v>0.9098000000000001</v>
      </c>
      <c r="K2392" t="n">
        <v>0</v>
      </c>
      <c r="L2392" t="n">
        <v>0.59</v>
      </c>
      <c r="M2392" t="n">
        <v>0.41</v>
      </c>
    </row>
    <row r="2393" spans="1:13">
      <c r="A2393" s="1">
        <f>HYPERLINK("http://www.twitter.com/NathanBLawrence/status/973480252088377344", "973480252088377344")</f>
        <v/>
      </c>
      <c r="B2393" s="2" t="n">
        <v>43172.36519675926</v>
      </c>
      <c r="C2393" t="n">
        <v>0</v>
      </c>
      <c r="D2393" t="n">
        <v>598</v>
      </c>
      <c r="E2393" t="s">
        <v>2397</v>
      </c>
      <c r="F2393">
        <f>HYPERLINK("http://pbs.twimg.com/media/DYIcl2rVoAEqHDD.jpg", "http://pbs.twimg.com/media/DYIcl2rVoAEqHDD.jpg")</f>
        <v/>
      </c>
      <c r="G2393" t="s"/>
      <c r="H2393" t="s"/>
      <c r="I2393" t="s"/>
      <c r="J2393" t="n">
        <v>-0.7213000000000001</v>
      </c>
      <c r="K2393" t="n">
        <v>0.268</v>
      </c>
      <c r="L2393" t="n">
        <v>0.631</v>
      </c>
      <c r="M2393" t="n">
        <v>0.101</v>
      </c>
    </row>
    <row r="2394" spans="1:13">
      <c r="A2394" s="1">
        <f>HYPERLINK("http://www.twitter.com/NathanBLawrence/status/973479875888652289", "973479875888652289")</f>
        <v/>
      </c>
      <c r="B2394" s="2" t="n">
        <v>43172.36415509259</v>
      </c>
      <c r="C2394" t="n">
        <v>0</v>
      </c>
      <c r="D2394" t="n">
        <v>2915</v>
      </c>
      <c r="E2394" t="s">
        <v>2398</v>
      </c>
      <c r="F2394" t="s"/>
      <c r="G2394" t="s"/>
      <c r="H2394" t="s"/>
      <c r="I2394" t="s"/>
      <c r="J2394" t="n">
        <v>0.2263</v>
      </c>
      <c r="K2394" t="n">
        <v>0.114</v>
      </c>
      <c r="L2394" t="n">
        <v>0.725</v>
      </c>
      <c r="M2394" t="n">
        <v>0.161</v>
      </c>
    </row>
    <row r="2395" spans="1:13">
      <c r="A2395" s="1">
        <f>HYPERLINK("http://www.twitter.com/NathanBLawrence/status/973479706208055296", "973479706208055296")</f>
        <v/>
      </c>
      <c r="B2395" s="2" t="n">
        <v>43172.36368055556</v>
      </c>
      <c r="C2395" t="n">
        <v>0</v>
      </c>
      <c r="D2395" t="n">
        <v>14</v>
      </c>
      <c r="E2395" t="s">
        <v>2399</v>
      </c>
      <c r="F2395">
        <f>HYPERLINK("http://pbs.twimg.com/media/DYJ9YbAWkAA9u2h.jpg", "http://pbs.twimg.com/media/DYJ9YbAWkAA9u2h.jpg")</f>
        <v/>
      </c>
      <c r="G2395" t="s"/>
      <c r="H2395" t="s"/>
      <c r="I2395" t="s"/>
      <c r="J2395" t="n">
        <v>0.296</v>
      </c>
      <c r="K2395" t="n">
        <v>0</v>
      </c>
      <c r="L2395" t="n">
        <v>0.901</v>
      </c>
      <c r="M2395" t="n">
        <v>0.099</v>
      </c>
    </row>
    <row r="2396" spans="1:13">
      <c r="A2396" s="1">
        <f>HYPERLINK("http://www.twitter.com/NathanBLawrence/status/973479651271000065", "973479651271000065")</f>
        <v/>
      </c>
      <c r="B2396" s="2" t="n">
        <v>43172.3635300926</v>
      </c>
      <c r="C2396" t="n">
        <v>0</v>
      </c>
      <c r="D2396" t="n">
        <v>87</v>
      </c>
      <c r="E2396" t="s">
        <v>2400</v>
      </c>
      <c r="F2396">
        <f>HYPERLINK("http://pbs.twimg.com/media/DYHjv2uW4AAv0bH.jpg", "http://pbs.twimg.com/media/DYHjv2uW4AAv0bH.jpg")</f>
        <v/>
      </c>
      <c r="G2396" t="s"/>
      <c r="H2396" t="s"/>
      <c r="I2396" t="s"/>
      <c r="J2396" t="n">
        <v>-0.3301</v>
      </c>
      <c r="K2396" t="n">
        <v>0.185</v>
      </c>
      <c r="L2396" t="n">
        <v>0.672</v>
      </c>
      <c r="M2396" t="n">
        <v>0.143</v>
      </c>
    </row>
    <row r="2397" spans="1:13">
      <c r="A2397" s="1">
        <f>HYPERLINK("http://www.twitter.com/NathanBLawrence/status/973479390381096961", "973479390381096961")</f>
        <v/>
      </c>
      <c r="B2397" s="2" t="n">
        <v>43172.3628125</v>
      </c>
      <c r="C2397" t="n">
        <v>0</v>
      </c>
      <c r="D2397" t="n">
        <v>116</v>
      </c>
      <c r="E2397" t="s">
        <v>2401</v>
      </c>
      <c r="F2397">
        <f>HYPERLINK("http://pbs.twimg.com/media/DYJzt3JX0AAmjtR.jpg", "http://pbs.twimg.com/media/DYJzt3JX0AAmjtR.jpg")</f>
        <v/>
      </c>
      <c r="G2397" t="s"/>
      <c r="H2397" t="s"/>
      <c r="I2397" t="s"/>
      <c r="J2397" t="n">
        <v>0</v>
      </c>
      <c r="K2397" t="n">
        <v>0</v>
      </c>
      <c r="L2397" t="n">
        <v>1</v>
      </c>
      <c r="M2397" t="n">
        <v>0</v>
      </c>
    </row>
    <row r="2398" spans="1:13">
      <c r="A2398" s="1">
        <f>HYPERLINK("http://www.twitter.com/NathanBLawrence/status/973479354071068672", "973479354071068672")</f>
        <v/>
      </c>
      <c r="B2398" s="2" t="n">
        <v>43172.36271990741</v>
      </c>
      <c r="C2398" t="n">
        <v>0</v>
      </c>
      <c r="D2398" t="n">
        <v>371</v>
      </c>
      <c r="E2398" t="s">
        <v>2402</v>
      </c>
      <c r="F2398">
        <f>HYPERLINK("http://pbs.twimg.com/media/DYI9KWAVAAAFzb8.jpg", "http://pbs.twimg.com/media/DYI9KWAVAAAFzb8.jpg")</f>
        <v/>
      </c>
      <c r="G2398" t="s"/>
      <c r="H2398" t="s"/>
      <c r="I2398" t="s"/>
      <c r="J2398" t="n">
        <v>-0.1759</v>
      </c>
      <c r="K2398" t="n">
        <v>0.101</v>
      </c>
      <c r="L2398" t="n">
        <v>0.899</v>
      </c>
      <c r="M2398" t="n">
        <v>0</v>
      </c>
    </row>
    <row r="2399" spans="1:13">
      <c r="A2399" s="1">
        <f>HYPERLINK("http://www.twitter.com/NathanBLawrence/status/973475058046836736", "973475058046836736")</f>
        <v/>
      </c>
      <c r="B2399" s="2" t="n">
        <v>43172.35085648148</v>
      </c>
      <c r="C2399" t="n">
        <v>0</v>
      </c>
      <c r="D2399" t="n">
        <v>708</v>
      </c>
      <c r="E2399" t="s">
        <v>2403</v>
      </c>
      <c r="F2399" t="s"/>
      <c r="G2399" t="s"/>
      <c r="H2399" t="s"/>
      <c r="I2399" t="s"/>
      <c r="J2399" t="n">
        <v>0</v>
      </c>
      <c r="K2399" t="n">
        <v>0</v>
      </c>
      <c r="L2399" t="n">
        <v>1</v>
      </c>
      <c r="M2399" t="n">
        <v>0</v>
      </c>
    </row>
    <row r="2400" spans="1:13">
      <c r="A2400" s="1">
        <f>HYPERLINK("http://www.twitter.com/NathanBLawrence/status/973474936391024641", "973474936391024641")</f>
        <v/>
      </c>
      <c r="B2400" s="2" t="n">
        <v>43172.35052083333</v>
      </c>
      <c r="C2400" t="n">
        <v>0</v>
      </c>
      <c r="D2400" t="n">
        <v>27149</v>
      </c>
      <c r="E2400" t="s">
        <v>2404</v>
      </c>
      <c r="F2400" t="s"/>
      <c r="G2400" t="s"/>
      <c r="H2400" t="s"/>
      <c r="I2400" t="s"/>
      <c r="J2400" t="n">
        <v>0.3612</v>
      </c>
      <c r="K2400" t="n">
        <v>0.052</v>
      </c>
      <c r="L2400" t="n">
        <v>0.837</v>
      </c>
      <c r="M2400" t="n">
        <v>0.112</v>
      </c>
    </row>
    <row r="2401" spans="1:13">
      <c r="A2401" s="1">
        <f>HYPERLINK("http://www.twitter.com/NathanBLawrence/status/973467744359170048", "973467744359170048")</f>
        <v/>
      </c>
      <c r="B2401" s="2" t="n">
        <v>43172.33068287037</v>
      </c>
      <c r="C2401" t="n">
        <v>10</v>
      </c>
      <c r="D2401" t="n">
        <v>4</v>
      </c>
      <c r="E2401" t="s">
        <v>2405</v>
      </c>
      <c r="F2401" t="s"/>
      <c r="G2401" t="s"/>
      <c r="H2401" t="s"/>
      <c r="I2401" t="s"/>
      <c r="J2401" t="n">
        <v>0</v>
      </c>
      <c r="K2401" t="n">
        <v>0</v>
      </c>
      <c r="L2401" t="n">
        <v>1</v>
      </c>
      <c r="M2401" t="n">
        <v>0</v>
      </c>
    </row>
    <row r="2402" spans="1:13">
      <c r="A2402" s="1">
        <f>HYPERLINK("http://www.twitter.com/NathanBLawrence/status/973467419535552514", "973467419535552514")</f>
        <v/>
      </c>
      <c r="B2402" s="2" t="n">
        <v>43172.32978009259</v>
      </c>
      <c r="C2402" t="n">
        <v>0</v>
      </c>
      <c r="D2402" t="n">
        <v>2077</v>
      </c>
      <c r="E2402" t="s">
        <v>2406</v>
      </c>
      <c r="F2402">
        <f>HYPERLINK("http://pbs.twimg.com/media/DYF_flWV4AAc7AS.jpg", "http://pbs.twimg.com/media/DYF_flWV4AAc7AS.jpg")</f>
        <v/>
      </c>
      <c r="G2402" t="s"/>
      <c r="H2402" t="s"/>
      <c r="I2402" t="s"/>
      <c r="J2402" t="n">
        <v>0</v>
      </c>
      <c r="K2402" t="n">
        <v>0</v>
      </c>
      <c r="L2402" t="n">
        <v>1</v>
      </c>
      <c r="M2402" t="n">
        <v>0</v>
      </c>
    </row>
    <row r="2403" spans="1:13">
      <c r="A2403" s="1">
        <f>HYPERLINK("http://www.twitter.com/NathanBLawrence/status/973466958447329280", "973466958447329280")</f>
        <v/>
      </c>
      <c r="B2403" s="2" t="n">
        <v>43172.32850694445</v>
      </c>
      <c r="C2403" t="n">
        <v>0</v>
      </c>
      <c r="D2403" t="n">
        <v>3</v>
      </c>
      <c r="E2403" t="s">
        <v>2407</v>
      </c>
      <c r="F2403">
        <f>HYPERLINK("https://video.twimg.com/amplify_video/973383012640542720/vid/1280x720/Glp1IkaRHv2Ct-VR.mp4", "https://video.twimg.com/amplify_video/973383012640542720/vid/1280x720/Glp1IkaRHv2Ct-VR.mp4")</f>
        <v/>
      </c>
      <c r="G2403" t="s"/>
      <c r="H2403" t="s"/>
      <c r="I2403" t="s"/>
      <c r="J2403" t="n">
        <v>-0.4404</v>
      </c>
      <c r="K2403" t="n">
        <v>0.116</v>
      </c>
      <c r="L2403" t="n">
        <v>0.884</v>
      </c>
      <c r="M2403" t="n">
        <v>0</v>
      </c>
    </row>
    <row r="2404" spans="1:13">
      <c r="A2404" s="1">
        <f>HYPERLINK("http://www.twitter.com/NathanBLawrence/status/973466338986401792", "973466338986401792")</f>
        <v/>
      </c>
      <c r="B2404" s="2" t="n">
        <v>43172.32680555555</v>
      </c>
      <c r="C2404" t="n">
        <v>0</v>
      </c>
      <c r="D2404" t="n">
        <v>6</v>
      </c>
      <c r="E2404" t="s">
        <v>2408</v>
      </c>
      <c r="F2404">
        <f>HYPERLINK("https://video.twimg.com/amplify_video/973345549469569024/vid/1280x720/7VUxMvSFd-j8c2JK.mp4", "https://video.twimg.com/amplify_video/973345549469569024/vid/1280x720/7VUxMvSFd-j8c2JK.mp4")</f>
        <v/>
      </c>
      <c r="G2404" t="s"/>
      <c r="H2404" t="s"/>
      <c r="I2404" t="s"/>
      <c r="J2404" t="n">
        <v>0.4278</v>
      </c>
      <c r="K2404" t="n">
        <v>0.08400000000000001</v>
      </c>
      <c r="L2404" t="n">
        <v>0.729</v>
      </c>
      <c r="M2404" t="n">
        <v>0.187</v>
      </c>
    </row>
    <row r="2405" spans="1:13">
      <c r="A2405" s="1">
        <f>HYPERLINK("http://www.twitter.com/NathanBLawrence/status/973458633504641024", "973458633504641024")</f>
        <v/>
      </c>
      <c r="B2405" s="2" t="n">
        <v>43172.30553240741</v>
      </c>
      <c r="C2405" t="n">
        <v>0</v>
      </c>
      <c r="D2405" t="n">
        <v>701</v>
      </c>
      <c r="E2405" t="s">
        <v>2409</v>
      </c>
      <c r="F2405" t="s"/>
      <c r="G2405" t="s"/>
      <c r="H2405" t="s"/>
      <c r="I2405" t="s"/>
      <c r="J2405" t="n">
        <v>-0.7845</v>
      </c>
      <c r="K2405" t="n">
        <v>0.256</v>
      </c>
      <c r="L2405" t="n">
        <v>0.744</v>
      </c>
      <c r="M2405" t="n">
        <v>0</v>
      </c>
    </row>
    <row r="2406" spans="1:13">
      <c r="A2406" s="1">
        <f>HYPERLINK("http://www.twitter.com/NathanBLawrence/status/973458128913117184", "973458128913117184")</f>
        <v/>
      </c>
      <c r="B2406" s="2" t="n">
        <v>43172.30414351852</v>
      </c>
      <c r="C2406" t="n">
        <v>0</v>
      </c>
      <c r="D2406" t="n">
        <v>944</v>
      </c>
      <c r="E2406" t="s">
        <v>2410</v>
      </c>
      <c r="F2406">
        <f>HYPERLINK("http://pbs.twimg.com/media/DYI_4z4UMAIB2HP.jpg", "http://pbs.twimg.com/media/DYI_4z4UMAIB2HP.jpg")</f>
        <v/>
      </c>
      <c r="G2406" t="s"/>
      <c r="H2406" t="s"/>
      <c r="I2406" t="s"/>
      <c r="J2406" t="n">
        <v>-0.8023</v>
      </c>
      <c r="K2406" t="n">
        <v>0.302</v>
      </c>
      <c r="L2406" t="n">
        <v>0.698</v>
      </c>
      <c r="M2406" t="n">
        <v>0</v>
      </c>
    </row>
    <row r="2407" spans="1:13">
      <c r="A2407" s="1">
        <f>HYPERLINK("http://www.twitter.com/NathanBLawrence/status/973457817972568065", "973457817972568065")</f>
        <v/>
      </c>
      <c r="B2407" s="2" t="n">
        <v>43172.30328703704</v>
      </c>
      <c r="C2407" t="n">
        <v>0</v>
      </c>
      <c r="D2407" t="n">
        <v>880</v>
      </c>
      <c r="E2407" t="s">
        <v>2411</v>
      </c>
      <c r="F2407">
        <f>HYPERLINK("https://video.twimg.com/ext_tw_video/973363968038391808/pu/vid/720x720/jCyscJxB2qHmlUIj.mp4", "https://video.twimg.com/ext_tw_video/973363968038391808/pu/vid/720x720/jCyscJxB2qHmlUIj.mp4")</f>
        <v/>
      </c>
      <c r="G2407" t="s"/>
      <c r="H2407" t="s"/>
      <c r="I2407" t="s"/>
      <c r="J2407" t="n">
        <v>0.0772</v>
      </c>
      <c r="K2407" t="n">
        <v>0.082</v>
      </c>
      <c r="L2407" t="n">
        <v>0.825</v>
      </c>
      <c r="M2407" t="n">
        <v>0.093</v>
      </c>
    </row>
    <row r="2408" spans="1:13">
      <c r="A2408" s="1">
        <f>HYPERLINK("http://www.twitter.com/NathanBLawrence/status/973275367812337665", "973275367812337665")</f>
        <v/>
      </c>
      <c r="B2408" s="2" t="n">
        <v>43171.79981481482</v>
      </c>
      <c r="C2408" t="n">
        <v>12</v>
      </c>
      <c r="D2408" t="n">
        <v>7</v>
      </c>
      <c r="E2408" t="s">
        <v>2412</v>
      </c>
      <c r="F2408" t="s"/>
      <c r="G2408" t="s"/>
      <c r="H2408" t="s"/>
      <c r="I2408" t="s"/>
      <c r="J2408" t="n">
        <v>0.4019</v>
      </c>
      <c r="K2408" t="n">
        <v>0</v>
      </c>
      <c r="L2408" t="n">
        <v>0.838</v>
      </c>
      <c r="M2408" t="n">
        <v>0.162</v>
      </c>
    </row>
    <row r="2409" spans="1:13">
      <c r="A2409" s="1">
        <f>HYPERLINK("http://www.twitter.com/NathanBLawrence/status/973044817281220611", "973044817281220611")</f>
        <v/>
      </c>
      <c r="B2409" s="2" t="n">
        <v>43171.16362268518</v>
      </c>
      <c r="C2409" t="n">
        <v>0</v>
      </c>
      <c r="D2409" t="n">
        <v>1036</v>
      </c>
      <c r="E2409" t="s">
        <v>2413</v>
      </c>
      <c r="F2409" t="s"/>
      <c r="G2409" t="s"/>
      <c r="H2409" t="s"/>
      <c r="I2409" t="s"/>
      <c r="J2409" t="n">
        <v>0.3818</v>
      </c>
      <c r="K2409" t="n">
        <v>0.151</v>
      </c>
      <c r="L2409" t="n">
        <v>0.602</v>
      </c>
      <c r="M2409" t="n">
        <v>0.247</v>
      </c>
    </row>
    <row r="2410" spans="1:13">
      <c r="A2410" s="1">
        <f>HYPERLINK("http://www.twitter.com/NathanBLawrence/status/973018801892679685", "973018801892679685")</f>
        <v/>
      </c>
      <c r="B2410" s="2" t="n">
        <v>43171.09182870371</v>
      </c>
      <c r="C2410" t="n">
        <v>41</v>
      </c>
      <c r="D2410" t="n">
        <v>3</v>
      </c>
      <c r="E2410" t="s">
        <v>2414</v>
      </c>
      <c r="F2410">
        <f>HYPERLINK("http://pbs.twimg.com/media/DYDbcTmWkAM-R4Q.jpg", "http://pbs.twimg.com/media/DYDbcTmWkAM-R4Q.jpg")</f>
        <v/>
      </c>
      <c r="G2410" t="s"/>
      <c r="H2410" t="s"/>
      <c r="I2410" t="s"/>
      <c r="J2410" t="n">
        <v>0</v>
      </c>
      <c r="K2410" t="n">
        <v>0</v>
      </c>
      <c r="L2410" t="n">
        <v>1</v>
      </c>
      <c r="M2410" t="n">
        <v>0</v>
      </c>
    </row>
    <row r="2411" spans="1:13">
      <c r="A2411" s="1">
        <f>HYPERLINK("http://www.twitter.com/NathanBLawrence/status/972973534279380992", "972973534279380992")</f>
        <v/>
      </c>
      <c r="B2411" s="2" t="n">
        <v>43170.9669212963</v>
      </c>
      <c r="C2411" t="n">
        <v>18</v>
      </c>
      <c r="D2411" t="n">
        <v>9</v>
      </c>
      <c r="E2411" t="s">
        <v>2415</v>
      </c>
      <c r="F2411" t="s"/>
      <c r="G2411" t="s"/>
      <c r="H2411" t="s"/>
      <c r="I2411" t="s"/>
      <c r="J2411" t="n">
        <v>0</v>
      </c>
      <c r="K2411" t="n">
        <v>0</v>
      </c>
      <c r="L2411" t="n">
        <v>1</v>
      </c>
      <c r="M2411" t="n">
        <v>0</v>
      </c>
    </row>
    <row r="2412" spans="1:13">
      <c r="A2412" s="1">
        <f>HYPERLINK("http://www.twitter.com/NathanBLawrence/status/972027367102210049", "972027367102210049")</f>
        <v/>
      </c>
      <c r="B2412" s="2" t="n">
        <v>43168.35599537037</v>
      </c>
      <c r="C2412" t="n">
        <v>0</v>
      </c>
      <c r="D2412" t="n">
        <v>56</v>
      </c>
      <c r="E2412" t="s">
        <v>2416</v>
      </c>
      <c r="F2412">
        <f>HYPERLINK("http://pbs.twimg.com/media/DX1SSPbX4AA0LRs.jpg", "http://pbs.twimg.com/media/DX1SSPbX4AA0LRs.jpg")</f>
        <v/>
      </c>
      <c r="G2412" t="s"/>
      <c r="H2412" t="s"/>
      <c r="I2412" t="s"/>
      <c r="J2412" t="n">
        <v>0</v>
      </c>
      <c r="K2412" t="n">
        <v>0</v>
      </c>
      <c r="L2412" t="n">
        <v>1</v>
      </c>
      <c r="M2412" t="n">
        <v>0</v>
      </c>
    </row>
    <row r="2413" spans="1:13">
      <c r="A2413" s="1">
        <f>HYPERLINK("http://www.twitter.com/NathanBLawrence/status/972027271727923201", "972027271727923201")</f>
        <v/>
      </c>
      <c r="B2413" s="2" t="n">
        <v>43168.35572916667</v>
      </c>
      <c r="C2413" t="n">
        <v>0</v>
      </c>
      <c r="D2413" t="n">
        <v>702</v>
      </c>
      <c r="E2413" t="s">
        <v>2417</v>
      </c>
      <c r="F2413">
        <f>HYPERLINK("http://pbs.twimg.com/media/DX0vZ1gV4AEL-c7.jpg", "http://pbs.twimg.com/media/DX0vZ1gV4AEL-c7.jpg")</f>
        <v/>
      </c>
      <c r="G2413" t="s"/>
      <c r="H2413" t="s"/>
      <c r="I2413" t="s"/>
      <c r="J2413" t="n">
        <v>0.3612</v>
      </c>
      <c r="K2413" t="n">
        <v>0</v>
      </c>
      <c r="L2413" t="n">
        <v>0.737</v>
      </c>
      <c r="M2413" t="n">
        <v>0.263</v>
      </c>
    </row>
    <row r="2414" spans="1:13">
      <c r="A2414" s="1">
        <f>HYPERLINK("http://www.twitter.com/NathanBLawrence/status/972027138672025600", "972027138672025600")</f>
        <v/>
      </c>
      <c r="B2414" s="2" t="n">
        <v>43168.3553587963</v>
      </c>
      <c r="C2414" t="n">
        <v>0</v>
      </c>
      <c r="D2414" t="n">
        <v>276</v>
      </c>
      <c r="E2414" t="s">
        <v>2418</v>
      </c>
      <c r="F2414">
        <f>HYPERLINK("http://pbs.twimg.com/media/DX1AsaIVoAMhCLX.jpg", "http://pbs.twimg.com/media/DX1AsaIVoAMhCLX.jpg")</f>
        <v/>
      </c>
      <c r="G2414" t="s"/>
      <c r="H2414" t="s"/>
      <c r="I2414" t="s"/>
      <c r="J2414" t="n">
        <v>0</v>
      </c>
      <c r="K2414" t="n">
        <v>0</v>
      </c>
      <c r="L2414" t="n">
        <v>1</v>
      </c>
      <c r="M2414" t="n">
        <v>0</v>
      </c>
    </row>
    <row r="2415" spans="1:13">
      <c r="A2415" s="1">
        <f>HYPERLINK("http://www.twitter.com/NathanBLawrence/status/972027042605629440", "972027042605629440")</f>
        <v/>
      </c>
      <c r="B2415" s="2" t="n">
        <v>43168.35510416667</v>
      </c>
      <c r="C2415" t="n">
        <v>0</v>
      </c>
      <c r="D2415" t="n">
        <v>1508</v>
      </c>
      <c r="E2415" t="s">
        <v>2419</v>
      </c>
      <c r="F2415">
        <f>HYPERLINK("http://pbs.twimg.com/media/DXzc6IRWAAAehOC.jpg", "http://pbs.twimg.com/media/DXzc6IRWAAAehOC.jpg")</f>
        <v/>
      </c>
      <c r="G2415" t="s"/>
      <c r="H2415" t="s"/>
      <c r="I2415" t="s"/>
      <c r="J2415" t="n">
        <v>-0.2003</v>
      </c>
      <c r="K2415" t="n">
        <v>0.186</v>
      </c>
      <c r="L2415" t="n">
        <v>0.655</v>
      </c>
      <c r="M2415" t="n">
        <v>0.159</v>
      </c>
    </row>
    <row r="2416" spans="1:13">
      <c r="A2416" s="1">
        <f>HYPERLINK("http://www.twitter.com/NathanBLawrence/status/972026885134667776", "972026885134667776")</f>
        <v/>
      </c>
      <c r="B2416" s="2" t="n">
        <v>43168.35466435185</v>
      </c>
      <c r="C2416" t="n">
        <v>0</v>
      </c>
      <c r="D2416" t="n">
        <v>572</v>
      </c>
      <c r="E2416" t="s">
        <v>2420</v>
      </c>
      <c r="F2416">
        <f>HYPERLINK("http://pbs.twimg.com/media/DX08YNlUMAEr10m.jpg", "http://pbs.twimg.com/media/DX08YNlUMAEr10m.jpg")</f>
        <v/>
      </c>
      <c r="G2416" t="s"/>
      <c r="H2416" t="s"/>
      <c r="I2416" t="s"/>
      <c r="J2416" t="n">
        <v>0.7717000000000001</v>
      </c>
      <c r="K2416" t="n">
        <v>0</v>
      </c>
      <c r="L2416" t="n">
        <v>0.767</v>
      </c>
      <c r="M2416" t="n">
        <v>0.233</v>
      </c>
    </row>
    <row r="2417" spans="1:13">
      <c r="A2417" s="1">
        <f>HYPERLINK("http://www.twitter.com/NathanBLawrence/status/971835556014338048", "971835556014338048")</f>
        <v/>
      </c>
      <c r="B2417" s="2" t="n">
        <v>43167.82670138889</v>
      </c>
      <c r="C2417" t="n">
        <v>0</v>
      </c>
      <c r="D2417" t="n">
        <v>2503</v>
      </c>
      <c r="E2417" t="s">
        <v>2421</v>
      </c>
      <c r="F2417" t="s"/>
      <c r="G2417" t="s"/>
      <c r="H2417" t="s"/>
      <c r="I2417" t="s"/>
      <c r="J2417" t="n">
        <v>-0.9042</v>
      </c>
      <c r="K2417" t="n">
        <v>0.542</v>
      </c>
      <c r="L2417" t="n">
        <v>0.458</v>
      </c>
      <c r="M2417" t="n">
        <v>0</v>
      </c>
    </row>
    <row r="2418" spans="1:13">
      <c r="A2418" s="1">
        <f>HYPERLINK("http://www.twitter.com/NathanBLawrence/status/971835390683312128", "971835390683312128")</f>
        <v/>
      </c>
      <c r="B2418" s="2" t="n">
        <v>43167.82623842593</v>
      </c>
      <c r="C2418" t="n">
        <v>0</v>
      </c>
      <c r="D2418" t="n">
        <v>654</v>
      </c>
      <c r="E2418" t="s">
        <v>2422</v>
      </c>
      <c r="F2418">
        <f>HYPERLINK("http://pbs.twimg.com/media/DXuDQoqW4AAZz6j.jpg", "http://pbs.twimg.com/media/DXuDQoqW4AAZz6j.jpg")</f>
        <v/>
      </c>
      <c r="G2418" t="s"/>
      <c r="H2418" t="s"/>
      <c r="I2418" t="s"/>
      <c r="J2418" t="n">
        <v>0.7125</v>
      </c>
      <c r="K2418" t="n">
        <v>0</v>
      </c>
      <c r="L2418" t="n">
        <v>0.619</v>
      </c>
      <c r="M2418" t="n">
        <v>0.381</v>
      </c>
    </row>
    <row r="2419" spans="1:13">
      <c r="A2419" s="1">
        <f>HYPERLINK("http://www.twitter.com/NathanBLawrence/status/971835304461025280", "971835304461025280")</f>
        <v/>
      </c>
      <c r="B2419" s="2" t="n">
        <v>43167.82600694444</v>
      </c>
      <c r="C2419" t="n">
        <v>0</v>
      </c>
      <c r="D2419" t="n">
        <v>352</v>
      </c>
      <c r="E2419" t="s">
        <v>2423</v>
      </c>
      <c r="F2419" t="s"/>
      <c r="G2419" t="s"/>
      <c r="H2419" t="s"/>
      <c r="I2419" t="s"/>
      <c r="J2419" t="n">
        <v>0</v>
      </c>
      <c r="K2419" t="n">
        <v>0</v>
      </c>
      <c r="L2419" t="n">
        <v>1</v>
      </c>
      <c r="M2419" t="n">
        <v>0</v>
      </c>
    </row>
    <row r="2420" spans="1:13">
      <c r="A2420" s="1">
        <f>HYPERLINK("http://www.twitter.com/NathanBLawrence/status/971645252938412032", "971645252938412032")</f>
        <v/>
      </c>
      <c r="B2420" s="2" t="n">
        <v>43167.3015625</v>
      </c>
      <c r="C2420" t="n">
        <v>24</v>
      </c>
      <c r="D2420" t="n">
        <v>15</v>
      </c>
      <c r="E2420" t="s">
        <v>2424</v>
      </c>
      <c r="F2420" t="s"/>
      <c r="G2420" t="s"/>
      <c r="H2420" t="s"/>
      <c r="I2420" t="s"/>
      <c r="J2420" t="n">
        <v>0</v>
      </c>
      <c r="K2420" t="n">
        <v>0</v>
      </c>
      <c r="L2420" t="n">
        <v>1</v>
      </c>
      <c r="M2420" t="n">
        <v>0</v>
      </c>
    </row>
    <row r="2421" spans="1:13">
      <c r="A2421" s="1">
        <f>HYPERLINK("http://www.twitter.com/NathanBLawrence/status/971645181874225154", "971645181874225154")</f>
        <v/>
      </c>
      <c r="B2421" s="2" t="n">
        <v>43167.30136574074</v>
      </c>
      <c r="C2421" t="n">
        <v>8</v>
      </c>
      <c r="D2421" t="n">
        <v>11</v>
      </c>
      <c r="E2421" t="s">
        <v>2425</v>
      </c>
      <c r="F2421" t="s"/>
      <c r="G2421" t="s"/>
      <c r="H2421" t="s"/>
      <c r="I2421" t="s"/>
      <c r="J2421" t="n">
        <v>0.4215</v>
      </c>
      <c r="K2421" t="n">
        <v>0</v>
      </c>
      <c r="L2421" t="n">
        <v>0.872</v>
      </c>
      <c r="M2421" t="n">
        <v>0.128</v>
      </c>
    </row>
    <row r="2422" spans="1:13">
      <c r="A2422" s="1">
        <f>HYPERLINK("http://www.twitter.com/NathanBLawrence/status/971557318889414656", "971557318889414656")</f>
        <v/>
      </c>
      <c r="B2422" s="2" t="n">
        <v>43167.05891203704</v>
      </c>
      <c r="C2422" t="n">
        <v>0</v>
      </c>
      <c r="D2422" t="n">
        <v>336</v>
      </c>
      <c r="E2422" t="s">
        <v>2426</v>
      </c>
      <c r="F2422">
        <f>HYPERLINK("http://pbs.twimg.com/media/DXtlmUvWsAAPXXT.jpg", "http://pbs.twimg.com/media/DXtlmUvWsAAPXXT.jpg")</f>
        <v/>
      </c>
      <c r="G2422">
        <f>HYPERLINK("http://pbs.twimg.com/media/DXtlmU5XUAMrHxc.jpg", "http://pbs.twimg.com/media/DXtlmU5XUAMrHxc.jpg")</f>
        <v/>
      </c>
      <c r="H2422" t="s"/>
      <c r="I2422" t="s"/>
      <c r="J2422" t="n">
        <v>0.875</v>
      </c>
      <c r="K2422" t="n">
        <v>0</v>
      </c>
      <c r="L2422" t="n">
        <v>0.5600000000000001</v>
      </c>
      <c r="M2422" t="n">
        <v>0.44</v>
      </c>
    </row>
    <row r="2423" spans="1:13">
      <c r="A2423" s="1">
        <f>HYPERLINK("http://www.twitter.com/NathanBLawrence/status/971557235741478917", "971557235741478917")</f>
        <v/>
      </c>
      <c r="B2423" s="2" t="n">
        <v>43167.05868055556</v>
      </c>
      <c r="C2423" t="n">
        <v>0</v>
      </c>
      <c r="D2423" t="n">
        <v>14</v>
      </c>
      <c r="E2423" t="s">
        <v>2427</v>
      </c>
      <c r="F2423">
        <f>HYPERLINK("http://pbs.twimg.com/media/DXupXlzWkAADzx1.jpg", "http://pbs.twimg.com/media/DXupXlzWkAADzx1.jpg")</f>
        <v/>
      </c>
      <c r="G2423" t="s"/>
      <c r="H2423" t="s"/>
      <c r="I2423" t="s"/>
      <c r="J2423" t="n">
        <v>0</v>
      </c>
      <c r="K2423" t="n">
        <v>0</v>
      </c>
      <c r="L2423" t="n">
        <v>1</v>
      </c>
      <c r="M2423" t="n">
        <v>0</v>
      </c>
    </row>
    <row r="2424" spans="1:13">
      <c r="A2424" s="1">
        <f>HYPERLINK("http://www.twitter.com/NathanBLawrence/status/971557207144673281", "971557207144673281")</f>
        <v/>
      </c>
      <c r="B2424" s="2" t="n">
        <v>43167.05859953703</v>
      </c>
      <c r="C2424" t="n">
        <v>0</v>
      </c>
      <c r="D2424" t="n">
        <v>203</v>
      </c>
      <c r="E2424" t="s">
        <v>2428</v>
      </c>
      <c r="F2424">
        <f>HYPERLINK("http://pbs.twimg.com/media/DXupgFrU0AAuzCx.jpg", "http://pbs.twimg.com/media/DXupgFrU0AAuzCx.jpg")</f>
        <v/>
      </c>
      <c r="G2424" t="s"/>
      <c r="H2424" t="s"/>
      <c r="I2424" t="s"/>
      <c r="J2424" t="n">
        <v>-0.6075</v>
      </c>
      <c r="K2424" t="n">
        <v>0.199</v>
      </c>
      <c r="L2424" t="n">
        <v>0.801</v>
      </c>
      <c r="M2424" t="n">
        <v>0</v>
      </c>
    </row>
    <row r="2425" spans="1:13">
      <c r="A2425" s="1">
        <f>HYPERLINK("http://www.twitter.com/NathanBLawrence/status/971556671888572417", "971556671888572417")</f>
        <v/>
      </c>
      <c r="B2425" s="2" t="n">
        <v>43167.05711805556</v>
      </c>
      <c r="C2425" t="n">
        <v>82</v>
      </c>
      <c r="D2425" t="n">
        <v>29</v>
      </c>
      <c r="E2425" t="s">
        <v>2429</v>
      </c>
      <c r="F2425" t="s"/>
      <c r="G2425" t="s"/>
      <c r="H2425" t="s"/>
      <c r="I2425" t="s"/>
      <c r="J2425" t="n">
        <v>-0.4926</v>
      </c>
      <c r="K2425" t="n">
        <v>0.285</v>
      </c>
      <c r="L2425" t="n">
        <v>0.715</v>
      </c>
      <c r="M2425" t="n">
        <v>0</v>
      </c>
    </row>
    <row r="2426" spans="1:13">
      <c r="A2426" s="1">
        <f>HYPERLINK("http://www.twitter.com/NathanBLawrence/status/971556169582915584", "971556169582915584")</f>
        <v/>
      </c>
      <c r="B2426" s="2" t="n">
        <v>43167.05574074074</v>
      </c>
      <c r="C2426" t="n">
        <v>51</v>
      </c>
      <c r="D2426" t="n">
        <v>18</v>
      </c>
      <c r="E2426" t="s">
        <v>2430</v>
      </c>
      <c r="F2426" t="s"/>
      <c r="G2426" t="s"/>
      <c r="H2426" t="s"/>
      <c r="I2426" t="s"/>
      <c r="J2426" t="n">
        <v>0.802</v>
      </c>
      <c r="K2426" t="n">
        <v>0</v>
      </c>
      <c r="L2426" t="n">
        <v>0.461</v>
      </c>
      <c r="M2426" t="n">
        <v>0.539</v>
      </c>
    </row>
    <row r="2427" spans="1:13">
      <c r="A2427" s="1">
        <f>HYPERLINK("http://www.twitter.com/NathanBLawrence/status/971555512582991873", "971555512582991873")</f>
        <v/>
      </c>
      <c r="B2427" s="2" t="n">
        <v>43167.05392361111</v>
      </c>
      <c r="C2427" t="n">
        <v>0</v>
      </c>
      <c r="D2427" t="n">
        <v>836</v>
      </c>
      <c r="E2427" t="s">
        <v>2431</v>
      </c>
      <c r="F2427" t="s"/>
      <c r="G2427" t="s"/>
      <c r="H2427" t="s"/>
      <c r="I2427" t="s"/>
      <c r="J2427" t="n">
        <v>-0.7184</v>
      </c>
      <c r="K2427" t="n">
        <v>0.25</v>
      </c>
      <c r="L2427" t="n">
        <v>0.7</v>
      </c>
      <c r="M2427" t="n">
        <v>0.05</v>
      </c>
    </row>
    <row r="2428" spans="1:13">
      <c r="A2428" s="1">
        <f>HYPERLINK("http://www.twitter.com/NathanBLawrence/status/971555332353802240", "971555332353802240")</f>
        <v/>
      </c>
      <c r="B2428" s="2" t="n">
        <v>43167.05342592593</v>
      </c>
      <c r="C2428" t="n">
        <v>0</v>
      </c>
      <c r="D2428" t="n">
        <v>182</v>
      </c>
      <c r="E2428" t="s">
        <v>2432</v>
      </c>
      <c r="F2428" t="s"/>
      <c r="G2428" t="s"/>
      <c r="H2428" t="s"/>
      <c r="I2428" t="s"/>
      <c r="J2428" t="n">
        <v>-0.5574</v>
      </c>
      <c r="K2428" t="n">
        <v>0.175</v>
      </c>
      <c r="L2428" t="n">
        <v>0.825</v>
      </c>
      <c r="M2428" t="n">
        <v>0</v>
      </c>
    </row>
    <row r="2429" spans="1:13">
      <c r="A2429" s="1">
        <f>HYPERLINK("http://www.twitter.com/NathanBLawrence/status/971553987550855168", "971553987550855168")</f>
        <v/>
      </c>
      <c r="B2429" s="2" t="n">
        <v>43167.04971064815</v>
      </c>
      <c r="C2429" t="n">
        <v>0</v>
      </c>
      <c r="D2429" t="n">
        <v>2501</v>
      </c>
      <c r="E2429" t="s">
        <v>2433</v>
      </c>
      <c r="F2429">
        <f>HYPERLINK("https://video.twimg.com/ext_tw_video/971552802932748288/pu/vid/720x720/P1_d6WllDLefVH0Z.mp4", "https://video.twimg.com/ext_tw_video/971552802932748288/pu/vid/720x720/P1_d6WllDLefVH0Z.mp4")</f>
        <v/>
      </c>
      <c r="G2429" t="s"/>
      <c r="H2429" t="s"/>
      <c r="I2429" t="s"/>
      <c r="J2429" t="n">
        <v>-0.3382</v>
      </c>
      <c r="K2429" t="n">
        <v>0.174</v>
      </c>
      <c r="L2429" t="n">
        <v>0.715</v>
      </c>
      <c r="M2429" t="n">
        <v>0.112</v>
      </c>
    </row>
    <row r="2430" spans="1:13">
      <c r="A2430" s="1">
        <f>HYPERLINK("http://www.twitter.com/NathanBLawrence/status/971553868994691072", "971553868994691072")</f>
        <v/>
      </c>
      <c r="B2430" s="2" t="n">
        <v>43167.04938657407</v>
      </c>
      <c r="C2430" t="n">
        <v>0</v>
      </c>
      <c r="D2430" t="n">
        <v>1505</v>
      </c>
      <c r="E2430" t="s">
        <v>2434</v>
      </c>
      <c r="F2430" t="s"/>
      <c r="G2430" t="s"/>
      <c r="H2430" t="s"/>
      <c r="I2430" t="s"/>
      <c r="J2430" t="n">
        <v>0.6229</v>
      </c>
      <c r="K2430" t="n">
        <v>0</v>
      </c>
      <c r="L2430" t="n">
        <v>0.759</v>
      </c>
      <c r="M2430" t="n">
        <v>0.241</v>
      </c>
    </row>
    <row r="2431" spans="1:13">
      <c r="A2431" s="1">
        <f>HYPERLINK("http://www.twitter.com/NathanBLawrence/status/971553636651171840", "971553636651171840")</f>
        <v/>
      </c>
      <c r="B2431" s="2" t="n">
        <v>43167.04875</v>
      </c>
      <c r="C2431" t="n">
        <v>19</v>
      </c>
      <c r="D2431" t="n">
        <v>6</v>
      </c>
      <c r="E2431" t="s">
        <v>2435</v>
      </c>
      <c r="F2431" t="s"/>
      <c r="G2431" t="s"/>
      <c r="H2431" t="s"/>
      <c r="I2431" t="s"/>
      <c r="J2431" t="n">
        <v>0.858</v>
      </c>
      <c r="K2431" t="n">
        <v>0</v>
      </c>
      <c r="L2431" t="n">
        <v>0.733</v>
      </c>
      <c r="M2431" t="n">
        <v>0.267</v>
      </c>
    </row>
    <row r="2432" spans="1:13">
      <c r="A2432" s="1">
        <f>HYPERLINK("http://www.twitter.com/NathanBLawrence/status/971552863376752640", "971552863376752640")</f>
        <v/>
      </c>
      <c r="B2432" s="2" t="n">
        <v>43167.0466087963</v>
      </c>
      <c r="C2432" t="n">
        <v>0</v>
      </c>
      <c r="D2432" t="n">
        <v>176</v>
      </c>
      <c r="E2432" t="s">
        <v>2436</v>
      </c>
      <c r="F2432">
        <f>HYPERLINK("http://pbs.twimg.com/media/DXsMkjAXkAAu1we.jpg", "http://pbs.twimg.com/media/DXsMkjAXkAAu1we.jpg")</f>
        <v/>
      </c>
      <c r="G2432" t="s"/>
      <c r="H2432" t="s"/>
      <c r="I2432" t="s"/>
      <c r="J2432" t="n">
        <v>0.296</v>
      </c>
      <c r="K2432" t="n">
        <v>0.124</v>
      </c>
      <c r="L2432" t="n">
        <v>0.6929999999999999</v>
      </c>
      <c r="M2432" t="n">
        <v>0.183</v>
      </c>
    </row>
    <row r="2433" spans="1:13">
      <c r="A2433" s="1">
        <f>HYPERLINK("http://www.twitter.com/NathanBLawrence/status/971552748557627393", "971552748557627393")</f>
        <v/>
      </c>
      <c r="B2433" s="2" t="n">
        <v>43167.0462962963</v>
      </c>
      <c r="C2433" t="n">
        <v>0</v>
      </c>
      <c r="D2433" t="n">
        <v>337</v>
      </c>
      <c r="E2433" t="s">
        <v>2437</v>
      </c>
      <c r="F2433">
        <f>HYPERLINK("https://video.twimg.com/ext_tw_video/883071078578491392/pu/vid/1280x720/aO9QFpwVU21S0Q7Y.mp4", "https://video.twimg.com/ext_tw_video/883071078578491392/pu/vid/1280x720/aO9QFpwVU21S0Q7Y.mp4")</f>
        <v/>
      </c>
      <c r="G2433" t="s"/>
      <c r="H2433" t="s"/>
      <c r="I2433" t="s"/>
      <c r="J2433" t="n">
        <v>0.5859</v>
      </c>
      <c r="K2433" t="n">
        <v>0</v>
      </c>
      <c r="L2433" t="n">
        <v>0.833</v>
      </c>
      <c r="M2433" t="n">
        <v>0.167</v>
      </c>
    </row>
    <row r="2434" spans="1:13">
      <c r="A2434" s="1">
        <f>HYPERLINK("http://www.twitter.com/NathanBLawrence/status/971552465530241024", "971552465530241024")</f>
        <v/>
      </c>
      <c r="B2434" s="2" t="n">
        <v>43167.04552083334</v>
      </c>
      <c r="C2434" t="n">
        <v>0</v>
      </c>
      <c r="D2434" t="n">
        <v>378</v>
      </c>
      <c r="E2434" t="s">
        <v>2438</v>
      </c>
      <c r="F2434" t="s"/>
      <c r="G2434" t="s"/>
      <c r="H2434" t="s"/>
      <c r="I2434" t="s"/>
      <c r="J2434" t="n">
        <v>0.6369</v>
      </c>
      <c r="K2434" t="n">
        <v>0</v>
      </c>
      <c r="L2434" t="n">
        <v>0.833</v>
      </c>
      <c r="M2434" t="n">
        <v>0.167</v>
      </c>
    </row>
    <row r="2435" spans="1:13">
      <c r="A2435" s="1">
        <f>HYPERLINK("http://www.twitter.com/NathanBLawrence/status/971515962259226624", "971515962259226624")</f>
        <v/>
      </c>
      <c r="B2435" s="2" t="n">
        <v>43166.94478009259</v>
      </c>
      <c r="C2435" t="n">
        <v>11</v>
      </c>
      <c r="D2435" t="n">
        <v>4</v>
      </c>
      <c r="E2435" t="s">
        <v>2439</v>
      </c>
      <c r="F2435" t="s"/>
      <c r="G2435" t="s"/>
      <c r="H2435" t="s"/>
      <c r="I2435" t="s"/>
      <c r="J2435" t="n">
        <v>0.6996</v>
      </c>
      <c r="K2435" t="n">
        <v>0</v>
      </c>
      <c r="L2435" t="n">
        <v>0.633</v>
      </c>
      <c r="M2435" t="n">
        <v>0.367</v>
      </c>
    </row>
    <row r="2436" spans="1:13">
      <c r="A2436" s="1">
        <f>HYPERLINK("http://www.twitter.com/NathanBLawrence/status/971439197285359616", "971439197285359616")</f>
        <v/>
      </c>
      <c r="B2436" s="2" t="n">
        <v>43166.73295138889</v>
      </c>
      <c r="C2436" t="n">
        <v>7</v>
      </c>
      <c r="D2436" t="n">
        <v>4</v>
      </c>
      <c r="E2436" t="s">
        <v>2440</v>
      </c>
      <c r="F2436" t="s"/>
      <c r="G2436" t="s"/>
      <c r="H2436" t="s"/>
      <c r="I2436" t="s"/>
      <c r="J2436" t="n">
        <v>0.8516</v>
      </c>
      <c r="K2436" t="n">
        <v>0</v>
      </c>
      <c r="L2436" t="n">
        <v>0.649</v>
      </c>
      <c r="M2436" t="n">
        <v>0.351</v>
      </c>
    </row>
    <row r="2437" spans="1:13">
      <c r="A2437" s="1">
        <f>HYPERLINK("http://www.twitter.com/NathanBLawrence/status/971428340191043584", "971428340191043584")</f>
        <v/>
      </c>
      <c r="B2437" s="2" t="n">
        <v>43166.70299768518</v>
      </c>
      <c r="C2437" t="n">
        <v>9</v>
      </c>
      <c r="D2437" t="n">
        <v>3</v>
      </c>
      <c r="E2437" t="s">
        <v>2441</v>
      </c>
      <c r="F2437" t="s"/>
      <c r="G2437" t="s"/>
      <c r="H2437" t="s"/>
      <c r="I2437" t="s"/>
      <c r="J2437" t="n">
        <v>0.6705</v>
      </c>
      <c r="K2437" t="n">
        <v>0</v>
      </c>
      <c r="L2437" t="n">
        <v>0.718</v>
      </c>
      <c r="M2437" t="n">
        <v>0.282</v>
      </c>
    </row>
    <row r="2438" spans="1:13">
      <c r="A2438" s="1">
        <f>HYPERLINK("http://www.twitter.com/NathanBLawrence/status/971427831879053312", "971427831879053312")</f>
        <v/>
      </c>
      <c r="B2438" s="2" t="n">
        <v>43166.70159722222</v>
      </c>
      <c r="C2438" t="n">
        <v>0</v>
      </c>
      <c r="D2438" t="n">
        <v>124</v>
      </c>
      <c r="E2438" t="s">
        <v>2442</v>
      </c>
      <c r="F2438">
        <f>HYPERLINK("http://pbs.twimg.com/media/DXNtPVvXcAAhZFj.jpg", "http://pbs.twimg.com/media/DXNtPVvXcAAhZFj.jpg")</f>
        <v/>
      </c>
      <c r="G2438" t="s"/>
      <c r="H2438" t="s"/>
      <c r="I2438" t="s"/>
      <c r="J2438" t="n">
        <v>0.5487</v>
      </c>
      <c r="K2438" t="n">
        <v>0</v>
      </c>
      <c r="L2438" t="n">
        <v>0.867</v>
      </c>
      <c r="M2438" t="n">
        <v>0.133</v>
      </c>
    </row>
    <row r="2439" spans="1:13">
      <c r="A2439" s="1">
        <f>HYPERLINK("http://www.twitter.com/NathanBLawrence/status/971427777160163329", "971427777160163329")</f>
        <v/>
      </c>
      <c r="B2439" s="2" t="n">
        <v>43166.70143518518</v>
      </c>
      <c r="C2439" t="n">
        <v>0</v>
      </c>
      <c r="D2439" t="n">
        <v>17</v>
      </c>
      <c r="E2439" t="s">
        <v>2443</v>
      </c>
      <c r="F2439">
        <f>HYPERLINK("http://pbs.twimg.com/media/DW5atKYVQAA25rK.jpg", "http://pbs.twimg.com/media/DW5atKYVQAA25rK.jpg")</f>
        <v/>
      </c>
      <c r="G2439" t="s"/>
      <c r="H2439" t="s"/>
      <c r="I2439" t="s"/>
      <c r="J2439" t="n">
        <v>0.9274</v>
      </c>
      <c r="K2439" t="n">
        <v>0</v>
      </c>
      <c r="L2439" t="n">
        <v>0.541</v>
      </c>
      <c r="M2439" t="n">
        <v>0.459</v>
      </c>
    </row>
    <row r="2440" spans="1:13">
      <c r="A2440" s="1">
        <f>HYPERLINK("http://www.twitter.com/NathanBLawrence/status/971224661085249536", "971224661085249536")</f>
        <v/>
      </c>
      <c r="B2440" s="2" t="n">
        <v>43166.14094907408</v>
      </c>
      <c r="C2440" t="n">
        <v>22</v>
      </c>
      <c r="D2440" t="n">
        <v>12</v>
      </c>
      <c r="E2440" t="s">
        <v>2444</v>
      </c>
      <c r="F2440" t="s"/>
      <c r="G2440" t="s"/>
      <c r="H2440" t="s"/>
      <c r="I2440" t="s"/>
      <c r="J2440" t="n">
        <v>0</v>
      </c>
      <c r="K2440" t="n">
        <v>0</v>
      </c>
      <c r="L2440" t="n">
        <v>1</v>
      </c>
      <c r="M2440" t="n">
        <v>0</v>
      </c>
    </row>
    <row r="2441" spans="1:13">
      <c r="A2441" s="1">
        <f>HYPERLINK("http://www.twitter.com/NathanBLawrence/status/971194123972591617", "971194123972591617")</f>
        <v/>
      </c>
      <c r="B2441" s="2" t="n">
        <v>43166.05667824074</v>
      </c>
      <c r="C2441" t="n">
        <v>0</v>
      </c>
      <c r="D2441" t="n">
        <v>2</v>
      </c>
      <c r="E2441" t="s">
        <v>2445</v>
      </c>
      <c r="F2441" t="s"/>
      <c r="G2441" t="s"/>
      <c r="H2441" t="s"/>
      <c r="I2441" t="s"/>
      <c r="J2441" t="n">
        <v>0</v>
      </c>
      <c r="K2441" t="n">
        <v>0</v>
      </c>
      <c r="L2441" t="n">
        <v>1</v>
      </c>
      <c r="M2441" t="n">
        <v>0</v>
      </c>
    </row>
    <row r="2442" spans="1:13">
      <c r="A2442" s="1">
        <f>HYPERLINK("http://www.twitter.com/NathanBLawrence/status/971143519413796864", "971143519413796864")</f>
        <v/>
      </c>
      <c r="B2442" s="2" t="n">
        <v>43165.91703703703</v>
      </c>
      <c r="C2442" t="n">
        <v>0</v>
      </c>
      <c r="D2442" t="n">
        <v>2</v>
      </c>
      <c r="E2442" t="s">
        <v>2446</v>
      </c>
      <c r="F2442" t="s"/>
      <c r="G2442" t="s"/>
      <c r="H2442" t="s"/>
      <c r="I2442" t="s"/>
      <c r="J2442" t="n">
        <v>-0.25</v>
      </c>
      <c r="K2442" t="n">
        <v>0.125</v>
      </c>
      <c r="L2442" t="n">
        <v>0.875</v>
      </c>
      <c r="M2442" t="n">
        <v>0</v>
      </c>
    </row>
    <row r="2443" spans="1:13">
      <c r="A2443" s="1">
        <f>HYPERLINK("http://www.twitter.com/NathanBLawrence/status/970899558505988096", "970899558505988096")</f>
        <v/>
      </c>
      <c r="B2443" s="2" t="n">
        <v>43165.24383101852</v>
      </c>
      <c r="C2443" t="n">
        <v>0</v>
      </c>
      <c r="D2443" t="n">
        <v>174</v>
      </c>
      <c r="E2443" t="s">
        <v>2447</v>
      </c>
      <c r="F2443" t="s"/>
      <c r="G2443" t="s"/>
      <c r="H2443" t="s"/>
      <c r="I2443" t="s"/>
      <c r="J2443" t="n">
        <v>0</v>
      </c>
      <c r="K2443" t="n">
        <v>0</v>
      </c>
      <c r="L2443" t="n">
        <v>1</v>
      </c>
      <c r="M2443" t="n">
        <v>0</v>
      </c>
    </row>
    <row r="2444" spans="1:13">
      <c r="A2444" s="1">
        <f>HYPERLINK("http://www.twitter.com/NathanBLawrence/status/970899498057613313", "970899498057613313")</f>
        <v/>
      </c>
      <c r="B2444" s="2" t="n">
        <v>43165.24366898148</v>
      </c>
      <c r="C2444" t="n">
        <v>0</v>
      </c>
      <c r="D2444" t="n">
        <v>45</v>
      </c>
      <c r="E2444" t="s">
        <v>2448</v>
      </c>
      <c r="F2444">
        <f>HYPERLINK("http://pbs.twimg.com/media/DXjH_fmVoAAYVJF.jpg", "http://pbs.twimg.com/media/DXjH_fmVoAAYVJF.jpg")</f>
        <v/>
      </c>
      <c r="G2444" t="s"/>
      <c r="H2444" t="s"/>
      <c r="I2444" t="s"/>
      <c r="J2444" t="n">
        <v>0.6124000000000001</v>
      </c>
      <c r="K2444" t="n">
        <v>0</v>
      </c>
      <c r="L2444" t="n">
        <v>0.739</v>
      </c>
      <c r="M2444" t="n">
        <v>0.261</v>
      </c>
    </row>
    <row r="2445" spans="1:13">
      <c r="A2445" s="1">
        <f>HYPERLINK("http://www.twitter.com/NathanBLawrence/status/970899315336990720", "970899315336990720")</f>
        <v/>
      </c>
      <c r="B2445" s="2" t="n">
        <v>43165.24315972222</v>
      </c>
      <c r="C2445" t="n">
        <v>0</v>
      </c>
      <c r="D2445" t="n">
        <v>490</v>
      </c>
      <c r="E2445" t="s">
        <v>2449</v>
      </c>
      <c r="F2445">
        <f>HYPERLINK("http://pbs.twimg.com/media/DXjgAdNVMAAhAuf.jpg", "http://pbs.twimg.com/media/DXjgAdNVMAAhAuf.jpg")</f>
        <v/>
      </c>
      <c r="G2445" t="s"/>
      <c r="H2445" t="s"/>
      <c r="I2445" t="s"/>
      <c r="J2445" t="n">
        <v>0.7717000000000001</v>
      </c>
      <c r="K2445" t="n">
        <v>0</v>
      </c>
      <c r="L2445" t="n">
        <v>0.712</v>
      </c>
      <c r="M2445" t="n">
        <v>0.288</v>
      </c>
    </row>
    <row r="2446" spans="1:13">
      <c r="A2446" s="1">
        <f>HYPERLINK("http://www.twitter.com/NathanBLawrence/status/970898349611036673", "970898349611036673")</f>
        <v/>
      </c>
      <c r="B2446" s="2" t="n">
        <v>43165.24049768518</v>
      </c>
      <c r="C2446" t="n">
        <v>0</v>
      </c>
      <c r="D2446" t="n">
        <v>157</v>
      </c>
      <c r="E2446" t="s">
        <v>2450</v>
      </c>
      <c r="F2446">
        <f>HYPERLINK("http://pbs.twimg.com/media/DXkwqSsXkAAupw0.jpg", "http://pbs.twimg.com/media/DXkwqSsXkAAupw0.jpg")</f>
        <v/>
      </c>
      <c r="G2446" t="s"/>
      <c r="H2446" t="s"/>
      <c r="I2446" t="s"/>
      <c r="J2446" t="n">
        <v>0.4215</v>
      </c>
      <c r="K2446" t="n">
        <v>0</v>
      </c>
      <c r="L2446" t="n">
        <v>0.859</v>
      </c>
      <c r="M2446" t="n">
        <v>0.141</v>
      </c>
    </row>
    <row r="2447" spans="1:13">
      <c r="A2447" s="1">
        <f>HYPERLINK("http://www.twitter.com/NathanBLawrence/status/970897724823429125", "970897724823429125")</f>
        <v/>
      </c>
      <c r="B2447" s="2" t="n">
        <v>43165.23877314815</v>
      </c>
      <c r="C2447" t="n">
        <v>0</v>
      </c>
      <c r="D2447" t="n">
        <v>580</v>
      </c>
      <c r="E2447" t="s">
        <v>2451</v>
      </c>
      <c r="F2447">
        <f>HYPERLINK("http://pbs.twimg.com/media/DXlE45lU0AA-3zU.jpg", "http://pbs.twimg.com/media/DXlE45lU0AA-3zU.jpg")</f>
        <v/>
      </c>
      <c r="G2447" t="s"/>
      <c r="H2447" t="s"/>
      <c r="I2447" t="s"/>
      <c r="J2447" t="n">
        <v>0.5994</v>
      </c>
      <c r="K2447" t="n">
        <v>0</v>
      </c>
      <c r="L2447" t="n">
        <v>0.865</v>
      </c>
      <c r="M2447" t="n">
        <v>0.135</v>
      </c>
    </row>
    <row r="2448" spans="1:13">
      <c r="A2448" s="1">
        <f>HYPERLINK("http://www.twitter.com/NathanBLawrence/status/970897446422265856", "970897446422265856")</f>
        <v/>
      </c>
      <c r="B2448" s="2" t="n">
        <v>43165.23800925926</v>
      </c>
      <c r="C2448" t="n">
        <v>0</v>
      </c>
      <c r="D2448" t="n">
        <v>258</v>
      </c>
      <c r="E2448" t="s">
        <v>2452</v>
      </c>
      <c r="F2448" t="s"/>
      <c r="G2448" t="s"/>
      <c r="H2448" t="s"/>
      <c r="I2448" t="s"/>
      <c r="J2448" t="n">
        <v>0.5574</v>
      </c>
      <c r="K2448" t="n">
        <v>0</v>
      </c>
      <c r="L2448" t="n">
        <v>0.796</v>
      </c>
      <c r="M2448" t="n">
        <v>0.204</v>
      </c>
    </row>
    <row r="2449" spans="1:13">
      <c r="A2449" s="1">
        <f>HYPERLINK("http://www.twitter.com/NathanBLawrence/status/970870007742701568", "970870007742701568")</f>
        <v/>
      </c>
      <c r="B2449" s="2" t="n">
        <v>43165.16229166667</v>
      </c>
      <c r="C2449" t="n">
        <v>0</v>
      </c>
      <c r="D2449" t="n">
        <v>91</v>
      </c>
      <c r="E2449" t="s">
        <v>2453</v>
      </c>
      <c r="F2449">
        <f>HYPERLINK("http://pbs.twimg.com/media/DXkhq8nVwAEpGGG.jpg", "http://pbs.twimg.com/media/DXkhq8nVwAEpGGG.jpg")</f>
        <v/>
      </c>
      <c r="G2449">
        <f>HYPERLINK("http://pbs.twimg.com/media/DXkhq8oU0AE3_TT.jpg", "http://pbs.twimg.com/media/DXkhq8oU0AE3_TT.jpg")</f>
        <v/>
      </c>
      <c r="H2449">
        <f>HYPERLINK("http://pbs.twimg.com/media/DXkhq8oVoAA7bXY.jpg", "http://pbs.twimg.com/media/DXkhq8oVoAA7bXY.jpg")</f>
        <v/>
      </c>
      <c r="I2449">
        <f>HYPERLINK("http://pbs.twimg.com/media/DXkhq8nV4AAJd3x.jpg", "http://pbs.twimg.com/media/DXkhq8nV4AAJd3x.jpg")</f>
        <v/>
      </c>
      <c r="J2449" t="n">
        <v>0.8619</v>
      </c>
      <c r="K2449" t="n">
        <v>0</v>
      </c>
      <c r="L2449" t="n">
        <v>0.651</v>
      </c>
      <c r="M2449" t="n">
        <v>0.349</v>
      </c>
    </row>
    <row r="2450" spans="1:13">
      <c r="A2450" s="1">
        <f>HYPERLINK("http://www.twitter.com/NathanBLawrence/status/970869900414562304", "970869900414562304")</f>
        <v/>
      </c>
      <c r="B2450" s="2" t="n">
        <v>43165.16199074074</v>
      </c>
      <c r="C2450" t="n">
        <v>0</v>
      </c>
      <c r="D2450" t="n">
        <v>5944</v>
      </c>
      <c r="E2450" t="s">
        <v>2454</v>
      </c>
      <c r="F2450" t="s"/>
      <c r="G2450" t="s"/>
      <c r="H2450" t="s"/>
      <c r="I2450" t="s"/>
      <c r="J2450" t="n">
        <v>-0.6533</v>
      </c>
      <c r="K2450" t="n">
        <v>0.229</v>
      </c>
      <c r="L2450" t="n">
        <v>0.726</v>
      </c>
      <c r="M2450" t="n">
        <v>0.045</v>
      </c>
    </row>
    <row r="2451" spans="1:13">
      <c r="A2451" s="1">
        <f>HYPERLINK("http://www.twitter.com/NathanBLawrence/status/970869748673073152", "970869748673073152")</f>
        <v/>
      </c>
      <c r="B2451" s="2" t="n">
        <v>43165.16157407407</v>
      </c>
      <c r="C2451" t="n">
        <v>0</v>
      </c>
      <c r="D2451" t="n">
        <v>6867</v>
      </c>
      <c r="E2451" t="s">
        <v>2455</v>
      </c>
      <c r="F2451" t="s"/>
      <c r="G2451" t="s"/>
      <c r="H2451" t="s"/>
      <c r="I2451" t="s"/>
      <c r="J2451" t="n">
        <v>0.743</v>
      </c>
      <c r="K2451" t="n">
        <v>0.067</v>
      </c>
      <c r="L2451" t="n">
        <v>0.642</v>
      </c>
      <c r="M2451" t="n">
        <v>0.291</v>
      </c>
    </row>
    <row r="2452" spans="1:13">
      <c r="A2452" s="1">
        <f>HYPERLINK("http://www.twitter.com/NathanBLawrence/status/970830039888490496", "970830039888490496")</f>
        <v/>
      </c>
      <c r="B2452" s="2" t="n">
        <v>43165.05200231481</v>
      </c>
      <c r="C2452" t="n">
        <v>0</v>
      </c>
      <c r="D2452" t="n">
        <v>5182</v>
      </c>
      <c r="E2452" t="s">
        <v>2456</v>
      </c>
      <c r="F2452" t="s"/>
      <c r="G2452" t="s"/>
      <c r="H2452" t="s"/>
      <c r="I2452" t="s"/>
      <c r="J2452" t="n">
        <v>0.6124000000000001</v>
      </c>
      <c r="K2452" t="n">
        <v>0</v>
      </c>
      <c r="L2452" t="n">
        <v>0.8</v>
      </c>
      <c r="M2452" t="n">
        <v>0.2</v>
      </c>
    </row>
    <row r="2453" spans="1:13">
      <c r="A2453" s="1">
        <f>HYPERLINK("http://www.twitter.com/NathanBLawrence/status/970829739857469440", "970829739857469440")</f>
        <v/>
      </c>
      <c r="B2453" s="2" t="n">
        <v>43165.05116898148</v>
      </c>
      <c r="C2453" t="n">
        <v>0</v>
      </c>
      <c r="D2453" t="n">
        <v>1504</v>
      </c>
      <c r="E2453" t="s">
        <v>2457</v>
      </c>
      <c r="F2453">
        <f>HYPERLINK("https://video.twimg.com/ext_tw_video/970817799072264192/pu/vid/720x720/nklCi-Tt8zexM3jd.mp4", "https://video.twimg.com/ext_tw_video/970817799072264192/pu/vid/720x720/nklCi-Tt8zexM3jd.mp4")</f>
        <v/>
      </c>
      <c r="G2453" t="s"/>
      <c r="H2453" t="s"/>
      <c r="I2453" t="s"/>
      <c r="J2453" t="n">
        <v>-0.4588</v>
      </c>
      <c r="K2453" t="n">
        <v>0.214</v>
      </c>
      <c r="L2453" t="n">
        <v>0.786</v>
      </c>
      <c r="M2453" t="n">
        <v>0</v>
      </c>
    </row>
    <row r="2454" spans="1:13">
      <c r="A2454" s="1">
        <f>HYPERLINK("http://www.twitter.com/NathanBLawrence/status/970829693178986496", "970829693178986496")</f>
        <v/>
      </c>
      <c r="B2454" s="2" t="n">
        <v>43165.05104166667</v>
      </c>
      <c r="C2454" t="n">
        <v>0</v>
      </c>
      <c r="D2454" t="n">
        <v>24</v>
      </c>
      <c r="E2454" t="s">
        <v>2458</v>
      </c>
      <c r="F2454">
        <f>HYPERLINK("http://pbs.twimg.com/media/DXkBJbSXUAA0get.jpg", "http://pbs.twimg.com/media/DXkBJbSXUAA0get.jpg")</f>
        <v/>
      </c>
      <c r="G2454" t="s"/>
      <c r="H2454" t="s"/>
      <c r="I2454" t="s"/>
      <c r="J2454" t="n">
        <v>0</v>
      </c>
      <c r="K2454" t="n">
        <v>0</v>
      </c>
      <c r="L2454" t="n">
        <v>1</v>
      </c>
      <c r="M2454" t="n">
        <v>0</v>
      </c>
    </row>
    <row r="2455" spans="1:13">
      <c r="A2455" s="1">
        <f>HYPERLINK("http://www.twitter.com/NathanBLawrence/status/970829283747823616", "970829283747823616")</f>
        <v/>
      </c>
      <c r="B2455" s="2" t="n">
        <v>43165.04991898148</v>
      </c>
      <c r="C2455" t="n">
        <v>0</v>
      </c>
      <c r="D2455" t="n">
        <v>469</v>
      </c>
      <c r="E2455" t="s">
        <v>2459</v>
      </c>
      <c r="F2455">
        <f>HYPERLINK("https://video.twimg.com/ext_tw_video/970822511255486465/pu/vid/640x360/qfNueFXJQew3HoSH.mp4", "https://video.twimg.com/ext_tw_video/970822511255486465/pu/vid/640x360/qfNueFXJQew3HoSH.mp4")</f>
        <v/>
      </c>
      <c r="G2455" t="s"/>
      <c r="H2455" t="s"/>
      <c r="I2455" t="s"/>
      <c r="J2455" t="n">
        <v>-0.4019</v>
      </c>
      <c r="K2455" t="n">
        <v>0.124</v>
      </c>
      <c r="L2455" t="n">
        <v>0.876</v>
      </c>
      <c r="M2455" t="n">
        <v>0</v>
      </c>
    </row>
    <row r="2456" spans="1:13">
      <c r="A2456" s="1">
        <f>HYPERLINK("http://www.twitter.com/NathanBLawrence/status/970829184229494784", "970829184229494784")</f>
        <v/>
      </c>
      <c r="B2456" s="2" t="n">
        <v>43165.0496412037</v>
      </c>
      <c r="C2456" t="n">
        <v>0</v>
      </c>
      <c r="D2456" t="n">
        <v>6</v>
      </c>
      <c r="E2456" t="s">
        <v>2460</v>
      </c>
      <c r="F2456" t="s"/>
      <c r="G2456" t="s"/>
      <c r="H2456" t="s"/>
      <c r="I2456" t="s"/>
      <c r="J2456" t="n">
        <v>-0.1027</v>
      </c>
      <c r="K2456" t="n">
        <v>0.06900000000000001</v>
      </c>
      <c r="L2456" t="n">
        <v>0.931</v>
      </c>
      <c r="M2456" t="n">
        <v>0</v>
      </c>
    </row>
    <row r="2457" spans="1:13">
      <c r="A2457" s="1">
        <f>HYPERLINK("http://www.twitter.com/NathanBLawrence/status/970829150821986304", "970829150821986304")</f>
        <v/>
      </c>
      <c r="B2457" s="2" t="n">
        <v>43165.04954861111</v>
      </c>
      <c r="C2457" t="n">
        <v>0</v>
      </c>
      <c r="D2457" t="n">
        <v>220</v>
      </c>
      <c r="E2457" t="s">
        <v>2461</v>
      </c>
      <c r="F2457">
        <f>HYPERLINK("http://pbs.twimg.com/media/DXjTLxsU8AAMS-u.jpg", "http://pbs.twimg.com/media/DXjTLxsU8AAMS-u.jpg")</f>
        <v/>
      </c>
      <c r="G2457" t="s"/>
      <c r="H2457" t="s"/>
      <c r="I2457" t="s"/>
      <c r="J2457" t="n">
        <v>0.4215</v>
      </c>
      <c r="K2457" t="n">
        <v>0</v>
      </c>
      <c r="L2457" t="n">
        <v>0.896</v>
      </c>
      <c r="M2457" t="n">
        <v>0.104</v>
      </c>
    </row>
    <row r="2458" spans="1:13">
      <c r="A2458" s="1">
        <f>HYPERLINK("http://www.twitter.com/NathanBLawrence/status/970829042516557824", "970829042516557824")</f>
        <v/>
      </c>
      <c r="B2458" s="2" t="n">
        <v>43165.04924768519</v>
      </c>
      <c r="C2458" t="n">
        <v>0</v>
      </c>
      <c r="D2458" t="n">
        <v>926</v>
      </c>
      <c r="E2458" t="s">
        <v>2462</v>
      </c>
      <c r="F2458" t="s"/>
      <c r="G2458" t="s"/>
      <c r="H2458" t="s"/>
      <c r="I2458" t="s"/>
      <c r="J2458" t="n">
        <v>0.5423</v>
      </c>
      <c r="K2458" t="n">
        <v>0</v>
      </c>
      <c r="L2458" t="n">
        <v>0.78</v>
      </c>
      <c r="M2458" t="n">
        <v>0.22</v>
      </c>
    </row>
    <row r="2459" spans="1:13">
      <c r="A2459" s="1">
        <f>HYPERLINK("http://www.twitter.com/NathanBLawrence/status/970828860538355717", "970828860538355717")</f>
        <v/>
      </c>
      <c r="B2459" s="2" t="n">
        <v>43165.04875</v>
      </c>
      <c r="C2459" t="n">
        <v>0</v>
      </c>
      <c r="D2459" t="n">
        <v>197</v>
      </c>
      <c r="E2459" t="s">
        <v>2463</v>
      </c>
      <c r="F2459" t="s"/>
      <c r="G2459" t="s"/>
      <c r="H2459" t="s"/>
      <c r="I2459" t="s"/>
      <c r="J2459" t="n">
        <v>0</v>
      </c>
      <c r="K2459" t="n">
        <v>0</v>
      </c>
      <c r="L2459" t="n">
        <v>1</v>
      </c>
      <c r="M2459" t="n">
        <v>0</v>
      </c>
    </row>
    <row r="2460" spans="1:13">
      <c r="A2460" s="1">
        <f>HYPERLINK("http://www.twitter.com/NathanBLawrence/status/970828251697504256", "970828251697504256")</f>
        <v/>
      </c>
      <c r="B2460" s="2" t="n">
        <v>43165.04706018518</v>
      </c>
      <c r="C2460" t="n">
        <v>0</v>
      </c>
      <c r="D2460" t="n">
        <v>6620</v>
      </c>
      <c r="E2460" t="s">
        <v>2464</v>
      </c>
      <c r="F2460" t="s"/>
      <c r="G2460" t="s"/>
      <c r="H2460" t="s"/>
      <c r="I2460" t="s"/>
      <c r="J2460" t="n">
        <v>0.7506</v>
      </c>
      <c r="K2460" t="n">
        <v>0</v>
      </c>
      <c r="L2460" t="n">
        <v>0.714</v>
      </c>
      <c r="M2460" t="n">
        <v>0.286</v>
      </c>
    </row>
    <row r="2461" spans="1:13">
      <c r="A2461" s="1">
        <f>HYPERLINK("http://www.twitter.com/NathanBLawrence/status/970749191189233664", "970749191189233664")</f>
        <v/>
      </c>
      <c r="B2461" s="2" t="n">
        <v>43164.82890046296</v>
      </c>
      <c r="C2461" t="n">
        <v>7</v>
      </c>
      <c r="D2461" t="n">
        <v>1</v>
      </c>
      <c r="E2461" t="s">
        <v>2465</v>
      </c>
      <c r="F2461" t="s"/>
      <c r="G2461" t="s"/>
      <c r="H2461" t="s"/>
      <c r="I2461" t="s"/>
      <c r="J2461" t="n">
        <v>0.4019</v>
      </c>
      <c r="K2461" t="n">
        <v>0</v>
      </c>
      <c r="L2461" t="n">
        <v>0.838</v>
      </c>
      <c r="M2461" t="n">
        <v>0.162</v>
      </c>
    </row>
    <row r="2462" spans="1:13">
      <c r="A2462" s="1">
        <f>HYPERLINK("http://www.twitter.com/NathanBLawrence/status/970486469990137857", "970486469990137857")</f>
        <v/>
      </c>
      <c r="B2462" s="2" t="n">
        <v>43164.10392361111</v>
      </c>
      <c r="C2462" t="n">
        <v>0</v>
      </c>
      <c r="D2462" t="n">
        <v>214</v>
      </c>
      <c r="E2462" t="s">
        <v>2466</v>
      </c>
      <c r="F2462">
        <f>HYPERLINK("http://pbs.twimg.com/media/DW48-2vX0AAsQxe.jpg", "http://pbs.twimg.com/media/DW48-2vX0AAsQxe.jpg")</f>
        <v/>
      </c>
      <c r="G2462" t="s"/>
      <c r="H2462" t="s"/>
      <c r="I2462" t="s"/>
      <c r="J2462" t="n">
        <v>0</v>
      </c>
      <c r="K2462" t="n">
        <v>0</v>
      </c>
      <c r="L2462" t="n">
        <v>1</v>
      </c>
      <c r="M2462" t="n">
        <v>0</v>
      </c>
    </row>
    <row r="2463" spans="1:13">
      <c r="A2463" s="1">
        <f>HYPERLINK("http://www.twitter.com/NathanBLawrence/status/970486338217590785", "970486338217590785")</f>
        <v/>
      </c>
      <c r="B2463" s="2" t="n">
        <v>43164.10356481482</v>
      </c>
      <c r="C2463" t="n">
        <v>0</v>
      </c>
      <c r="D2463" t="n">
        <v>522</v>
      </c>
      <c r="E2463" t="s">
        <v>2467</v>
      </c>
      <c r="F2463">
        <f>HYPERLINK("http://pbs.twimg.com/media/DXcQFm-VwAAdkNd.jpg", "http://pbs.twimg.com/media/DXcQFm-VwAAdkNd.jpg")</f>
        <v/>
      </c>
      <c r="G2463" t="s"/>
      <c r="H2463" t="s"/>
      <c r="I2463" t="s"/>
      <c r="J2463" t="n">
        <v>-0.7772</v>
      </c>
      <c r="K2463" t="n">
        <v>0.285</v>
      </c>
      <c r="L2463" t="n">
        <v>0.715</v>
      </c>
      <c r="M2463" t="n">
        <v>0</v>
      </c>
    </row>
    <row r="2464" spans="1:13">
      <c r="A2464" s="1">
        <f>HYPERLINK("http://www.twitter.com/NathanBLawrence/status/970486179110952960", "970486179110952960")</f>
        <v/>
      </c>
      <c r="B2464" s="2" t="n">
        <v>43164.103125</v>
      </c>
      <c r="C2464" t="n">
        <v>0</v>
      </c>
      <c r="D2464" t="n">
        <v>247</v>
      </c>
      <c r="E2464" t="s">
        <v>2468</v>
      </c>
      <c r="F2464">
        <f>HYPERLINK("http://pbs.twimg.com/media/DXZtdNyV4AAEHgQ.jpg", "http://pbs.twimg.com/media/DXZtdNyV4AAEHgQ.jpg")</f>
        <v/>
      </c>
      <c r="G2464" t="s"/>
      <c r="H2464" t="s"/>
      <c r="I2464" t="s"/>
      <c r="J2464" t="n">
        <v>0.8481</v>
      </c>
      <c r="K2464" t="n">
        <v>0</v>
      </c>
      <c r="L2464" t="n">
        <v>0.723</v>
      </c>
      <c r="M2464" t="n">
        <v>0.277</v>
      </c>
    </row>
    <row r="2465" spans="1:13">
      <c r="A2465" s="1">
        <f>HYPERLINK("http://www.twitter.com/NathanBLawrence/status/970485518596169729", "970485518596169729")</f>
        <v/>
      </c>
      <c r="B2465" s="2" t="n">
        <v>43164.10130787037</v>
      </c>
      <c r="C2465" t="n">
        <v>0</v>
      </c>
      <c r="D2465" t="n">
        <v>3467</v>
      </c>
      <c r="E2465" t="s">
        <v>2469</v>
      </c>
      <c r="F2465">
        <f>HYPERLINK("https://video.twimg.com/ext_tw_video/970382902419636224/pu/vid/640x360/EyKZ-BeId_iZhtzp.mp4", "https://video.twimg.com/ext_tw_video/970382902419636224/pu/vid/640x360/EyKZ-BeId_iZhtzp.mp4")</f>
        <v/>
      </c>
      <c r="G2465" t="s"/>
      <c r="H2465" t="s"/>
      <c r="I2465" t="s"/>
      <c r="J2465" t="n">
        <v>-0.34</v>
      </c>
      <c r="K2465" t="n">
        <v>0.1</v>
      </c>
      <c r="L2465" t="n">
        <v>0.852</v>
      </c>
      <c r="M2465" t="n">
        <v>0.048</v>
      </c>
    </row>
    <row r="2466" spans="1:13">
      <c r="A2466" s="1">
        <f>HYPERLINK("http://www.twitter.com/NathanBLawrence/status/970485237330337793", "970485237330337793")</f>
        <v/>
      </c>
      <c r="B2466" s="2" t="n">
        <v>43164.10052083333</v>
      </c>
      <c r="C2466" t="n">
        <v>0</v>
      </c>
      <c r="D2466" t="n">
        <v>1061</v>
      </c>
      <c r="E2466" t="s">
        <v>2470</v>
      </c>
      <c r="F2466" t="s"/>
      <c r="G2466" t="s"/>
      <c r="H2466" t="s"/>
      <c r="I2466" t="s"/>
      <c r="J2466" t="n">
        <v>0.743</v>
      </c>
      <c r="K2466" t="n">
        <v>0</v>
      </c>
      <c r="L2466" t="n">
        <v>0.751</v>
      </c>
      <c r="M2466" t="n">
        <v>0.249</v>
      </c>
    </row>
    <row r="2467" spans="1:13">
      <c r="A2467" s="1">
        <f>HYPERLINK("http://www.twitter.com/NathanBLawrence/status/970485110142156800", "970485110142156800")</f>
        <v/>
      </c>
      <c r="B2467" s="2" t="n">
        <v>43164.10017361111</v>
      </c>
      <c r="C2467" t="n">
        <v>0</v>
      </c>
      <c r="D2467" t="n">
        <v>4734</v>
      </c>
      <c r="E2467" t="s">
        <v>2471</v>
      </c>
      <c r="F2467" t="s"/>
      <c r="G2467" t="s"/>
      <c r="H2467" t="s"/>
      <c r="I2467" t="s"/>
      <c r="J2467" t="n">
        <v>-0.0258</v>
      </c>
      <c r="K2467" t="n">
        <v>0.169</v>
      </c>
      <c r="L2467" t="n">
        <v>0.706</v>
      </c>
      <c r="M2467" t="n">
        <v>0.125</v>
      </c>
    </row>
    <row r="2468" spans="1:13">
      <c r="A2468" s="1">
        <f>HYPERLINK("http://www.twitter.com/NathanBLawrence/status/970485064009043968", "970485064009043968")</f>
        <v/>
      </c>
      <c r="B2468" s="2" t="n">
        <v>43164.1000462963</v>
      </c>
      <c r="C2468" t="n">
        <v>0</v>
      </c>
      <c r="D2468" t="n">
        <v>1351</v>
      </c>
      <c r="E2468" t="s">
        <v>2472</v>
      </c>
      <c r="F2468" t="s"/>
      <c r="G2468" t="s"/>
      <c r="H2468" t="s"/>
      <c r="I2468" t="s"/>
      <c r="J2468" t="n">
        <v>0</v>
      </c>
      <c r="K2468" t="n">
        <v>0</v>
      </c>
      <c r="L2468" t="n">
        <v>1</v>
      </c>
      <c r="M2468" t="n">
        <v>0</v>
      </c>
    </row>
    <row r="2469" spans="1:13">
      <c r="A2469" s="1">
        <f>HYPERLINK("http://www.twitter.com/NathanBLawrence/status/970484983281336320", "970484983281336320")</f>
        <v/>
      </c>
      <c r="B2469" s="2" t="n">
        <v>43164.09982638889</v>
      </c>
      <c r="C2469" t="n">
        <v>0</v>
      </c>
      <c r="D2469" t="n">
        <v>9072</v>
      </c>
      <c r="E2469" t="s">
        <v>2473</v>
      </c>
      <c r="F2469" t="s"/>
      <c r="G2469" t="s"/>
      <c r="H2469" t="s"/>
      <c r="I2469" t="s"/>
      <c r="J2469" t="n">
        <v>0.34</v>
      </c>
      <c r="K2469" t="n">
        <v>0</v>
      </c>
      <c r="L2469" t="n">
        <v>0.876</v>
      </c>
      <c r="M2469" t="n">
        <v>0.124</v>
      </c>
    </row>
    <row r="2470" spans="1:13">
      <c r="A2470" s="1">
        <f>HYPERLINK("http://www.twitter.com/NathanBLawrence/status/970482229477543936", "970482229477543936")</f>
        <v/>
      </c>
      <c r="B2470" s="2" t="n">
        <v>43164.09222222222</v>
      </c>
      <c r="C2470" t="n">
        <v>37</v>
      </c>
      <c r="D2470" t="n">
        <v>5</v>
      </c>
      <c r="E2470" t="s">
        <v>2474</v>
      </c>
      <c r="F2470">
        <f>HYPERLINK("http://pbs.twimg.com/media/DXfYcZUX0AADtHw.jpg", "http://pbs.twimg.com/media/DXfYcZUX0AADtHw.jpg")</f>
        <v/>
      </c>
      <c r="G2470" t="s"/>
      <c r="H2470" t="s"/>
      <c r="I2470" t="s"/>
      <c r="J2470" t="n">
        <v>0</v>
      </c>
      <c r="K2470" t="n">
        <v>0</v>
      </c>
      <c r="L2470" t="n">
        <v>1</v>
      </c>
      <c r="M2470" t="n">
        <v>0</v>
      </c>
    </row>
    <row r="2471" spans="1:13">
      <c r="A2471" s="1">
        <f>HYPERLINK("http://www.twitter.com/NathanBLawrence/status/969964796853415936", "969964796853415936")</f>
        <v/>
      </c>
      <c r="B2471" s="2" t="n">
        <v>43162.66438657408</v>
      </c>
      <c r="C2471" t="n">
        <v>0</v>
      </c>
      <c r="D2471" t="n">
        <v>701</v>
      </c>
      <c r="E2471" t="s">
        <v>2475</v>
      </c>
      <c r="F2471" t="s"/>
      <c r="G2471" t="s"/>
      <c r="H2471" t="s"/>
      <c r="I2471" t="s"/>
      <c r="J2471" t="n">
        <v>-0.8225</v>
      </c>
      <c r="K2471" t="n">
        <v>0.336</v>
      </c>
      <c r="L2471" t="n">
        <v>0.664</v>
      </c>
      <c r="M2471" t="n">
        <v>0</v>
      </c>
    </row>
    <row r="2472" spans="1:13">
      <c r="A2472" s="1">
        <f>HYPERLINK("http://www.twitter.com/NathanBLawrence/status/969862572382896128", "969862572382896128")</f>
        <v/>
      </c>
      <c r="B2472" s="2" t="n">
        <v>43162.38230324074</v>
      </c>
      <c r="C2472" t="n">
        <v>0</v>
      </c>
      <c r="D2472" t="n">
        <v>1082</v>
      </c>
      <c r="E2472" t="s">
        <v>2476</v>
      </c>
      <c r="F2472">
        <f>HYPERLINK("https://video.twimg.com/ext_tw_video/953653114393038848/pu/vid/240x240/tiu5zdUXQLpADUdg.mp4", "https://video.twimg.com/ext_tw_video/953653114393038848/pu/vid/240x240/tiu5zdUXQLpADUdg.mp4")</f>
        <v/>
      </c>
      <c r="G2472" t="s"/>
      <c r="H2472" t="s"/>
      <c r="I2472" t="s"/>
      <c r="J2472" t="n">
        <v>0.8718</v>
      </c>
      <c r="K2472" t="n">
        <v>0</v>
      </c>
      <c r="L2472" t="n">
        <v>0.527</v>
      </c>
      <c r="M2472" t="n">
        <v>0.473</v>
      </c>
    </row>
    <row r="2473" spans="1:13">
      <c r="A2473" s="1">
        <f>HYPERLINK("http://www.twitter.com/NathanBLawrence/status/969861988653268993", "969861988653268993")</f>
        <v/>
      </c>
      <c r="B2473" s="2" t="n">
        <v>43162.38068287037</v>
      </c>
      <c r="C2473" t="n">
        <v>0</v>
      </c>
      <c r="D2473" t="n">
        <v>303</v>
      </c>
      <c r="E2473" t="s">
        <v>2477</v>
      </c>
      <c r="F2473">
        <f>HYPERLINK("http://pbs.twimg.com/media/DXTsc9jUMAAoG_q.jpg", "http://pbs.twimg.com/media/DXTsc9jUMAAoG_q.jpg")</f>
        <v/>
      </c>
      <c r="G2473" t="s"/>
      <c r="H2473" t="s"/>
      <c r="I2473" t="s"/>
      <c r="J2473" t="n">
        <v>0</v>
      </c>
      <c r="K2473" t="n">
        <v>0</v>
      </c>
      <c r="L2473" t="n">
        <v>1</v>
      </c>
      <c r="M2473" t="n">
        <v>0</v>
      </c>
    </row>
    <row r="2474" spans="1:13">
      <c r="A2474" s="1">
        <f>HYPERLINK("http://www.twitter.com/NathanBLawrence/status/969861807501328386", "969861807501328386")</f>
        <v/>
      </c>
      <c r="B2474" s="2" t="n">
        <v>43162.38018518518</v>
      </c>
      <c r="C2474" t="n">
        <v>0</v>
      </c>
      <c r="D2474" t="n">
        <v>2749</v>
      </c>
      <c r="E2474" t="s">
        <v>2478</v>
      </c>
      <c r="F2474">
        <f>HYPERLINK("http://pbs.twimg.com/media/DXUvK-BX4AAOf0n.jpg", "http://pbs.twimg.com/media/DXUvK-BX4AAOf0n.jpg")</f>
        <v/>
      </c>
      <c r="G2474" t="s"/>
      <c r="H2474" t="s"/>
      <c r="I2474" t="s"/>
      <c r="J2474" t="n">
        <v>-0.296</v>
      </c>
      <c r="K2474" t="n">
        <v>0.167</v>
      </c>
      <c r="L2474" t="n">
        <v>0.833</v>
      </c>
      <c r="M2474" t="n">
        <v>0</v>
      </c>
    </row>
    <row r="2475" spans="1:13">
      <c r="A2475" s="1">
        <f>HYPERLINK("http://www.twitter.com/NathanBLawrence/status/969835534779531264", "969835534779531264")</f>
        <v/>
      </c>
      <c r="B2475" s="2" t="n">
        <v>43162.30768518519</v>
      </c>
      <c r="C2475" t="n">
        <v>0</v>
      </c>
      <c r="D2475" t="n">
        <v>311</v>
      </c>
      <c r="E2475" t="s">
        <v>2479</v>
      </c>
      <c r="F2475">
        <f>HYPERLINK("http://pbs.twimg.com/media/DXVSMewU0AAxq2H.jpg", "http://pbs.twimg.com/media/DXVSMewU0AAxq2H.jpg")</f>
        <v/>
      </c>
      <c r="G2475" t="s"/>
      <c r="H2475" t="s"/>
      <c r="I2475" t="s"/>
      <c r="J2475" t="n">
        <v>-0.34</v>
      </c>
      <c r="K2475" t="n">
        <v>0.091</v>
      </c>
      <c r="L2475" t="n">
        <v>0.909</v>
      </c>
      <c r="M2475" t="n">
        <v>0</v>
      </c>
    </row>
    <row r="2476" spans="1:13">
      <c r="A2476" s="1">
        <f>HYPERLINK("http://www.twitter.com/NathanBLawrence/status/969737867353235456", "969737867353235456")</f>
        <v/>
      </c>
      <c r="B2476" s="2" t="n">
        <v>43162.03818287037</v>
      </c>
      <c r="C2476" t="n">
        <v>0</v>
      </c>
      <c r="D2476" t="n">
        <v>871</v>
      </c>
      <c r="E2476" t="s">
        <v>2480</v>
      </c>
      <c r="F2476">
        <f>HYPERLINK("http://pbs.twimg.com/media/DXUqwIpV4AA6emv.jpg", "http://pbs.twimg.com/media/DXUqwIpV4AA6emv.jpg")</f>
        <v/>
      </c>
      <c r="G2476" t="s"/>
      <c r="H2476" t="s"/>
      <c r="I2476" t="s"/>
      <c r="J2476" t="n">
        <v>0</v>
      </c>
      <c r="K2476" t="n">
        <v>0</v>
      </c>
      <c r="L2476" t="n">
        <v>1</v>
      </c>
      <c r="M2476" t="n">
        <v>0</v>
      </c>
    </row>
    <row r="2477" spans="1:13">
      <c r="A2477" s="1">
        <f>HYPERLINK("http://www.twitter.com/NathanBLawrence/status/969737819395473409", "969737819395473409")</f>
        <v/>
      </c>
      <c r="B2477" s="2" t="n">
        <v>43162.03804398148</v>
      </c>
      <c r="C2477" t="n">
        <v>13</v>
      </c>
      <c r="D2477" t="n">
        <v>10</v>
      </c>
      <c r="E2477" t="s">
        <v>2481</v>
      </c>
      <c r="F2477" t="s"/>
      <c r="G2477" t="s"/>
      <c r="H2477" t="s"/>
      <c r="I2477" t="s"/>
      <c r="J2477" t="n">
        <v>0</v>
      </c>
      <c r="K2477" t="n">
        <v>0</v>
      </c>
      <c r="L2477" t="n">
        <v>1</v>
      </c>
      <c r="M2477" t="n">
        <v>0</v>
      </c>
    </row>
    <row r="2478" spans="1:13">
      <c r="A2478" s="1">
        <f>HYPERLINK("http://www.twitter.com/NathanBLawrence/status/969736927258722304", "969736927258722304")</f>
        <v/>
      </c>
      <c r="B2478" s="2" t="n">
        <v>43162.0355787037</v>
      </c>
      <c r="C2478" t="n">
        <v>0</v>
      </c>
      <c r="D2478" t="n">
        <v>1879</v>
      </c>
      <c r="E2478" t="s">
        <v>2482</v>
      </c>
      <c r="F2478" t="s"/>
      <c r="G2478" t="s"/>
      <c r="H2478" t="s"/>
      <c r="I2478" t="s"/>
      <c r="J2478" t="n">
        <v>0</v>
      </c>
      <c r="K2478" t="n">
        <v>0</v>
      </c>
      <c r="L2478" t="n">
        <v>1</v>
      </c>
      <c r="M2478" t="n">
        <v>0</v>
      </c>
    </row>
    <row r="2479" spans="1:13">
      <c r="A2479" s="1">
        <f>HYPERLINK("http://www.twitter.com/NathanBLawrence/status/969736876029456384", "969736876029456384")</f>
        <v/>
      </c>
      <c r="B2479" s="2" t="n">
        <v>43162.03543981481</v>
      </c>
      <c r="C2479" t="n">
        <v>0</v>
      </c>
      <c r="D2479" t="n">
        <v>1206</v>
      </c>
      <c r="E2479" t="s">
        <v>2483</v>
      </c>
      <c r="F2479">
        <f>HYPERLINK("http://pbs.twimg.com/media/DXUlAZEU8AAx5zZ.jpg", "http://pbs.twimg.com/media/DXUlAZEU8AAx5zZ.jpg")</f>
        <v/>
      </c>
      <c r="G2479" t="s"/>
      <c r="H2479" t="s"/>
      <c r="I2479" t="s"/>
      <c r="J2479" t="n">
        <v>-0.2263</v>
      </c>
      <c r="K2479" t="n">
        <v>0.101</v>
      </c>
      <c r="L2479" t="n">
        <v>0.899</v>
      </c>
      <c r="M2479" t="n">
        <v>0</v>
      </c>
    </row>
    <row r="2480" spans="1:13">
      <c r="A2480" s="1">
        <f>HYPERLINK("http://www.twitter.com/NathanBLawrence/status/969702944458260481", "969702944458260481")</f>
        <v/>
      </c>
      <c r="B2480" s="2" t="n">
        <v>43161.94180555556</v>
      </c>
      <c r="C2480" t="n">
        <v>0</v>
      </c>
      <c r="D2480" t="n">
        <v>209</v>
      </c>
      <c r="E2480" t="s">
        <v>2484</v>
      </c>
      <c r="F2480">
        <f>HYPERLINK("http://pbs.twimg.com/media/DXUKlukX4AIqxT1.jpg", "http://pbs.twimg.com/media/DXUKlukX4AIqxT1.jpg")</f>
        <v/>
      </c>
      <c r="G2480" t="s"/>
      <c r="H2480" t="s"/>
      <c r="I2480" t="s"/>
      <c r="J2480" t="n">
        <v>0</v>
      </c>
      <c r="K2480" t="n">
        <v>0</v>
      </c>
      <c r="L2480" t="n">
        <v>1</v>
      </c>
      <c r="M2480" t="n">
        <v>0</v>
      </c>
    </row>
    <row r="2481" spans="1:13">
      <c r="A2481" s="1">
        <f>HYPERLINK("http://www.twitter.com/NathanBLawrence/status/969702848882618368", "969702848882618368")</f>
        <v/>
      </c>
      <c r="B2481" s="2" t="n">
        <v>43161.94155092593</v>
      </c>
      <c r="C2481" t="n">
        <v>0</v>
      </c>
      <c r="D2481" t="n">
        <v>1361</v>
      </c>
      <c r="E2481" t="s">
        <v>2485</v>
      </c>
      <c r="F2481">
        <f>HYPERLINK("http://pbs.twimg.com/media/DXTTOMFVMAALEig.jpg", "http://pbs.twimg.com/media/DXTTOMFVMAALEig.jpg")</f>
        <v/>
      </c>
      <c r="G2481" t="s"/>
      <c r="H2481" t="s"/>
      <c r="I2481" t="s"/>
      <c r="J2481" t="n">
        <v>-0.5574</v>
      </c>
      <c r="K2481" t="n">
        <v>0.126</v>
      </c>
      <c r="L2481" t="n">
        <v>0.874</v>
      </c>
      <c r="M2481" t="n">
        <v>0</v>
      </c>
    </row>
    <row r="2482" spans="1:13">
      <c r="A2482" s="1">
        <f>HYPERLINK("http://www.twitter.com/NathanBLawrence/status/969702652194910208", "969702652194910208")</f>
        <v/>
      </c>
      <c r="B2482" s="2" t="n">
        <v>43161.94100694444</v>
      </c>
      <c r="C2482" t="n">
        <v>0</v>
      </c>
      <c r="D2482" t="n">
        <v>7</v>
      </c>
      <c r="E2482" t="s">
        <v>2486</v>
      </c>
      <c r="F2482">
        <f>HYPERLINK("http://pbs.twimg.com/media/DXUTRVoVwAAo0nj.jpg", "http://pbs.twimg.com/media/DXUTRVoVwAAo0nj.jpg")</f>
        <v/>
      </c>
      <c r="G2482" t="s"/>
      <c r="H2482" t="s"/>
      <c r="I2482" t="s"/>
      <c r="J2482" t="n">
        <v>0</v>
      </c>
      <c r="K2482" t="n">
        <v>0</v>
      </c>
      <c r="L2482" t="n">
        <v>1</v>
      </c>
      <c r="M2482" t="n">
        <v>0</v>
      </c>
    </row>
    <row r="2483" spans="1:13">
      <c r="A2483" s="1">
        <f>HYPERLINK("http://www.twitter.com/NathanBLawrence/status/969702366000762880", "969702366000762880")</f>
        <v/>
      </c>
      <c r="B2483" s="2" t="n">
        <v>43161.94020833333</v>
      </c>
      <c r="C2483" t="n">
        <v>0</v>
      </c>
      <c r="D2483" t="n">
        <v>7</v>
      </c>
      <c r="E2483" t="s">
        <v>2487</v>
      </c>
      <c r="F2483">
        <f>HYPERLINK("http://pbs.twimg.com/media/DXRXNnuU0AAf-HY.jpg", "http://pbs.twimg.com/media/DXRXNnuU0AAf-HY.jpg")</f>
        <v/>
      </c>
      <c r="G2483" t="s"/>
      <c r="H2483" t="s"/>
      <c r="I2483" t="s"/>
      <c r="J2483" t="n">
        <v>0</v>
      </c>
      <c r="K2483" t="n">
        <v>0</v>
      </c>
      <c r="L2483" t="n">
        <v>1</v>
      </c>
      <c r="M2483" t="n">
        <v>0</v>
      </c>
    </row>
    <row r="2484" spans="1:13">
      <c r="A2484" s="1">
        <f>HYPERLINK("http://www.twitter.com/NathanBLawrence/status/969702272400703488", "969702272400703488")</f>
        <v/>
      </c>
      <c r="B2484" s="2" t="n">
        <v>43161.9399537037</v>
      </c>
      <c r="C2484" t="n">
        <v>0</v>
      </c>
      <c r="D2484" t="n">
        <v>295</v>
      </c>
      <c r="E2484" t="s">
        <v>2488</v>
      </c>
      <c r="F2484">
        <f>HYPERLINK("http://pbs.twimg.com/media/DXUI0U8VoAE6tUO.jpg", "http://pbs.twimg.com/media/DXUI0U8VoAE6tUO.jpg")</f>
        <v/>
      </c>
      <c r="G2484" t="s"/>
      <c r="H2484" t="s"/>
      <c r="I2484" t="s"/>
      <c r="J2484" t="n">
        <v>0.6689000000000001</v>
      </c>
      <c r="K2484" t="n">
        <v>0</v>
      </c>
      <c r="L2484" t="n">
        <v>0.8</v>
      </c>
      <c r="M2484" t="n">
        <v>0.2</v>
      </c>
    </row>
    <row r="2485" spans="1:13">
      <c r="A2485" s="1">
        <f>HYPERLINK("http://www.twitter.com/NathanBLawrence/status/969702109720363008", "969702109720363008")</f>
        <v/>
      </c>
      <c r="B2485" s="2" t="n">
        <v>43161.93950231482</v>
      </c>
      <c r="C2485" t="n">
        <v>0</v>
      </c>
      <c r="D2485" t="n">
        <v>428</v>
      </c>
      <c r="E2485" t="s">
        <v>2489</v>
      </c>
      <c r="F2485" t="s"/>
      <c r="G2485" t="s"/>
      <c r="H2485" t="s"/>
      <c r="I2485" t="s"/>
      <c r="J2485" t="n">
        <v>0.5574</v>
      </c>
      <c r="K2485" t="n">
        <v>0</v>
      </c>
      <c r="L2485" t="n">
        <v>0.859</v>
      </c>
      <c r="M2485" t="n">
        <v>0.141</v>
      </c>
    </row>
    <row r="2486" spans="1:13">
      <c r="A2486" s="1">
        <f>HYPERLINK("http://www.twitter.com/NathanBLawrence/status/969637116446519297", "969637116446519297")</f>
        <v/>
      </c>
      <c r="B2486" s="2" t="n">
        <v>43161.76016203704</v>
      </c>
      <c r="C2486" t="n">
        <v>0</v>
      </c>
      <c r="D2486" t="n">
        <v>266</v>
      </c>
      <c r="E2486" t="s">
        <v>2490</v>
      </c>
      <c r="F2486" t="s"/>
      <c r="G2486" t="s"/>
      <c r="H2486" t="s"/>
      <c r="I2486" t="s"/>
      <c r="J2486" t="n">
        <v>0.0772</v>
      </c>
      <c r="K2486" t="n">
        <v>0.192</v>
      </c>
      <c r="L2486" t="n">
        <v>0.606</v>
      </c>
      <c r="M2486" t="n">
        <v>0.202</v>
      </c>
    </row>
    <row r="2487" spans="1:13">
      <c r="A2487" s="1">
        <f>HYPERLINK("http://www.twitter.com/NathanBLawrence/status/969636761033822209", "969636761033822209")</f>
        <v/>
      </c>
      <c r="B2487" s="2" t="n">
        <v>43161.75917824074</v>
      </c>
      <c r="C2487" t="n">
        <v>0</v>
      </c>
      <c r="D2487" t="n">
        <v>1356</v>
      </c>
      <c r="E2487" t="s">
        <v>2491</v>
      </c>
      <c r="F2487" t="s"/>
      <c r="G2487" t="s"/>
      <c r="H2487" t="s"/>
      <c r="I2487" t="s"/>
      <c r="J2487" t="n">
        <v>0.7154</v>
      </c>
      <c r="K2487" t="n">
        <v>0</v>
      </c>
      <c r="L2487" t="n">
        <v>0.626</v>
      </c>
      <c r="M2487" t="n">
        <v>0.374</v>
      </c>
    </row>
    <row r="2488" spans="1:13">
      <c r="A2488" s="1">
        <f>HYPERLINK("http://www.twitter.com/NathanBLawrence/status/969636706088501248", "969636706088501248")</f>
        <v/>
      </c>
      <c r="B2488" s="2" t="n">
        <v>43161.75902777778</v>
      </c>
      <c r="C2488" t="n">
        <v>0</v>
      </c>
      <c r="D2488" t="n">
        <v>160</v>
      </c>
      <c r="E2488" t="s">
        <v>2492</v>
      </c>
      <c r="F2488" t="s"/>
      <c r="G2488" t="s"/>
      <c r="H2488" t="s"/>
      <c r="I2488" t="s"/>
      <c r="J2488" t="n">
        <v>0.7269</v>
      </c>
      <c r="K2488" t="n">
        <v>0</v>
      </c>
      <c r="L2488" t="n">
        <v>0.585</v>
      </c>
      <c r="M2488" t="n">
        <v>0.415</v>
      </c>
    </row>
    <row r="2489" spans="1:13">
      <c r="A2489" s="1">
        <f>HYPERLINK("http://www.twitter.com/NathanBLawrence/status/969634989884153856", "969634989884153856")</f>
        <v/>
      </c>
      <c r="B2489" s="2" t="n">
        <v>43161.75429398148</v>
      </c>
      <c r="C2489" t="n">
        <v>0</v>
      </c>
      <c r="D2489" t="n">
        <v>723</v>
      </c>
      <c r="E2489" t="s">
        <v>2493</v>
      </c>
      <c r="F2489" t="s"/>
      <c r="G2489" t="s"/>
      <c r="H2489" t="s"/>
      <c r="I2489" t="s"/>
      <c r="J2489" t="n">
        <v>0</v>
      </c>
      <c r="K2489" t="n">
        <v>0</v>
      </c>
      <c r="L2489" t="n">
        <v>1</v>
      </c>
      <c r="M2489" t="n">
        <v>0</v>
      </c>
    </row>
    <row r="2490" spans="1:13">
      <c r="A2490" s="1">
        <f>HYPERLINK("http://www.twitter.com/NathanBLawrence/status/969634890034507776", "969634890034507776")</f>
        <v/>
      </c>
      <c r="B2490" s="2" t="n">
        <v>43161.7540162037</v>
      </c>
      <c r="C2490" t="n">
        <v>0</v>
      </c>
      <c r="D2490" t="n">
        <v>145</v>
      </c>
      <c r="E2490" t="s">
        <v>2494</v>
      </c>
      <c r="F2490">
        <f>HYPERLINK("http://pbs.twimg.com/media/DXQbJndUQAACvuJ.jpg", "http://pbs.twimg.com/media/DXQbJndUQAACvuJ.jpg")</f>
        <v/>
      </c>
      <c r="G2490" t="s"/>
      <c r="H2490" t="s"/>
      <c r="I2490" t="s"/>
      <c r="J2490" t="n">
        <v>0.7213000000000001</v>
      </c>
      <c r="K2490" t="n">
        <v>0</v>
      </c>
      <c r="L2490" t="n">
        <v>0.699</v>
      </c>
      <c r="M2490" t="n">
        <v>0.301</v>
      </c>
    </row>
    <row r="2491" spans="1:13">
      <c r="A2491" s="1">
        <f>HYPERLINK("http://www.twitter.com/NathanBLawrence/status/969634848301199360", "969634848301199360")</f>
        <v/>
      </c>
      <c r="B2491" s="2" t="n">
        <v>43161.75390046297</v>
      </c>
      <c r="C2491" t="n">
        <v>0</v>
      </c>
      <c r="D2491" t="n">
        <v>64</v>
      </c>
      <c r="E2491" t="s">
        <v>2495</v>
      </c>
      <c r="F2491">
        <f>HYPERLINK("http://pbs.twimg.com/media/DXQnSnuVoAAlj9X.jpg", "http://pbs.twimg.com/media/DXQnSnuVoAAlj9X.jpg")</f>
        <v/>
      </c>
      <c r="G2491" t="s"/>
      <c r="H2491" t="s"/>
      <c r="I2491" t="s"/>
      <c r="J2491" t="n">
        <v>0.451</v>
      </c>
      <c r="K2491" t="n">
        <v>0.166</v>
      </c>
      <c r="L2491" t="n">
        <v>0.635</v>
      </c>
      <c r="M2491" t="n">
        <v>0.199</v>
      </c>
    </row>
    <row r="2492" spans="1:13">
      <c r="A2492" s="1">
        <f>HYPERLINK("http://www.twitter.com/NathanBLawrence/status/969634232115937280", "969634232115937280")</f>
        <v/>
      </c>
      <c r="B2492" s="2" t="n">
        <v>43161.75219907407</v>
      </c>
      <c r="C2492" t="n">
        <v>0</v>
      </c>
      <c r="D2492" t="n">
        <v>344</v>
      </c>
      <c r="E2492" t="s">
        <v>2496</v>
      </c>
      <c r="F2492">
        <f>HYPERLINK("http://pbs.twimg.com/media/DXQZA1KWAAAOi3d.jpg", "http://pbs.twimg.com/media/DXQZA1KWAAAOi3d.jpg")</f>
        <v/>
      </c>
      <c r="G2492" t="s"/>
      <c r="H2492" t="s"/>
      <c r="I2492" t="s"/>
      <c r="J2492" t="n">
        <v>-0.4824</v>
      </c>
      <c r="K2492" t="n">
        <v>0.173</v>
      </c>
      <c r="L2492" t="n">
        <v>0.827</v>
      </c>
      <c r="M2492" t="n">
        <v>0</v>
      </c>
    </row>
    <row r="2493" spans="1:13">
      <c r="A2493" s="1">
        <f>HYPERLINK("http://www.twitter.com/NathanBLawrence/status/969634026666405888", "969634026666405888")</f>
        <v/>
      </c>
      <c r="B2493" s="2" t="n">
        <v>43161.75163194445</v>
      </c>
      <c r="C2493" t="n">
        <v>0</v>
      </c>
      <c r="D2493" t="n">
        <v>774</v>
      </c>
      <c r="E2493" t="s">
        <v>2497</v>
      </c>
      <c r="F2493" t="s"/>
      <c r="G2493" t="s"/>
      <c r="H2493" t="s"/>
      <c r="I2493" t="s"/>
      <c r="J2493" t="n">
        <v>0.2023</v>
      </c>
      <c r="K2493" t="n">
        <v>0</v>
      </c>
      <c r="L2493" t="n">
        <v>0.9330000000000001</v>
      </c>
      <c r="M2493" t="n">
        <v>0.067</v>
      </c>
    </row>
    <row r="2494" spans="1:13">
      <c r="A2494" s="1">
        <f>HYPERLINK("http://www.twitter.com/NathanBLawrence/status/969633977882492928", "969633977882492928")</f>
        <v/>
      </c>
      <c r="B2494" s="2" t="n">
        <v>43161.75149305556</v>
      </c>
      <c r="C2494" t="n">
        <v>0</v>
      </c>
      <c r="D2494" t="n">
        <v>368</v>
      </c>
      <c r="E2494" t="s">
        <v>2498</v>
      </c>
      <c r="F2494" t="s"/>
      <c r="G2494" t="s"/>
      <c r="H2494" t="s"/>
      <c r="I2494" t="s"/>
      <c r="J2494" t="n">
        <v>-0.3818</v>
      </c>
      <c r="K2494" t="n">
        <v>0.14</v>
      </c>
      <c r="L2494" t="n">
        <v>0.86</v>
      </c>
      <c r="M2494" t="n">
        <v>0</v>
      </c>
    </row>
    <row r="2495" spans="1:13">
      <c r="A2495" s="1">
        <f>HYPERLINK("http://www.twitter.com/NathanBLawrence/status/969633824618328065", "969633824618328065")</f>
        <v/>
      </c>
      <c r="B2495" s="2" t="n">
        <v>43161.75107638889</v>
      </c>
      <c r="C2495" t="n">
        <v>0</v>
      </c>
      <c r="D2495" t="n">
        <v>1407</v>
      </c>
      <c r="E2495" t="s">
        <v>2499</v>
      </c>
      <c r="F2495" t="s"/>
      <c r="G2495" t="s"/>
      <c r="H2495" t="s"/>
      <c r="I2495" t="s"/>
      <c r="J2495" t="n">
        <v>-0.1531</v>
      </c>
      <c r="K2495" t="n">
        <v>0.068</v>
      </c>
      <c r="L2495" t="n">
        <v>0.9320000000000001</v>
      </c>
      <c r="M2495" t="n">
        <v>0</v>
      </c>
    </row>
    <row r="2496" spans="1:13">
      <c r="A2496" s="1">
        <f>HYPERLINK("http://www.twitter.com/NathanBLawrence/status/969633769803079681", "969633769803079681")</f>
        <v/>
      </c>
      <c r="B2496" s="2" t="n">
        <v>43161.75092592592</v>
      </c>
      <c r="C2496" t="n">
        <v>0</v>
      </c>
      <c r="D2496" t="n">
        <v>9353</v>
      </c>
      <c r="E2496" t="s">
        <v>2500</v>
      </c>
      <c r="F2496" t="s"/>
      <c r="G2496" t="s"/>
      <c r="H2496" t="s"/>
      <c r="I2496" t="s"/>
      <c r="J2496" t="n">
        <v>0</v>
      </c>
      <c r="K2496" t="n">
        <v>0</v>
      </c>
      <c r="L2496" t="n">
        <v>1</v>
      </c>
      <c r="M2496" t="n">
        <v>0</v>
      </c>
    </row>
    <row r="2497" spans="1:13">
      <c r="A2497" s="1">
        <f>HYPERLINK("http://www.twitter.com/NathanBLawrence/status/969633729852293120", "969633729852293120")</f>
        <v/>
      </c>
      <c r="B2497" s="2" t="n">
        <v>43161.75081018519</v>
      </c>
      <c r="C2497" t="n">
        <v>0</v>
      </c>
      <c r="D2497" t="n">
        <v>435</v>
      </c>
      <c r="E2497" t="s">
        <v>2501</v>
      </c>
      <c r="F2497">
        <f>HYPERLINK("http://pbs.twimg.com/media/DXQVncwWAAghSCP.jpg", "http://pbs.twimg.com/media/DXQVncwWAAghSCP.jpg")</f>
        <v/>
      </c>
      <c r="G2497" t="s"/>
      <c r="H2497" t="s"/>
      <c r="I2497" t="s"/>
      <c r="J2497" t="n">
        <v>0.4019</v>
      </c>
      <c r="K2497" t="n">
        <v>0</v>
      </c>
      <c r="L2497" t="n">
        <v>0.881</v>
      </c>
      <c r="M2497" t="n">
        <v>0.119</v>
      </c>
    </row>
    <row r="2498" spans="1:13">
      <c r="A2498" s="1">
        <f>HYPERLINK("http://www.twitter.com/NathanBLawrence/status/969633703415578624", "969633703415578624")</f>
        <v/>
      </c>
      <c r="B2498" s="2" t="n">
        <v>43161.75074074074</v>
      </c>
      <c r="C2498" t="n">
        <v>0</v>
      </c>
      <c r="D2498" t="n">
        <v>925</v>
      </c>
      <c r="E2498" t="s">
        <v>2502</v>
      </c>
      <c r="F2498" t="s"/>
      <c r="G2498" t="s"/>
      <c r="H2498" t="s"/>
      <c r="I2498" t="s"/>
      <c r="J2498" t="n">
        <v>-0.7987</v>
      </c>
      <c r="K2498" t="n">
        <v>0.267</v>
      </c>
      <c r="L2498" t="n">
        <v>0.664</v>
      </c>
      <c r="M2498" t="n">
        <v>0.06900000000000001</v>
      </c>
    </row>
    <row r="2499" spans="1:13">
      <c r="A2499" s="1">
        <f>HYPERLINK("http://www.twitter.com/NathanBLawrence/status/969633514869030913", "969633514869030913")</f>
        <v/>
      </c>
      <c r="B2499" s="2" t="n">
        <v>43161.75021990741</v>
      </c>
      <c r="C2499" t="n">
        <v>0</v>
      </c>
      <c r="D2499" t="n">
        <v>104</v>
      </c>
      <c r="E2499" t="s">
        <v>2503</v>
      </c>
      <c r="F2499">
        <f>HYPERLINK("https://video.twimg.com/ext_tw_video/969438040639893505/pu/vid/480x480/k55mb62fxx19GVZ8.mp4", "https://video.twimg.com/ext_tw_video/969438040639893505/pu/vid/480x480/k55mb62fxx19GVZ8.mp4")</f>
        <v/>
      </c>
      <c r="G2499" t="s"/>
      <c r="H2499" t="s"/>
      <c r="I2499" t="s"/>
      <c r="J2499" t="n">
        <v>0</v>
      </c>
      <c r="K2499" t="n">
        <v>0</v>
      </c>
      <c r="L2499" t="n">
        <v>1</v>
      </c>
      <c r="M2499" t="n">
        <v>0</v>
      </c>
    </row>
    <row r="2500" spans="1:13">
      <c r="A2500" s="1">
        <f>HYPERLINK("http://www.twitter.com/NathanBLawrence/status/969633418345463809", "969633418345463809")</f>
        <v/>
      </c>
      <c r="B2500" s="2" t="n">
        <v>43161.7499537037</v>
      </c>
      <c r="C2500" t="n">
        <v>0</v>
      </c>
      <c r="D2500" t="n">
        <v>384</v>
      </c>
      <c r="E2500" t="s">
        <v>2504</v>
      </c>
      <c r="F2500">
        <f>HYPERLINK("http://pbs.twimg.com/media/DXQRMWtVwAAzri0.jpg", "http://pbs.twimg.com/media/DXQRMWtVwAAzri0.jpg")</f>
        <v/>
      </c>
      <c r="G2500" t="s"/>
      <c r="H2500" t="s"/>
      <c r="I2500" t="s"/>
      <c r="J2500" t="n">
        <v>0</v>
      </c>
      <c r="K2500" t="n">
        <v>0</v>
      </c>
      <c r="L2500" t="n">
        <v>1</v>
      </c>
      <c r="M2500" t="n">
        <v>0</v>
      </c>
    </row>
    <row r="2501" spans="1:13">
      <c r="A2501" s="1">
        <f>HYPERLINK("http://www.twitter.com/NathanBLawrence/status/969417250179497984", "969417250179497984")</f>
        <v/>
      </c>
      <c r="B2501" s="2" t="n">
        <v>43161.15344907407</v>
      </c>
      <c r="C2501" t="n">
        <v>0</v>
      </c>
      <c r="D2501" t="n">
        <v>87</v>
      </c>
      <c r="E2501" t="s">
        <v>2505</v>
      </c>
      <c r="F2501">
        <f>HYPERLINK("http://pbs.twimg.com/media/DXP8iX9VwAEJ_L9.jpg", "http://pbs.twimg.com/media/DXP8iX9VwAEJ_L9.jpg")</f>
        <v/>
      </c>
      <c r="G2501" t="s"/>
      <c r="H2501" t="s"/>
      <c r="I2501" t="s"/>
      <c r="J2501" t="n">
        <v>0</v>
      </c>
      <c r="K2501" t="n">
        <v>0</v>
      </c>
      <c r="L2501" t="n">
        <v>1</v>
      </c>
      <c r="M2501" t="n">
        <v>0</v>
      </c>
    </row>
    <row r="2502" spans="1:13">
      <c r="A2502" s="1">
        <f>HYPERLINK("http://www.twitter.com/NathanBLawrence/status/969416831449485312", "969416831449485312")</f>
        <v/>
      </c>
      <c r="B2502" s="2" t="n">
        <v>43161.15229166667</v>
      </c>
      <c r="C2502" t="n">
        <v>0</v>
      </c>
      <c r="D2502" t="n">
        <v>2234</v>
      </c>
      <c r="E2502" t="s">
        <v>2506</v>
      </c>
      <c r="F2502" t="s"/>
      <c r="G2502" t="s"/>
      <c r="H2502" t="s"/>
      <c r="I2502" t="s"/>
      <c r="J2502" t="n">
        <v>0</v>
      </c>
      <c r="K2502" t="n">
        <v>0</v>
      </c>
      <c r="L2502" t="n">
        <v>1</v>
      </c>
      <c r="M2502" t="n">
        <v>0</v>
      </c>
    </row>
    <row r="2503" spans="1:13">
      <c r="A2503" s="1">
        <f>HYPERLINK("http://www.twitter.com/NathanBLawrence/status/969416728458375168", "969416728458375168")</f>
        <v/>
      </c>
      <c r="B2503" s="2" t="n">
        <v>43161.15200231481</v>
      </c>
      <c r="C2503" t="n">
        <v>0</v>
      </c>
      <c r="D2503" t="n">
        <v>674</v>
      </c>
      <c r="E2503" t="s">
        <v>2507</v>
      </c>
      <c r="F2503" t="s"/>
      <c r="G2503" t="s"/>
      <c r="H2503" t="s"/>
      <c r="I2503" t="s"/>
      <c r="J2503" t="n">
        <v>-0.7906</v>
      </c>
      <c r="K2503" t="n">
        <v>0.304</v>
      </c>
      <c r="L2503" t="n">
        <v>0.696</v>
      </c>
      <c r="M2503" t="n">
        <v>0</v>
      </c>
    </row>
    <row r="2504" spans="1:13">
      <c r="A2504" s="1">
        <f>HYPERLINK("http://www.twitter.com/NathanBLawrence/status/969416685844185089", "969416685844185089")</f>
        <v/>
      </c>
      <c r="B2504" s="2" t="n">
        <v>43161.15188657407</v>
      </c>
      <c r="C2504" t="n">
        <v>0</v>
      </c>
      <c r="D2504" t="n">
        <v>8507</v>
      </c>
      <c r="E2504" t="s">
        <v>2508</v>
      </c>
      <c r="F2504">
        <f>HYPERLINK("http://pbs.twimg.com/media/DXP97gWVwAApz8T.jpg", "http://pbs.twimg.com/media/DXP97gWVwAApz8T.jpg")</f>
        <v/>
      </c>
      <c r="G2504" t="s"/>
      <c r="H2504" t="s"/>
      <c r="I2504" t="s"/>
      <c r="J2504" t="n">
        <v>0</v>
      </c>
      <c r="K2504" t="n">
        <v>0</v>
      </c>
      <c r="L2504" t="n">
        <v>1</v>
      </c>
      <c r="M2504" t="n">
        <v>0</v>
      </c>
    </row>
    <row r="2505" spans="1:13">
      <c r="A2505" s="1">
        <f>HYPERLINK("http://www.twitter.com/NathanBLawrence/status/969416606030864385", "969416606030864385")</f>
        <v/>
      </c>
      <c r="B2505" s="2" t="n">
        <v>43161.15166666666</v>
      </c>
      <c r="C2505" t="n">
        <v>0</v>
      </c>
      <c r="D2505" t="n">
        <v>552</v>
      </c>
      <c r="E2505" t="s">
        <v>2509</v>
      </c>
      <c r="F2505">
        <f>HYPERLINK("https://video.twimg.com/ext_tw_video/969385127276171264/pu/vid/480x480/YcmKqEwKjAZhNQD1.mp4", "https://video.twimg.com/ext_tw_video/969385127276171264/pu/vid/480x480/YcmKqEwKjAZhNQD1.mp4")</f>
        <v/>
      </c>
      <c r="G2505" t="s"/>
      <c r="H2505" t="s"/>
      <c r="I2505" t="s"/>
      <c r="J2505" t="n">
        <v>-0.6597</v>
      </c>
      <c r="K2505" t="n">
        <v>0.336</v>
      </c>
      <c r="L2505" t="n">
        <v>0.494</v>
      </c>
      <c r="M2505" t="n">
        <v>0.17</v>
      </c>
    </row>
    <row r="2506" spans="1:13">
      <c r="A2506" s="1">
        <f>HYPERLINK("http://www.twitter.com/NathanBLawrence/status/969416097911914496", "969416097911914496")</f>
        <v/>
      </c>
      <c r="B2506" s="2" t="n">
        <v>43161.1502662037</v>
      </c>
      <c r="C2506" t="n">
        <v>0</v>
      </c>
      <c r="D2506" t="n">
        <v>2011</v>
      </c>
      <c r="E2506" t="s">
        <v>2510</v>
      </c>
      <c r="F2506" t="s"/>
      <c r="G2506" t="s"/>
      <c r="H2506" t="s"/>
      <c r="I2506" t="s"/>
      <c r="J2506" t="n">
        <v>-0.34</v>
      </c>
      <c r="K2506" t="n">
        <v>0.124</v>
      </c>
      <c r="L2506" t="n">
        <v>0.876</v>
      </c>
      <c r="M2506" t="n">
        <v>0</v>
      </c>
    </row>
    <row r="2507" spans="1:13">
      <c r="A2507" s="1">
        <f>HYPERLINK("http://www.twitter.com/NathanBLawrence/status/969416057290080256", "969416057290080256")</f>
        <v/>
      </c>
      <c r="B2507" s="2" t="n">
        <v>43161.15015046296</v>
      </c>
      <c r="C2507" t="n">
        <v>0</v>
      </c>
      <c r="D2507" t="n">
        <v>2716</v>
      </c>
      <c r="E2507" t="s">
        <v>2511</v>
      </c>
      <c r="F2507" t="s"/>
      <c r="G2507" t="s"/>
      <c r="H2507" t="s"/>
      <c r="I2507" t="s"/>
      <c r="J2507" t="n">
        <v>-0.7783</v>
      </c>
      <c r="K2507" t="n">
        <v>0.327</v>
      </c>
      <c r="L2507" t="n">
        <v>0.673</v>
      </c>
      <c r="M2507" t="n">
        <v>0</v>
      </c>
    </row>
    <row r="2508" spans="1:13">
      <c r="A2508" s="1">
        <f>HYPERLINK("http://www.twitter.com/NathanBLawrence/status/969078669992804352", "969078669992804352")</f>
        <v/>
      </c>
      <c r="B2508" s="2" t="n">
        <v>43160.21914351852</v>
      </c>
      <c r="C2508" t="n">
        <v>0</v>
      </c>
      <c r="D2508" t="n">
        <v>25</v>
      </c>
      <c r="E2508" t="s">
        <v>2512</v>
      </c>
      <c r="F2508" t="s"/>
      <c r="G2508" t="s"/>
      <c r="H2508" t="s"/>
      <c r="I2508" t="s"/>
      <c r="J2508" t="n">
        <v>0.5599</v>
      </c>
      <c r="K2508" t="n">
        <v>0</v>
      </c>
      <c r="L2508" t="n">
        <v>0.833</v>
      </c>
      <c r="M2508" t="n">
        <v>0.167</v>
      </c>
    </row>
    <row r="2509" spans="1:13">
      <c r="A2509" s="1">
        <f>HYPERLINK("http://www.twitter.com/NathanBLawrence/status/969054733682991105", "969054733682991105")</f>
        <v/>
      </c>
      <c r="B2509" s="2" t="n">
        <v>43160.15309027778</v>
      </c>
      <c r="C2509" t="n">
        <v>0</v>
      </c>
      <c r="D2509" t="n">
        <v>997</v>
      </c>
      <c r="E2509" t="s">
        <v>2513</v>
      </c>
      <c r="F2509">
        <f>HYPERLINK("http://pbs.twimg.com/media/DXKuuZuWkAAcIhH.jpg", "http://pbs.twimg.com/media/DXKuuZuWkAAcIhH.jpg")</f>
        <v/>
      </c>
      <c r="G2509" t="s"/>
      <c r="H2509" t="s"/>
      <c r="I2509" t="s"/>
      <c r="J2509" t="n">
        <v>0.0516</v>
      </c>
      <c r="K2509" t="n">
        <v>0.144</v>
      </c>
      <c r="L2509" t="n">
        <v>0.669</v>
      </c>
      <c r="M2509" t="n">
        <v>0.187</v>
      </c>
    </row>
    <row r="2510" spans="1:13">
      <c r="A2510" s="1">
        <f>HYPERLINK("http://www.twitter.com/NathanBLawrence/status/969054679937179649", "969054679937179649")</f>
        <v/>
      </c>
      <c r="B2510" s="2" t="n">
        <v>43160.15293981481</v>
      </c>
      <c r="C2510" t="n">
        <v>0</v>
      </c>
      <c r="D2510" t="n">
        <v>1477</v>
      </c>
      <c r="E2510" t="s">
        <v>2514</v>
      </c>
      <c r="F2510" t="s"/>
      <c r="G2510" t="s"/>
      <c r="H2510" t="s"/>
      <c r="I2510" t="s"/>
      <c r="J2510" t="n">
        <v>-0.2878</v>
      </c>
      <c r="K2510" t="n">
        <v>0.166</v>
      </c>
      <c r="L2510" t="n">
        <v>0.753</v>
      </c>
      <c r="M2510" t="n">
        <v>0.081</v>
      </c>
    </row>
    <row r="2511" spans="1:13">
      <c r="A2511" s="1">
        <f>HYPERLINK("http://www.twitter.com/NathanBLawrence/status/968516548540248064", "968516548540248064")</f>
        <v/>
      </c>
      <c r="B2511" s="2" t="n">
        <v>43158.66797453703</v>
      </c>
      <c r="C2511" t="n">
        <v>0</v>
      </c>
      <c r="D2511" t="n">
        <v>428</v>
      </c>
      <c r="E2511" t="s">
        <v>2515</v>
      </c>
      <c r="F2511">
        <f>HYPERLINK("http://pbs.twimg.com/media/DXDLLm_UMAAXKAM.jpg", "http://pbs.twimg.com/media/DXDLLm_UMAAXKAM.jpg")</f>
        <v/>
      </c>
      <c r="G2511" t="s"/>
      <c r="H2511" t="s"/>
      <c r="I2511" t="s"/>
      <c r="J2511" t="n">
        <v>0</v>
      </c>
      <c r="K2511" t="n">
        <v>0</v>
      </c>
      <c r="L2511" t="n">
        <v>1</v>
      </c>
      <c r="M2511" t="n">
        <v>0</v>
      </c>
    </row>
    <row r="2512" spans="1:13">
      <c r="A2512" s="1">
        <f>HYPERLINK("http://www.twitter.com/NathanBLawrence/status/968516511324291072", "968516511324291072")</f>
        <v/>
      </c>
      <c r="B2512" s="2" t="n">
        <v>43158.66788194444</v>
      </c>
      <c r="C2512" t="n">
        <v>0</v>
      </c>
      <c r="D2512" t="n">
        <v>13</v>
      </c>
      <c r="E2512" t="s">
        <v>2516</v>
      </c>
      <c r="F2512">
        <f>HYPERLINK("http://pbs.twimg.com/media/DW1mrOqVAAAAUgO.jpg", "http://pbs.twimg.com/media/DW1mrOqVAAAAUgO.jpg")</f>
        <v/>
      </c>
      <c r="G2512" t="s"/>
      <c r="H2512" t="s"/>
      <c r="I2512" t="s"/>
      <c r="J2512" t="n">
        <v>0</v>
      </c>
      <c r="K2512" t="n">
        <v>0</v>
      </c>
      <c r="L2512" t="n">
        <v>1</v>
      </c>
      <c r="M2512" t="n">
        <v>0</v>
      </c>
    </row>
    <row r="2513" spans="1:13">
      <c r="A2513" s="1">
        <f>HYPERLINK("http://www.twitter.com/NathanBLawrence/status/968516433893146624", "968516433893146624")</f>
        <v/>
      </c>
      <c r="B2513" s="2" t="n">
        <v>43158.66766203703</v>
      </c>
      <c r="C2513" t="n">
        <v>0</v>
      </c>
      <c r="D2513" t="n">
        <v>48</v>
      </c>
      <c r="E2513" t="s">
        <v>2517</v>
      </c>
      <c r="F2513">
        <f>HYPERLINK("http://pbs.twimg.com/media/DXDZRugVAAEoT__.jpg", "http://pbs.twimg.com/media/DXDZRugVAAEoT__.jpg")</f>
        <v/>
      </c>
      <c r="G2513" t="s"/>
      <c r="H2513" t="s"/>
      <c r="I2513" t="s"/>
      <c r="J2513" t="n">
        <v>0</v>
      </c>
      <c r="K2513" t="n">
        <v>0</v>
      </c>
      <c r="L2513" t="n">
        <v>1</v>
      </c>
      <c r="M2513" t="n">
        <v>0</v>
      </c>
    </row>
    <row r="2514" spans="1:13">
      <c r="A2514" s="1">
        <f>HYPERLINK("http://www.twitter.com/NathanBLawrence/status/968411372152393729", "968411372152393729")</f>
        <v/>
      </c>
      <c r="B2514" s="2" t="n">
        <v>43158.37774305556</v>
      </c>
      <c r="C2514" t="n">
        <v>14</v>
      </c>
      <c r="D2514" t="n">
        <v>3</v>
      </c>
      <c r="E2514" t="s">
        <v>2518</v>
      </c>
      <c r="F2514" t="s"/>
      <c r="G2514" t="s"/>
      <c r="H2514" t="s"/>
      <c r="I2514" t="s"/>
      <c r="J2514" t="n">
        <v>0.5983000000000001</v>
      </c>
      <c r="K2514" t="n">
        <v>0</v>
      </c>
      <c r="L2514" t="n">
        <v>0.83</v>
      </c>
      <c r="M2514" t="n">
        <v>0.17</v>
      </c>
    </row>
    <row r="2515" spans="1:13">
      <c r="A2515" s="1">
        <f>HYPERLINK("http://www.twitter.com/NathanBLawrence/status/968408904492199936", "968408904492199936")</f>
        <v/>
      </c>
      <c r="B2515" s="2" t="n">
        <v>43158.3709375</v>
      </c>
      <c r="C2515" t="n">
        <v>11</v>
      </c>
      <c r="D2515" t="n">
        <v>7</v>
      </c>
      <c r="E2515" t="s">
        <v>2519</v>
      </c>
      <c r="F2515" t="s"/>
      <c r="G2515" t="s"/>
      <c r="H2515" t="s"/>
      <c r="I2515" t="s"/>
      <c r="J2515" t="n">
        <v>0</v>
      </c>
      <c r="K2515" t="n">
        <v>0</v>
      </c>
      <c r="L2515" t="n">
        <v>1</v>
      </c>
      <c r="M2515" t="n">
        <v>0</v>
      </c>
    </row>
    <row r="2516" spans="1:13">
      <c r="A2516" s="1">
        <f>HYPERLINK("http://www.twitter.com/NathanBLawrence/status/968369415820578817", "968369415820578817")</f>
        <v/>
      </c>
      <c r="B2516" s="2" t="n">
        <v>43158.2619675926</v>
      </c>
      <c r="C2516" t="n">
        <v>41</v>
      </c>
      <c r="D2516" t="n">
        <v>18</v>
      </c>
      <c r="E2516" t="s">
        <v>2520</v>
      </c>
      <c r="F2516" t="s"/>
      <c r="G2516" t="s"/>
      <c r="H2516" t="s"/>
      <c r="I2516" t="s"/>
      <c r="J2516" t="n">
        <v>-0.5945</v>
      </c>
      <c r="K2516" t="n">
        <v>0.326</v>
      </c>
      <c r="L2516" t="n">
        <v>0.674</v>
      </c>
      <c r="M2516" t="n">
        <v>0</v>
      </c>
    </row>
    <row r="2517" spans="1:13">
      <c r="A2517" s="1">
        <f>HYPERLINK("http://www.twitter.com/NathanBLawrence/status/968369049234235392", "968369049234235392")</f>
        <v/>
      </c>
      <c r="B2517" s="2" t="n">
        <v>43158.26096064815</v>
      </c>
      <c r="C2517" t="n">
        <v>0</v>
      </c>
      <c r="D2517" t="n">
        <v>19</v>
      </c>
      <c r="E2517" t="s">
        <v>2521</v>
      </c>
      <c r="F2517">
        <f>HYPERLINK("http://pbs.twimg.com/media/DW_RG7SVoAAXenj.jpg", "http://pbs.twimg.com/media/DW_RG7SVoAAXenj.jpg")</f>
        <v/>
      </c>
      <c r="G2517" t="s"/>
      <c r="H2517" t="s"/>
      <c r="I2517" t="s"/>
      <c r="J2517" t="n">
        <v>0</v>
      </c>
      <c r="K2517" t="n">
        <v>0</v>
      </c>
      <c r="L2517" t="n">
        <v>1</v>
      </c>
      <c r="M2517" t="n">
        <v>0</v>
      </c>
    </row>
    <row r="2518" spans="1:13">
      <c r="A2518" s="1">
        <f>HYPERLINK("http://www.twitter.com/NathanBLawrence/status/968368768450809856", "968368768450809856")</f>
        <v/>
      </c>
      <c r="B2518" s="2" t="n">
        <v>43158.26018518519</v>
      </c>
      <c r="C2518" t="n">
        <v>0</v>
      </c>
      <c r="D2518" t="n">
        <v>1141</v>
      </c>
      <c r="E2518" t="s">
        <v>2522</v>
      </c>
      <c r="F2518">
        <f>HYPERLINK("http://pbs.twimg.com/media/DXAjrZZXkAAXMoU.jpg", "http://pbs.twimg.com/media/DXAjrZZXkAAXMoU.jpg")</f>
        <v/>
      </c>
      <c r="G2518" t="s"/>
      <c r="H2518" t="s"/>
      <c r="I2518" t="s"/>
      <c r="J2518" t="n">
        <v>0</v>
      </c>
      <c r="K2518" t="n">
        <v>0</v>
      </c>
      <c r="L2518" t="n">
        <v>1</v>
      </c>
      <c r="M2518" t="n">
        <v>0</v>
      </c>
    </row>
    <row r="2519" spans="1:13">
      <c r="A2519" s="1">
        <f>HYPERLINK("http://www.twitter.com/NathanBLawrence/status/968368689388183552", "968368689388183552")</f>
        <v/>
      </c>
      <c r="B2519" s="2" t="n">
        <v>43158.25996527778</v>
      </c>
      <c r="C2519" t="n">
        <v>32</v>
      </c>
      <c r="D2519" t="n">
        <v>14</v>
      </c>
      <c r="E2519" t="s">
        <v>2523</v>
      </c>
      <c r="F2519" t="s"/>
      <c r="G2519" t="s"/>
      <c r="H2519" t="s"/>
      <c r="I2519" t="s"/>
      <c r="J2519" t="n">
        <v>0</v>
      </c>
      <c r="K2519" t="n">
        <v>0</v>
      </c>
      <c r="L2519" t="n">
        <v>1</v>
      </c>
      <c r="M2519" t="n">
        <v>0</v>
      </c>
    </row>
    <row r="2520" spans="1:13">
      <c r="A2520" s="1">
        <f>HYPERLINK("http://www.twitter.com/NathanBLawrence/status/968367808789864448", "968367808789864448")</f>
        <v/>
      </c>
      <c r="B2520" s="2" t="n">
        <v>43158.25753472222</v>
      </c>
      <c r="C2520" t="n">
        <v>0</v>
      </c>
      <c r="D2520" t="n">
        <v>296</v>
      </c>
      <c r="E2520" t="s">
        <v>2524</v>
      </c>
      <c r="F2520" t="s"/>
      <c r="G2520" t="s"/>
      <c r="H2520" t="s"/>
      <c r="I2520" t="s"/>
      <c r="J2520" t="n">
        <v>-0.2263</v>
      </c>
      <c r="K2520" t="n">
        <v>0.174</v>
      </c>
      <c r="L2520" t="n">
        <v>0.826</v>
      </c>
      <c r="M2520" t="n">
        <v>0</v>
      </c>
    </row>
    <row r="2521" spans="1:13">
      <c r="A2521" s="1">
        <f>HYPERLINK("http://www.twitter.com/NathanBLawrence/status/968367418379825152", "968367418379825152")</f>
        <v/>
      </c>
      <c r="B2521" s="2" t="n">
        <v>43158.25645833334</v>
      </c>
      <c r="C2521" t="n">
        <v>0</v>
      </c>
      <c r="D2521" t="n">
        <v>1638</v>
      </c>
      <c r="E2521" t="s">
        <v>2525</v>
      </c>
      <c r="F2521" t="s"/>
      <c r="G2521" t="s"/>
      <c r="H2521" t="s"/>
      <c r="I2521" t="s"/>
      <c r="J2521" t="n">
        <v>-0.6249</v>
      </c>
      <c r="K2521" t="n">
        <v>0.195</v>
      </c>
      <c r="L2521" t="n">
        <v>0.805</v>
      </c>
      <c r="M2521" t="n">
        <v>0</v>
      </c>
    </row>
    <row r="2522" spans="1:13">
      <c r="A2522" s="1">
        <f>HYPERLINK("http://www.twitter.com/NathanBLawrence/status/968367355045859328", "968367355045859328")</f>
        <v/>
      </c>
      <c r="B2522" s="2" t="n">
        <v>43158.25628472222</v>
      </c>
      <c r="C2522" t="n">
        <v>0</v>
      </c>
      <c r="D2522" t="n">
        <v>7645</v>
      </c>
      <c r="E2522" t="s">
        <v>2526</v>
      </c>
      <c r="F2522" t="s"/>
      <c r="G2522" t="s"/>
      <c r="H2522" t="s"/>
      <c r="I2522" t="s"/>
      <c r="J2522" t="n">
        <v>0.7742</v>
      </c>
      <c r="K2522" t="n">
        <v>0</v>
      </c>
      <c r="L2522" t="n">
        <v>0.721</v>
      </c>
      <c r="M2522" t="n">
        <v>0.279</v>
      </c>
    </row>
    <row r="2523" spans="1:13">
      <c r="A2523" s="1">
        <f>HYPERLINK("http://www.twitter.com/NathanBLawrence/status/968367257796653056", "968367257796653056")</f>
        <v/>
      </c>
      <c r="B2523" s="2" t="n">
        <v>43158.25601851852</v>
      </c>
      <c r="C2523" t="n">
        <v>0</v>
      </c>
      <c r="D2523" t="n">
        <v>5498</v>
      </c>
      <c r="E2523" t="s">
        <v>2527</v>
      </c>
      <c r="F2523">
        <f>HYPERLINK("https://video.twimg.com/ext_tw_video/968307952368177152/pu/vid/1280x720/rlvo8M2hCd040ADU.mp4", "https://video.twimg.com/ext_tw_video/968307952368177152/pu/vid/1280x720/rlvo8M2hCd040ADU.mp4")</f>
        <v/>
      </c>
      <c r="G2523" t="s"/>
      <c r="H2523" t="s"/>
      <c r="I2523" t="s"/>
      <c r="J2523" t="n">
        <v>-0.2944</v>
      </c>
      <c r="K2523" t="n">
        <v>0.191</v>
      </c>
      <c r="L2523" t="n">
        <v>0.703</v>
      </c>
      <c r="M2523" t="n">
        <v>0.105</v>
      </c>
    </row>
    <row r="2524" spans="1:13">
      <c r="A2524" s="1">
        <f>HYPERLINK("http://www.twitter.com/NathanBLawrence/status/968367072165154816", "968367072165154816")</f>
        <v/>
      </c>
      <c r="B2524" s="2" t="n">
        <v>43158.25550925926</v>
      </c>
      <c r="C2524" t="n">
        <v>0</v>
      </c>
      <c r="D2524" t="n">
        <v>1758</v>
      </c>
      <c r="E2524" t="s">
        <v>2528</v>
      </c>
      <c r="F2524" t="s"/>
      <c r="G2524" t="s"/>
      <c r="H2524" t="s"/>
      <c r="I2524" t="s"/>
      <c r="J2524" t="n">
        <v>-0.5411</v>
      </c>
      <c r="K2524" t="n">
        <v>0.17</v>
      </c>
      <c r="L2524" t="n">
        <v>0.83</v>
      </c>
      <c r="M2524" t="n">
        <v>0</v>
      </c>
    </row>
    <row r="2525" spans="1:13">
      <c r="A2525" s="1">
        <f>HYPERLINK("http://www.twitter.com/NathanBLawrence/status/968366912215371778", "968366912215371778")</f>
        <v/>
      </c>
      <c r="B2525" s="2" t="n">
        <v>43158.25505787037</v>
      </c>
      <c r="C2525" t="n">
        <v>0</v>
      </c>
      <c r="D2525" t="n">
        <v>3477</v>
      </c>
      <c r="E2525" t="s">
        <v>2529</v>
      </c>
      <c r="F2525" t="s"/>
      <c r="G2525" t="s"/>
      <c r="H2525" t="s"/>
      <c r="I2525" t="s"/>
      <c r="J2525" t="n">
        <v>0.3612</v>
      </c>
      <c r="K2525" t="n">
        <v>0</v>
      </c>
      <c r="L2525" t="n">
        <v>0.909</v>
      </c>
      <c r="M2525" t="n">
        <v>0.091</v>
      </c>
    </row>
    <row r="2526" spans="1:13">
      <c r="A2526" s="1">
        <f>HYPERLINK("http://www.twitter.com/NathanBLawrence/status/968366605267886081", "968366605267886081")</f>
        <v/>
      </c>
      <c r="B2526" s="2" t="n">
        <v>43158.25421296297</v>
      </c>
      <c r="C2526" t="n">
        <v>51</v>
      </c>
      <c r="D2526" t="n">
        <v>23</v>
      </c>
      <c r="E2526" t="s">
        <v>2530</v>
      </c>
      <c r="F2526" t="s"/>
      <c r="G2526" t="s"/>
      <c r="H2526" t="s"/>
      <c r="I2526" t="s"/>
      <c r="J2526" t="n">
        <v>0</v>
      </c>
      <c r="K2526" t="n">
        <v>0</v>
      </c>
      <c r="L2526" t="n">
        <v>1</v>
      </c>
      <c r="M2526" t="n">
        <v>0</v>
      </c>
    </row>
    <row r="2527" spans="1:13">
      <c r="A2527" s="1">
        <f>HYPERLINK("http://www.twitter.com/NathanBLawrence/status/968287826587471872", "968287826587471872")</f>
        <v/>
      </c>
      <c r="B2527" s="2" t="n">
        <v>43158.03682870371</v>
      </c>
      <c r="C2527" t="n">
        <v>0</v>
      </c>
      <c r="D2527" t="n">
        <v>178</v>
      </c>
      <c r="E2527" t="s">
        <v>2531</v>
      </c>
      <c r="F2527">
        <f>HYPERLINK("http://pbs.twimg.com/media/DW_tNXWVwAAM-JX.jpg", "http://pbs.twimg.com/media/DW_tNXWVwAAM-JX.jpg")</f>
        <v/>
      </c>
      <c r="G2527" t="s"/>
      <c r="H2527" t="s"/>
      <c r="I2527" t="s"/>
      <c r="J2527" t="n">
        <v>0</v>
      </c>
      <c r="K2527" t="n">
        <v>0</v>
      </c>
      <c r="L2527" t="n">
        <v>1</v>
      </c>
      <c r="M2527" t="n">
        <v>0</v>
      </c>
    </row>
    <row r="2528" spans="1:13">
      <c r="A2528" s="1">
        <f>HYPERLINK("http://www.twitter.com/NathanBLawrence/status/968287753132650497", "968287753132650497")</f>
        <v/>
      </c>
      <c r="B2528" s="2" t="n">
        <v>43158.03662037037</v>
      </c>
      <c r="C2528" t="n">
        <v>0</v>
      </c>
      <c r="D2528" t="n">
        <v>180</v>
      </c>
      <c r="E2528" t="s">
        <v>2532</v>
      </c>
      <c r="F2528">
        <f>HYPERLINK("http://pbs.twimg.com/media/DXALaDyVAAAxK5Q.jpg", "http://pbs.twimg.com/media/DXALaDyVAAAxK5Q.jpg")</f>
        <v/>
      </c>
      <c r="G2528" t="s"/>
      <c r="H2528" t="s"/>
      <c r="I2528" t="s"/>
      <c r="J2528" t="n">
        <v>0</v>
      </c>
      <c r="K2528" t="n">
        <v>0</v>
      </c>
      <c r="L2528" t="n">
        <v>1</v>
      </c>
      <c r="M2528" t="n">
        <v>0</v>
      </c>
    </row>
    <row r="2529" spans="1:13">
      <c r="A2529" s="1">
        <f>HYPERLINK("http://www.twitter.com/NathanBLawrence/status/968287638963699712", "968287638963699712")</f>
        <v/>
      </c>
      <c r="B2529" s="2" t="n">
        <v>43158.03630787037</v>
      </c>
      <c r="C2529" t="n">
        <v>0</v>
      </c>
      <c r="D2529" t="n">
        <v>1129</v>
      </c>
      <c r="E2529" t="s">
        <v>2533</v>
      </c>
      <c r="F2529">
        <f>HYPERLINK("http://pbs.twimg.com/media/DW_PMZ3VwAALpte.jpg", "http://pbs.twimg.com/media/DW_PMZ3VwAALpte.jpg")</f>
        <v/>
      </c>
      <c r="G2529" t="s"/>
      <c r="H2529" t="s"/>
      <c r="I2529" t="s"/>
      <c r="J2529" t="n">
        <v>0.7178</v>
      </c>
      <c r="K2529" t="n">
        <v>0</v>
      </c>
      <c r="L2529" t="n">
        <v>0.7</v>
      </c>
      <c r="M2529" t="n">
        <v>0.3</v>
      </c>
    </row>
    <row r="2530" spans="1:13">
      <c r="A2530" s="1">
        <f>HYPERLINK("http://www.twitter.com/NathanBLawrence/status/968287499557785600", "968287499557785600")</f>
        <v/>
      </c>
      <c r="B2530" s="2" t="n">
        <v>43158.03592592593</v>
      </c>
      <c r="C2530" t="n">
        <v>0</v>
      </c>
      <c r="D2530" t="n">
        <v>997</v>
      </c>
      <c r="E2530" t="s">
        <v>2534</v>
      </c>
      <c r="F2530">
        <f>HYPERLINK("http://pbs.twimg.com/media/DW_7316VQAAXdcv.jpg", "http://pbs.twimg.com/media/DW_7316VQAAXdcv.jpg")</f>
        <v/>
      </c>
      <c r="G2530" t="s"/>
      <c r="H2530" t="s"/>
      <c r="I2530" t="s"/>
      <c r="J2530" t="n">
        <v>0</v>
      </c>
      <c r="K2530" t="n">
        <v>0</v>
      </c>
      <c r="L2530" t="n">
        <v>1</v>
      </c>
      <c r="M2530" t="n">
        <v>0</v>
      </c>
    </row>
    <row r="2531" spans="1:13">
      <c r="A2531" s="1">
        <f>HYPERLINK("http://www.twitter.com/NathanBLawrence/status/968287432952000512", "968287432952000512")</f>
        <v/>
      </c>
      <c r="B2531" s="2" t="n">
        <v>43158.03574074074</v>
      </c>
      <c r="C2531" t="n">
        <v>18</v>
      </c>
      <c r="D2531" t="n">
        <v>7</v>
      </c>
      <c r="E2531" t="s">
        <v>2535</v>
      </c>
      <c r="F2531" t="s"/>
      <c r="G2531" t="s"/>
      <c r="H2531" t="s"/>
      <c r="I2531" t="s"/>
      <c r="J2531" t="n">
        <v>0.8737</v>
      </c>
      <c r="K2531" t="n">
        <v>0.128</v>
      </c>
      <c r="L2531" t="n">
        <v>0.267</v>
      </c>
      <c r="M2531" t="n">
        <v>0.605</v>
      </c>
    </row>
    <row r="2532" spans="1:13">
      <c r="A2532" s="1">
        <f>HYPERLINK("http://www.twitter.com/NathanBLawrence/status/968122261164064769", "968122261164064769")</f>
        <v/>
      </c>
      <c r="B2532" s="2" t="n">
        <v>43157.5799537037</v>
      </c>
      <c r="C2532" t="n">
        <v>0</v>
      </c>
      <c r="D2532" t="n">
        <v>220</v>
      </c>
      <c r="E2532" t="s">
        <v>2536</v>
      </c>
      <c r="F2532">
        <f>HYPERLINK("http://pbs.twimg.com/media/DW9g4LGWAAA-79H.jpg", "http://pbs.twimg.com/media/DW9g4LGWAAA-79H.jpg")</f>
        <v/>
      </c>
      <c r="G2532" t="s"/>
      <c r="H2532" t="s"/>
      <c r="I2532" t="s"/>
      <c r="J2532" t="n">
        <v>0.9223</v>
      </c>
      <c r="K2532" t="n">
        <v>0</v>
      </c>
      <c r="L2532" t="n">
        <v>0.544</v>
      </c>
      <c r="M2532" t="n">
        <v>0.456</v>
      </c>
    </row>
    <row r="2533" spans="1:13">
      <c r="A2533" s="1">
        <f>HYPERLINK("http://www.twitter.com/NathanBLawrence/status/968121410106245120", "968121410106245120")</f>
        <v/>
      </c>
      <c r="B2533" s="2" t="n">
        <v>43157.57760416667</v>
      </c>
      <c r="C2533" t="n">
        <v>0</v>
      </c>
      <c r="D2533" t="n">
        <v>2173</v>
      </c>
      <c r="E2533" t="s">
        <v>2537</v>
      </c>
      <c r="F2533">
        <f>HYPERLINK("https://video.twimg.com/ext_tw_video/967814558965555201/pu/vid/1280x720/t4Wk6xlXEa2HmilX.mp4", "https://video.twimg.com/ext_tw_video/967814558965555201/pu/vid/1280x720/t4Wk6xlXEa2HmilX.mp4")</f>
        <v/>
      </c>
      <c r="G2533" t="s"/>
      <c r="H2533" t="s"/>
      <c r="I2533" t="s"/>
      <c r="J2533" t="n">
        <v>-0.6808</v>
      </c>
      <c r="K2533" t="n">
        <v>0.219</v>
      </c>
      <c r="L2533" t="n">
        <v>0.781</v>
      </c>
      <c r="M2533" t="n">
        <v>0</v>
      </c>
    </row>
    <row r="2534" spans="1:13">
      <c r="A2534" s="1">
        <f>HYPERLINK("http://www.twitter.com/NathanBLawrence/status/968121201561251840", "968121201561251840")</f>
        <v/>
      </c>
      <c r="B2534" s="2" t="n">
        <v>43157.57702546296</v>
      </c>
      <c r="C2534" t="n">
        <v>0</v>
      </c>
      <c r="D2534" t="n">
        <v>18</v>
      </c>
      <c r="E2534" t="s">
        <v>2538</v>
      </c>
      <c r="F2534" t="s"/>
      <c r="G2534" t="s"/>
      <c r="H2534" t="s"/>
      <c r="I2534" t="s"/>
      <c r="J2534" t="n">
        <v>-0.8226</v>
      </c>
      <c r="K2534" t="n">
        <v>0.281</v>
      </c>
      <c r="L2534" t="n">
        <v>0.719</v>
      </c>
      <c r="M2534" t="n">
        <v>0</v>
      </c>
    </row>
    <row r="2535" spans="1:13">
      <c r="A2535" s="1">
        <f>HYPERLINK("http://www.twitter.com/NathanBLawrence/status/967986528893874176", "967986528893874176")</f>
        <v/>
      </c>
      <c r="B2535" s="2" t="n">
        <v>43157.20540509259</v>
      </c>
      <c r="C2535" t="n">
        <v>38</v>
      </c>
      <c r="D2535" t="n">
        <v>23</v>
      </c>
      <c r="E2535" t="s">
        <v>2539</v>
      </c>
      <c r="F2535" t="s"/>
      <c r="G2535" t="s"/>
      <c r="H2535" t="s"/>
      <c r="I2535" t="s"/>
      <c r="J2535" t="n">
        <v>0</v>
      </c>
      <c r="K2535" t="n">
        <v>0</v>
      </c>
      <c r="L2535" t="n">
        <v>1</v>
      </c>
      <c r="M2535" t="n">
        <v>0</v>
      </c>
    </row>
    <row r="2536" spans="1:13">
      <c r="A2536" s="1">
        <f>HYPERLINK("http://www.twitter.com/NathanBLawrence/status/967950187875287040", "967950187875287040")</f>
        <v/>
      </c>
      <c r="B2536" s="2" t="n">
        <v>43157.10512731481</v>
      </c>
      <c r="C2536" t="n">
        <v>14</v>
      </c>
      <c r="D2536" t="n">
        <v>12</v>
      </c>
      <c r="E2536" t="s">
        <v>2540</v>
      </c>
      <c r="F2536" t="s"/>
      <c r="G2536" t="s"/>
      <c r="H2536" t="s"/>
      <c r="I2536" t="s"/>
      <c r="J2536" t="n">
        <v>-0.5766</v>
      </c>
      <c r="K2536" t="n">
        <v>0.237</v>
      </c>
      <c r="L2536" t="n">
        <v>0.763</v>
      </c>
      <c r="M2536" t="n">
        <v>0</v>
      </c>
    </row>
    <row r="2537" spans="1:13">
      <c r="A2537" s="1">
        <f>HYPERLINK("http://www.twitter.com/NathanBLawrence/status/967945408969310209", "967945408969310209")</f>
        <v/>
      </c>
      <c r="B2537" s="2" t="n">
        <v>43157.09193287037</v>
      </c>
      <c r="C2537" t="n">
        <v>34</v>
      </c>
      <c r="D2537" t="n">
        <v>5</v>
      </c>
      <c r="E2537" t="s">
        <v>2541</v>
      </c>
      <c r="F2537">
        <f>HYPERLINK("http://pbs.twimg.com/media/DW7VN7dX4AIa3Vk.jpg", "http://pbs.twimg.com/media/DW7VN7dX4AIa3Vk.jpg")</f>
        <v/>
      </c>
      <c r="G2537" t="s"/>
      <c r="H2537" t="s"/>
      <c r="I2537" t="s"/>
      <c r="J2537" t="n">
        <v>0</v>
      </c>
      <c r="K2537" t="n">
        <v>0</v>
      </c>
      <c r="L2537" t="n">
        <v>1</v>
      </c>
      <c r="M2537" t="n">
        <v>0</v>
      </c>
    </row>
    <row r="2538" spans="1:13">
      <c r="A2538" s="1">
        <f>HYPERLINK("http://www.twitter.com/NathanBLawrence/status/967823919511085056", "967823919511085056")</f>
        <v/>
      </c>
      <c r="B2538" s="2" t="n">
        <v>43156.75668981481</v>
      </c>
      <c r="C2538" t="n">
        <v>0</v>
      </c>
      <c r="D2538" t="n">
        <v>96</v>
      </c>
      <c r="E2538" t="s">
        <v>2542</v>
      </c>
      <c r="F2538">
        <f>HYPERLINK("http://pbs.twimg.com/media/DW4fpblVAAIU6lY.jpg", "http://pbs.twimg.com/media/DW4fpblVAAIU6lY.jpg")</f>
        <v/>
      </c>
      <c r="G2538" t="s"/>
      <c r="H2538" t="s"/>
      <c r="I2538" t="s"/>
      <c r="J2538" t="n">
        <v>0.8807</v>
      </c>
      <c r="K2538" t="n">
        <v>0</v>
      </c>
      <c r="L2538" t="n">
        <v>0.638</v>
      </c>
      <c r="M2538" t="n">
        <v>0.362</v>
      </c>
    </row>
    <row r="2539" spans="1:13">
      <c r="A2539" s="1">
        <f>HYPERLINK("http://www.twitter.com/NathanBLawrence/status/967823808584286208", "967823808584286208")</f>
        <v/>
      </c>
      <c r="B2539" s="2" t="n">
        <v>43156.75637731481</v>
      </c>
      <c r="C2539" t="n">
        <v>0</v>
      </c>
      <c r="D2539" t="n">
        <v>687</v>
      </c>
      <c r="E2539" t="s">
        <v>2543</v>
      </c>
      <c r="F2539" t="s"/>
      <c r="G2539" t="s"/>
      <c r="H2539" t="s"/>
      <c r="I2539" t="s"/>
      <c r="J2539" t="n">
        <v>0.1027</v>
      </c>
      <c r="K2539" t="n">
        <v>0.12</v>
      </c>
      <c r="L2539" t="n">
        <v>0.743</v>
      </c>
      <c r="M2539" t="n">
        <v>0.137</v>
      </c>
    </row>
    <row r="2540" spans="1:13">
      <c r="A2540" s="1">
        <f>HYPERLINK("http://www.twitter.com/NathanBLawrence/status/967823708235558912", "967823708235558912")</f>
        <v/>
      </c>
      <c r="B2540" s="2" t="n">
        <v>43156.75609953704</v>
      </c>
      <c r="C2540" t="n">
        <v>0</v>
      </c>
      <c r="D2540" t="n">
        <v>10</v>
      </c>
      <c r="E2540" t="s">
        <v>2544</v>
      </c>
      <c r="F2540" t="s"/>
      <c r="G2540" t="s"/>
      <c r="H2540" t="s"/>
      <c r="I2540" t="s"/>
      <c r="J2540" t="n">
        <v>0</v>
      </c>
      <c r="K2540" t="n">
        <v>0</v>
      </c>
      <c r="L2540" t="n">
        <v>1</v>
      </c>
      <c r="M2540" t="n">
        <v>0</v>
      </c>
    </row>
    <row r="2541" spans="1:13">
      <c r="A2541" s="1">
        <f>HYPERLINK("http://www.twitter.com/NathanBLawrence/status/967823586156138496", "967823586156138496")</f>
        <v/>
      </c>
      <c r="B2541" s="2" t="n">
        <v>43156.75576388889</v>
      </c>
      <c r="C2541" t="n">
        <v>0</v>
      </c>
      <c r="D2541" t="n">
        <v>332</v>
      </c>
      <c r="E2541" t="s">
        <v>2545</v>
      </c>
      <c r="F2541">
        <f>HYPERLINK("http://pbs.twimg.com/media/DW5T0NoVwAElePM.jpg", "http://pbs.twimg.com/media/DW5T0NoVwAElePM.jpg")</f>
        <v/>
      </c>
      <c r="G2541">
        <f>HYPERLINK("http://pbs.twimg.com/media/DW5T4cNU8AEnG-f.jpg", "http://pbs.twimg.com/media/DW5T4cNU8AEnG-f.jpg")</f>
        <v/>
      </c>
      <c r="H2541">
        <f>HYPERLINK("http://pbs.twimg.com/media/DW5UlOKUMAAknRx.jpg", "http://pbs.twimg.com/media/DW5UlOKUMAAknRx.jpg")</f>
        <v/>
      </c>
      <c r="I2541">
        <f>HYPERLINK("http://pbs.twimg.com/media/DW5UssoUMAA_Dao.jpg", "http://pbs.twimg.com/media/DW5UssoUMAA_Dao.jpg")</f>
        <v/>
      </c>
      <c r="J2541" t="n">
        <v>0.7125</v>
      </c>
      <c r="K2541" t="n">
        <v>0</v>
      </c>
      <c r="L2541" t="n">
        <v>0.8100000000000001</v>
      </c>
      <c r="M2541" t="n">
        <v>0.19</v>
      </c>
    </row>
    <row r="2542" spans="1:13">
      <c r="A2542" s="1">
        <f>HYPERLINK("http://www.twitter.com/NathanBLawrence/status/967823499518619648", "967823499518619648")</f>
        <v/>
      </c>
      <c r="B2542" s="2" t="n">
        <v>43156.75553240741</v>
      </c>
      <c r="C2542" t="n">
        <v>0</v>
      </c>
      <c r="D2542" t="n">
        <v>19</v>
      </c>
      <c r="E2542" t="s">
        <v>2546</v>
      </c>
      <c r="F2542" t="s"/>
      <c r="G2542" t="s"/>
      <c r="H2542" t="s"/>
      <c r="I2542" t="s"/>
      <c r="J2542" t="n">
        <v>-0.2023</v>
      </c>
      <c r="K2542" t="n">
        <v>0.148</v>
      </c>
      <c r="L2542" t="n">
        <v>0.738</v>
      </c>
      <c r="M2542" t="n">
        <v>0.115</v>
      </c>
    </row>
    <row r="2543" spans="1:13">
      <c r="A2543" s="1">
        <f>HYPERLINK("http://www.twitter.com/NathanBLawrence/status/967823389384630272", "967823389384630272")</f>
        <v/>
      </c>
      <c r="B2543" s="2" t="n">
        <v>43156.75521990741</v>
      </c>
      <c r="C2543" t="n">
        <v>0</v>
      </c>
      <c r="D2543" t="n">
        <v>5</v>
      </c>
      <c r="E2543" t="s">
        <v>2547</v>
      </c>
      <c r="F2543" t="s"/>
      <c r="G2543" t="s"/>
      <c r="H2543" t="s"/>
      <c r="I2543" t="s"/>
      <c r="J2543" t="n">
        <v>0</v>
      </c>
      <c r="K2543" t="n">
        <v>0</v>
      </c>
      <c r="L2543" t="n">
        <v>1</v>
      </c>
      <c r="M2543" t="n">
        <v>0</v>
      </c>
    </row>
    <row r="2544" spans="1:13">
      <c r="A2544" s="1">
        <f>HYPERLINK("http://www.twitter.com/NathanBLawrence/status/967823319226507265", "967823319226507265")</f>
        <v/>
      </c>
      <c r="B2544" s="2" t="n">
        <v>43156.75503472222</v>
      </c>
      <c r="C2544" t="n">
        <v>0</v>
      </c>
      <c r="D2544" t="n">
        <v>11914</v>
      </c>
      <c r="E2544" t="s">
        <v>2548</v>
      </c>
      <c r="F2544" t="s"/>
      <c r="G2544" t="s"/>
      <c r="H2544" t="s"/>
      <c r="I2544" t="s"/>
      <c r="J2544" t="n">
        <v>0.0772</v>
      </c>
      <c r="K2544" t="n">
        <v>0.248</v>
      </c>
      <c r="L2544" t="n">
        <v>0.496</v>
      </c>
      <c r="M2544" t="n">
        <v>0.257</v>
      </c>
    </row>
    <row r="2545" spans="1:13">
      <c r="A2545" s="1">
        <f>HYPERLINK("http://www.twitter.com/NathanBLawrence/status/967823255103877120", "967823255103877120")</f>
        <v/>
      </c>
      <c r="B2545" s="2" t="n">
        <v>43156.75484953704</v>
      </c>
      <c r="C2545" t="n">
        <v>15</v>
      </c>
      <c r="D2545" t="n">
        <v>5</v>
      </c>
      <c r="E2545" t="s">
        <v>2549</v>
      </c>
      <c r="F2545" t="s"/>
      <c r="G2545" t="s"/>
      <c r="H2545" t="s"/>
      <c r="I2545" t="s"/>
      <c r="J2545" t="n">
        <v>-0.2732</v>
      </c>
      <c r="K2545" t="n">
        <v>0.189</v>
      </c>
      <c r="L2545" t="n">
        <v>0.8110000000000001</v>
      </c>
      <c r="M2545" t="n">
        <v>0</v>
      </c>
    </row>
    <row r="2546" spans="1:13">
      <c r="A2546" s="1">
        <f>HYPERLINK("http://www.twitter.com/NathanBLawrence/status/967822690286366720", "967822690286366720")</f>
        <v/>
      </c>
      <c r="B2546" s="2" t="n">
        <v>43156.75329861111</v>
      </c>
      <c r="C2546" t="n">
        <v>55</v>
      </c>
      <c r="D2546" t="n">
        <v>22</v>
      </c>
      <c r="E2546" t="s">
        <v>2550</v>
      </c>
      <c r="F2546" t="s"/>
      <c r="G2546" t="s"/>
      <c r="H2546" t="s"/>
      <c r="I2546" t="s"/>
      <c r="J2546" t="n">
        <v>0.9133</v>
      </c>
      <c r="K2546" t="n">
        <v>0</v>
      </c>
      <c r="L2546" t="n">
        <v>0.722</v>
      </c>
      <c r="M2546" t="n">
        <v>0.278</v>
      </c>
    </row>
    <row r="2547" spans="1:13">
      <c r="A2547" s="1">
        <f>HYPERLINK("http://www.twitter.com/NathanBLawrence/status/967820107702452224", "967820107702452224")</f>
        <v/>
      </c>
      <c r="B2547" s="2" t="n">
        <v>43156.74616898148</v>
      </c>
      <c r="C2547" t="n">
        <v>24</v>
      </c>
      <c r="D2547" t="n">
        <v>4</v>
      </c>
      <c r="E2547" t="s">
        <v>2551</v>
      </c>
      <c r="F2547" t="s"/>
      <c r="G2547" t="s"/>
      <c r="H2547" t="s"/>
      <c r="I2547" t="s"/>
      <c r="J2547" t="n">
        <v>0</v>
      </c>
      <c r="K2547" t="n">
        <v>0</v>
      </c>
      <c r="L2547" t="n">
        <v>1</v>
      </c>
      <c r="M2547" t="n">
        <v>0</v>
      </c>
    </row>
    <row r="2548" spans="1:13">
      <c r="A2548" s="1">
        <f>HYPERLINK("http://www.twitter.com/NathanBLawrence/status/967709972132855808", "967709972132855808")</f>
        <v/>
      </c>
      <c r="B2548" s="2" t="n">
        <v>43156.44225694444</v>
      </c>
      <c r="C2548" t="n">
        <v>0</v>
      </c>
      <c r="D2548" t="n">
        <v>1280</v>
      </c>
      <c r="E2548" t="s">
        <v>2552</v>
      </c>
      <c r="F2548" t="s"/>
      <c r="G2548" t="s"/>
      <c r="H2548" t="s"/>
      <c r="I2548" t="s"/>
      <c r="J2548" t="n">
        <v>0</v>
      </c>
      <c r="K2548" t="n">
        <v>0</v>
      </c>
      <c r="L2548" t="n">
        <v>1</v>
      </c>
      <c r="M2548" t="n">
        <v>0</v>
      </c>
    </row>
    <row r="2549" spans="1:13">
      <c r="A2549" s="1">
        <f>HYPERLINK("http://www.twitter.com/NathanBLawrence/status/967709906391351301", "967709906391351301")</f>
        <v/>
      </c>
      <c r="B2549" s="2" t="n">
        <v>43156.44207175926</v>
      </c>
      <c r="C2549" t="n">
        <v>0</v>
      </c>
      <c r="D2549" t="n">
        <v>393</v>
      </c>
      <c r="E2549" t="s">
        <v>2553</v>
      </c>
      <c r="F2549">
        <f>HYPERLINK("http://pbs.twimg.com/media/DW2vuAeVwAA2jyx.jpg", "http://pbs.twimg.com/media/DW2vuAeVwAA2jyx.jpg")</f>
        <v/>
      </c>
      <c r="G2549" t="s"/>
      <c r="H2549" t="s"/>
      <c r="I2549" t="s"/>
      <c r="J2549" t="n">
        <v>0.6981000000000001</v>
      </c>
      <c r="K2549" t="n">
        <v>0</v>
      </c>
      <c r="L2549" t="n">
        <v>0.784</v>
      </c>
      <c r="M2549" t="n">
        <v>0.216</v>
      </c>
    </row>
    <row r="2550" spans="1:13">
      <c r="A2550" s="1">
        <f>HYPERLINK("http://www.twitter.com/NathanBLawrence/status/967709827148349440", "967709827148349440")</f>
        <v/>
      </c>
      <c r="B2550" s="2" t="n">
        <v>43156.44185185185</v>
      </c>
      <c r="C2550" t="n">
        <v>0</v>
      </c>
      <c r="D2550" t="n">
        <v>1709</v>
      </c>
      <c r="E2550" t="s">
        <v>2554</v>
      </c>
      <c r="F2550">
        <f>HYPERLINK("http://pbs.twimg.com/media/DW2pCQsWsAAWhSd.jpg", "http://pbs.twimg.com/media/DW2pCQsWsAAWhSd.jpg")</f>
        <v/>
      </c>
      <c r="G2550" t="s"/>
      <c r="H2550" t="s"/>
      <c r="I2550" t="s"/>
      <c r="J2550" t="n">
        <v>-0.8552999999999999</v>
      </c>
      <c r="K2550" t="n">
        <v>0.701</v>
      </c>
      <c r="L2550" t="n">
        <v>0.299</v>
      </c>
      <c r="M2550" t="n">
        <v>0</v>
      </c>
    </row>
    <row r="2551" spans="1:13">
      <c r="A2551" s="1">
        <f>HYPERLINK("http://www.twitter.com/NathanBLawrence/status/967709696969687040", "967709696969687040")</f>
        <v/>
      </c>
      <c r="B2551" s="2" t="n">
        <v>43156.44149305556</v>
      </c>
      <c r="C2551" t="n">
        <v>0</v>
      </c>
      <c r="D2551" t="n">
        <v>6410</v>
      </c>
      <c r="E2551" t="s">
        <v>2555</v>
      </c>
      <c r="F2551" t="s"/>
      <c r="G2551" t="s"/>
      <c r="H2551" t="s"/>
      <c r="I2551" t="s"/>
      <c r="J2551" t="n">
        <v>0.4019</v>
      </c>
      <c r="K2551" t="n">
        <v>0</v>
      </c>
      <c r="L2551" t="n">
        <v>0.876</v>
      </c>
      <c r="M2551" t="n">
        <v>0.124</v>
      </c>
    </row>
    <row r="2552" spans="1:13">
      <c r="A2552" s="1">
        <f>HYPERLINK("http://www.twitter.com/NathanBLawrence/status/967542621194240000", "967542621194240000")</f>
        <v/>
      </c>
      <c r="B2552" s="2" t="n">
        <v>43155.98045138889</v>
      </c>
      <c r="C2552" t="n">
        <v>36</v>
      </c>
      <c r="D2552" t="n">
        <v>19</v>
      </c>
      <c r="E2552" t="s">
        <v>2556</v>
      </c>
      <c r="F2552" t="s"/>
      <c r="G2552" t="s"/>
      <c r="H2552" t="s"/>
      <c r="I2552" t="s"/>
      <c r="J2552" t="n">
        <v>0</v>
      </c>
      <c r="K2552" t="n">
        <v>0</v>
      </c>
      <c r="L2552" t="n">
        <v>1</v>
      </c>
      <c r="M2552" t="n">
        <v>0</v>
      </c>
    </row>
    <row r="2553" spans="1:13">
      <c r="A2553" s="1">
        <f>HYPERLINK("http://www.twitter.com/NathanBLawrence/status/967542246013788160", "967542246013788160")</f>
        <v/>
      </c>
      <c r="B2553" s="2" t="n">
        <v>43155.9794212963</v>
      </c>
      <c r="C2553" t="n">
        <v>12</v>
      </c>
      <c r="D2553" t="n">
        <v>5</v>
      </c>
      <c r="E2553" t="s">
        <v>2557</v>
      </c>
      <c r="F2553" t="s"/>
      <c r="G2553" t="s"/>
      <c r="H2553" t="s"/>
      <c r="I2553" t="s"/>
      <c r="J2553" t="n">
        <v>-0.5562</v>
      </c>
      <c r="K2553" t="n">
        <v>0.418</v>
      </c>
      <c r="L2553" t="n">
        <v>0.582</v>
      </c>
      <c r="M2553" t="n">
        <v>0</v>
      </c>
    </row>
    <row r="2554" spans="1:13">
      <c r="A2554" s="1">
        <f>HYPERLINK("http://www.twitter.com/NathanBLawrence/status/967541722900176896", "967541722900176896")</f>
        <v/>
      </c>
      <c r="B2554" s="2" t="n">
        <v>43155.97797453704</v>
      </c>
      <c r="C2554" t="n">
        <v>0</v>
      </c>
      <c r="D2554" t="n">
        <v>2262</v>
      </c>
      <c r="E2554" t="s">
        <v>2558</v>
      </c>
      <c r="F2554" t="s"/>
      <c r="G2554" t="s"/>
      <c r="H2554" t="s"/>
      <c r="I2554" t="s"/>
      <c r="J2554" t="n">
        <v>0.7227</v>
      </c>
      <c r="K2554" t="n">
        <v>0</v>
      </c>
      <c r="L2554" t="n">
        <v>0.758</v>
      </c>
      <c r="M2554" t="n">
        <v>0.242</v>
      </c>
    </row>
    <row r="2555" spans="1:13">
      <c r="A2555" s="1">
        <f>HYPERLINK("http://www.twitter.com/NathanBLawrence/status/967540833145700352", "967540833145700352")</f>
        <v/>
      </c>
      <c r="B2555" s="2" t="n">
        <v>43155.97552083333</v>
      </c>
      <c r="C2555" t="n">
        <v>0</v>
      </c>
      <c r="D2555" t="n">
        <v>70</v>
      </c>
      <c r="E2555" t="s">
        <v>2559</v>
      </c>
      <c r="F2555">
        <f>HYPERLINK("http://pbs.twimg.com/media/DW1ejXRXUAECLpg.jpg", "http://pbs.twimg.com/media/DW1ejXRXUAECLpg.jpg")</f>
        <v/>
      </c>
      <c r="G2555" t="s"/>
      <c r="H2555" t="s"/>
      <c r="I2555" t="s"/>
      <c r="J2555" t="n">
        <v>0.296</v>
      </c>
      <c r="K2555" t="n">
        <v>0</v>
      </c>
      <c r="L2555" t="n">
        <v>0.732</v>
      </c>
      <c r="M2555" t="n">
        <v>0.268</v>
      </c>
    </row>
    <row r="2556" spans="1:13">
      <c r="A2556" s="1">
        <f>HYPERLINK("http://www.twitter.com/NathanBLawrence/status/967540619747893249", "967540619747893249")</f>
        <v/>
      </c>
      <c r="B2556" s="2" t="n">
        <v>43155.97493055555</v>
      </c>
      <c r="C2556" t="n">
        <v>0</v>
      </c>
      <c r="D2556" t="n">
        <v>631</v>
      </c>
      <c r="E2556" t="s">
        <v>2560</v>
      </c>
      <c r="F2556">
        <f>HYPERLINK("https://video.twimg.com/ext_tw_video/967397236844965889/pu/vid/1280x720/6rNEvGRLITlxHmOD.mp4", "https://video.twimg.com/ext_tw_video/967397236844965889/pu/vid/1280x720/6rNEvGRLITlxHmOD.mp4")</f>
        <v/>
      </c>
      <c r="G2556" t="s"/>
      <c r="H2556" t="s"/>
      <c r="I2556" t="s"/>
      <c r="J2556" t="n">
        <v>0.3182</v>
      </c>
      <c r="K2556" t="n">
        <v>0</v>
      </c>
      <c r="L2556" t="n">
        <v>0.897</v>
      </c>
      <c r="M2556" t="n">
        <v>0.103</v>
      </c>
    </row>
    <row r="2557" spans="1:13">
      <c r="A2557" s="1">
        <f>HYPERLINK("http://www.twitter.com/NathanBLawrence/status/967539381195046912", "967539381195046912")</f>
        <v/>
      </c>
      <c r="B2557" s="2" t="n">
        <v>43155.9715162037</v>
      </c>
      <c r="C2557" t="n">
        <v>0</v>
      </c>
      <c r="D2557" t="n">
        <v>4405</v>
      </c>
      <c r="E2557" t="s">
        <v>2561</v>
      </c>
      <c r="F2557" t="s"/>
      <c r="G2557" t="s"/>
      <c r="H2557" t="s"/>
      <c r="I2557" t="s"/>
      <c r="J2557" t="n">
        <v>0.9016999999999999</v>
      </c>
      <c r="K2557" t="n">
        <v>0</v>
      </c>
      <c r="L2557" t="n">
        <v>0.644</v>
      </c>
      <c r="M2557" t="n">
        <v>0.356</v>
      </c>
    </row>
    <row r="2558" spans="1:13">
      <c r="A2558" s="1">
        <f>HYPERLINK("http://www.twitter.com/NathanBLawrence/status/967538714745257984", "967538714745257984")</f>
        <v/>
      </c>
      <c r="B2558" s="2" t="n">
        <v>43155.96967592592</v>
      </c>
      <c r="C2558" t="n">
        <v>0</v>
      </c>
      <c r="D2558" t="n">
        <v>133</v>
      </c>
      <c r="E2558" t="s">
        <v>2562</v>
      </c>
      <c r="F2558">
        <f>HYPERLINK("http://pbs.twimg.com/media/DWNG75jV4AAiorf.jpg", "http://pbs.twimg.com/media/DWNG75jV4AAiorf.jpg")</f>
        <v/>
      </c>
      <c r="G2558" t="s"/>
      <c r="H2558" t="s"/>
      <c r="I2558" t="s"/>
      <c r="J2558" t="n">
        <v>0</v>
      </c>
      <c r="K2558" t="n">
        <v>0</v>
      </c>
      <c r="L2558" t="n">
        <v>1</v>
      </c>
      <c r="M2558" t="n">
        <v>0</v>
      </c>
    </row>
    <row r="2559" spans="1:13">
      <c r="A2559" s="1">
        <f>HYPERLINK("http://www.twitter.com/NathanBLawrence/status/967538490744303617", "967538490744303617")</f>
        <v/>
      </c>
      <c r="B2559" s="2" t="n">
        <v>43155.96905092592</v>
      </c>
      <c r="C2559" t="n">
        <v>21</v>
      </c>
      <c r="D2559" t="n">
        <v>19</v>
      </c>
      <c r="E2559" t="s">
        <v>2563</v>
      </c>
      <c r="F2559" t="s"/>
      <c r="G2559" t="s"/>
      <c r="H2559" t="s"/>
      <c r="I2559" t="s"/>
      <c r="J2559" t="n">
        <v>0</v>
      </c>
      <c r="K2559" t="n">
        <v>0</v>
      </c>
      <c r="L2559" t="n">
        <v>1</v>
      </c>
      <c r="M2559" t="n">
        <v>0</v>
      </c>
    </row>
    <row r="2560" spans="1:13">
      <c r="A2560" s="1">
        <f>HYPERLINK("http://www.twitter.com/NathanBLawrence/status/967538234610741248", "967538234610741248")</f>
        <v/>
      </c>
      <c r="B2560" s="2" t="n">
        <v>43155.96834490741</v>
      </c>
      <c r="C2560" t="n">
        <v>0</v>
      </c>
      <c r="D2560" t="n">
        <v>1629</v>
      </c>
      <c r="E2560" t="s">
        <v>2564</v>
      </c>
      <c r="F2560" t="s"/>
      <c r="G2560" t="s"/>
      <c r="H2560" t="s"/>
      <c r="I2560" t="s"/>
      <c r="J2560" t="n">
        <v>-0.5266999999999999</v>
      </c>
      <c r="K2560" t="n">
        <v>0.124</v>
      </c>
      <c r="L2560" t="n">
        <v>0.876</v>
      </c>
      <c r="M2560" t="n">
        <v>0</v>
      </c>
    </row>
    <row r="2561" spans="1:13">
      <c r="A2561" s="1">
        <f>HYPERLINK("http://www.twitter.com/NathanBLawrence/status/967538147595661312", "967538147595661312")</f>
        <v/>
      </c>
      <c r="B2561" s="2" t="n">
        <v>43155.96811342592</v>
      </c>
      <c r="C2561" t="n">
        <v>0</v>
      </c>
      <c r="D2561" t="n">
        <v>109</v>
      </c>
      <c r="E2561" t="s">
        <v>2565</v>
      </c>
      <c r="F2561">
        <f>HYPERLINK("http://pbs.twimg.com/media/DW0wIpnVQAAUVxT.jpg", "http://pbs.twimg.com/media/DW0wIpnVQAAUVxT.jpg")</f>
        <v/>
      </c>
      <c r="G2561" t="s"/>
      <c r="H2561" t="s"/>
      <c r="I2561" t="s"/>
      <c r="J2561" t="n">
        <v>0</v>
      </c>
      <c r="K2561" t="n">
        <v>0</v>
      </c>
      <c r="L2561" t="n">
        <v>1</v>
      </c>
      <c r="M2561" t="n">
        <v>0</v>
      </c>
    </row>
    <row r="2562" spans="1:13">
      <c r="A2562" s="1">
        <f>HYPERLINK("http://www.twitter.com/NathanBLawrence/status/967538000052723712", "967538000052723712")</f>
        <v/>
      </c>
      <c r="B2562" s="2" t="n">
        <v>43155.96769675926</v>
      </c>
      <c r="C2562" t="n">
        <v>18</v>
      </c>
      <c r="D2562" t="n">
        <v>11</v>
      </c>
      <c r="E2562" t="s">
        <v>2566</v>
      </c>
      <c r="F2562" t="s"/>
      <c r="G2562" t="s"/>
      <c r="H2562" t="s"/>
      <c r="I2562" t="s"/>
      <c r="J2562" t="n">
        <v>-0.4003</v>
      </c>
      <c r="K2562" t="n">
        <v>0.402</v>
      </c>
      <c r="L2562" t="n">
        <v>0.598</v>
      </c>
      <c r="M2562" t="n">
        <v>0</v>
      </c>
    </row>
    <row r="2563" spans="1:13">
      <c r="A2563" s="1">
        <f>HYPERLINK("http://www.twitter.com/NathanBLawrence/status/967537834688004096", "967537834688004096")</f>
        <v/>
      </c>
      <c r="B2563" s="2" t="n">
        <v>43155.96724537037</v>
      </c>
      <c r="C2563" t="n">
        <v>0</v>
      </c>
      <c r="D2563" t="n">
        <v>249</v>
      </c>
      <c r="E2563" t="s">
        <v>2567</v>
      </c>
      <c r="F2563" t="s"/>
      <c r="G2563" t="s"/>
      <c r="H2563" t="s"/>
      <c r="I2563" t="s"/>
      <c r="J2563" t="n">
        <v>-0.7906</v>
      </c>
      <c r="K2563" t="n">
        <v>0.259</v>
      </c>
      <c r="L2563" t="n">
        <v>0.741</v>
      </c>
      <c r="M2563" t="n">
        <v>0</v>
      </c>
    </row>
    <row r="2564" spans="1:13">
      <c r="A2564" s="1">
        <f>HYPERLINK("http://www.twitter.com/NathanBLawrence/status/967537746943229952", "967537746943229952")</f>
        <v/>
      </c>
      <c r="B2564" s="2" t="n">
        <v>43155.96700231481</v>
      </c>
      <c r="C2564" t="n">
        <v>0</v>
      </c>
      <c r="D2564" t="n">
        <v>1836</v>
      </c>
      <c r="E2564" t="s">
        <v>2568</v>
      </c>
      <c r="F2564" t="s"/>
      <c r="G2564" t="s"/>
      <c r="H2564" t="s"/>
      <c r="I2564" t="s"/>
      <c r="J2564" t="n">
        <v>-0.1779</v>
      </c>
      <c r="K2564" t="n">
        <v>0.138</v>
      </c>
      <c r="L2564" t="n">
        <v>0.756</v>
      </c>
      <c r="M2564" t="n">
        <v>0.107</v>
      </c>
    </row>
    <row r="2565" spans="1:13">
      <c r="A2565" s="1">
        <f>HYPERLINK("http://www.twitter.com/NathanBLawrence/status/967536048149495809", "967536048149495809")</f>
        <v/>
      </c>
      <c r="B2565" s="2" t="n">
        <v>43155.96231481482</v>
      </c>
      <c r="C2565" t="n">
        <v>4</v>
      </c>
      <c r="D2565" t="n">
        <v>2</v>
      </c>
      <c r="E2565" t="s">
        <v>2569</v>
      </c>
      <c r="F2565" t="s"/>
      <c r="G2565" t="s"/>
      <c r="H2565" t="s"/>
      <c r="I2565" t="s"/>
      <c r="J2565" t="n">
        <v>0.4199</v>
      </c>
      <c r="K2565" t="n">
        <v>0</v>
      </c>
      <c r="L2565" t="n">
        <v>0.763</v>
      </c>
      <c r="M2565" t="n">
        <v>0.237</v>
      </c>
    </row>
    <row r="2566" spans="1:13">
      <c r="A2566" s="1">
        <f>HYPERLINK("http://www.twitter.com/NathanBLawrence/status/967535364301713409", "967535364301713409")</f>
        <v/>
      </c>
      <c r="B2566" s="2" t="n">
        <v>43155.96042824074</v>
      </c>
      <c r="C2566" t="n">
        <v>0</v>
      </c>
      <c r="D2566" t="n">
        <v>65</v>
      </c>
      <c r="E2566" t="s">
        <v>2570</v>
      </c>
      <c r="F2566">
        <f>HYPERLINK("https://video.twimg.com/ext_tw_video/967100958827192320/pu/vid/720x1280/haMn2kMUKS2oUNjH.mp4", "https://video.twimg.com/ext_tw_video/967100958827192320/pu/vid/720x1280/haMn2kMUKS2oUNjH.mp4")</f>
        <v/>
      </c>
      <c r="G2566" t="s"/>
      <c r="H2566" t="s"/>
      <c r="I2566" t="s"/>
      <c r="J2566" t="n">
        <v>0.7783</v>
      </c>
      <c r="K2566" t="n">
        <v>0</v>
      </c>
      <c r="L2566" t="n">
        <v>0.738</v>
      </c>
      <c r="M2566" t="n">
        <v>0.262</v>
      </c>
    </row>
    <row r="2567" spans="1:13">
      <c r="A2567" s="1">
        <f>HYPERLINK("http://www.twitter.com/NathanBLawrence/status/967535039234715648", "967535039234715648")</f>
        <v/>
      </c>
      <c r="B2567" s="2" t="n">
        <v>43155.95952546296</v>
      </c>
      <c r="C2567" t="n">
        <v>0</v>
      </c>
      <c r="D2567" t="n">
        <v>4401</v>
      </c>
      <c r="E2567" t="s">
        <v>2571</v>
      </c>
      <c r="F2567" t="s"/>
      <c r="G2567" t="s"/>
      <c r="H2567" t="s"/>
      <c r="I2567" t="s"/>
      <c r="J2567" t="n">
        <v>-0.6705</v>
      </c>
      <c r="K2567" t="n">
        <v>0.243</v>
      </c>
      <c r="L2567" t="n">
        <v>0.757</v>
      </c>
      <c r="M2567" t="n">
        <v>0</v>
      </c>
    </row>
    <row r="2568" spans="1:13">
      <c r="A2568" s="1">
        <f>HYPERLINK("http://www.twitter.com/NathanBLawrence/status/967534924562509825", "967534924562509825")</f>
        <v/>
      </c>
      <c r="B2568" s="2" t="n">
        <v>43155.95921296296</v>
      </c>
      <c r="C2568" t="n">
        <v>0</v>
      </c>
      <c r="D2568" t="n">
        <v>806</v>
      </c>
      <c r="E2568" t="s">
        <v>2572</v>
      </c>
      <c r="F2568" t="s"/>
      <c r="G2568" t="s"/>
      <c r="H2568" t="s"/>
      <c r="I2568" t="s"/>
      <c r="J2568" t="n">
        <v>0</v>
      </c>
      <c r="K2568" t="n">
        <v>0</v>
      </c>
      <c r="L2568" t="n">
        <v>1</v>
      </c>
      <c r="M2568" t="n">
        <v>0</v>
      </c>
    </row>
    <row r="2569" spans="1:13">
      <c r="A2569" s="1">
        <f>HYPERLINK("http://www.twitter.com/NathanBLawrence/status/967534471208517632", "967534471208517632")</f>
        <v/>
      </c>
      <c r="B2569" s="2" t="n">
        <v>43155.95796296297</v>
      </c>
      <c r="C2569" t="n">
        <v>0</v>
      </c>
      <c r="D2569" t="n">
        <v>241</v>
      </c>
      <c r="E2569" t="s">
        <v>2573</v>
      </c>
      <c r="F2569">
        <f>HYPERLINK("http://pbs.twimg.com/media/DW0gcx3U8AAiiLu.jpg", "http://pbs.twimg.com/media/DW0gcx3U8AAiiLu.jpg")</f>
        <v/>
      </c>
      <c r="G2569" t="s"/>
      <c r="H2569" t="s"/>
      <c r="I2569" t="s"/>
      <c r="J2569" t="n">
        <v>0.8074</v>
      </c>
      <c r="K2569" t="n">
        <v>0</v>
      </c>
      <c r="L2569" t="n">
        <v>0.751</v>
      </c>
      <c r="M2569" t="n">
        <v>0.249</v>
      </c>
    </row>
    <row r="2570" spans="1:13">
      <c r="A2570" s="1">
        <f>HYPERLINK("http://www.twitter.com/NathanBLawrence/status/967534153754320896", "967534153754320896")</f>
        <v/>
      </c>
      <c r="B2570" s="2" t="n">
        <v>43155.95708333333</v>
      </c>
      <c r="C2570" t="n">
        <v>0</v>
      </c>
      <c r="D2570" t="n">
        <v>22048</v>
      </c>
      <c r="E2570" t="s">
        <v>2574</v>
      </c>
      <c r="F2570" t="s"/>
      <c r="G2570" t="s"/>
      <c r="H2570" t="s"/>
      <c r="I2570" t="s"/>
      <c r="J2570" t="n">
        <v>-0.3999</v>
      </c>
      <c r="K2570" t="n">
        <v>0.194</v>
      </c>
      <c r="L2570" t="n">
        <v>0.707</v>
      </c>
      <c r="M2570" t="n">
        <v>0.099</v>
      </c>
    </row>
    <row r="2571" spans="1:13">
      <c r="A2571" s="1">
        <f>HYPERLINK("http://www.twitter.com/NathanBLawrence/status/967533900800049152", "967533900800049152")</f>
        <v/>
      </c>
      <c r="B2571" s="2" t="n">
        <v>43155.95638888889</v>
      </c>
      <c r="C2571" t="n">
        <v>0</v>
      </c>
      <c r="D2571" t="n">
        <v>18</v>
      </c>
      <c r="E2571" t="s">
        <v>2575</v>
      </c>
      <c r="F2571" t="s"/>
      <c r="G2571" t="s"/>
      <c r="H2571" t="s"/>
      <c r="I2571" t="s"/>
      <c r="J2571" t="n">
        <v>-0.5106000000000001</v>
      </c>
      <c r="K2571" t="n">
        <v>0.18</v>
      </c>
      <c r="L2571" t="n">
        <v>0.82</v>
      </c>
      <c r="M2571" t="n">
        <v>0</v>
      </c>
    </row>
    <row r="2572" spans="1:13">
      <c r="A2572" s="1">
        <f>HYPERLINK("http://www.twitter.com/NathanBLawrence/status/967531188955959297", "967531188955959297")</f>
        <v/>
      </c>
      <c r="B2572" s="2" t="n">
        <v>43155.94890046296</v>
      </c>
      <c r="C2572" t="n">
        <v>0</v>
      </c>
      <c r="D2572" t="n">
        <v>211</v>
      </c>
      <c r="E2572" t="s">
        <v>2576</v>
      </c>
      <c r="F2572">
        <f>HYPERLINK("http://pbs.twimg.com/media/DW1Z-apXkAAmt6R.jpg", "http://pbs.twimg.com/media/DW1Z-apXkAAmt6R.jpg")</f>
        <v/>
      </c>
      <c r="G2572" t="s"/>
      <c r="H2572" t="s"/>
      <c r="I2572" t="s"/>
      <c r="J2572" t="n">
        <v>0</v>
      </c>
      <c r="K2572" t="n">
        <v>0</v>
      </c>
      <c r="L2572" t="n">
        <v>1</v>
      </c>
      <c r="M2572" t="n">
        <v>0</v>
      </c>
    </row>
    <row r="2573" spans="1:13">
      <c r="A2573" s="1">
        <f>HYPERLINK("http://www.twitter.com/NathanBLawrence/status/967529581044379648", "967529581044379648")</f>
        <v/>
      </c>
      <c r="B2573" s="2" t="n">
        <v>43155.94446759259</v>
      </c>
      <c r="C2573" t="n">
        <v>0</v>
      </c>
      <c r="D2573" t="n">
        <v>9</v>
      </c>
      <c r="E2573" t="s">
        <v>2577</v>
      </c>
      <c r="F2573">
        <f>HYPERLINK("http://pbs.twimg.com/media/DW1Y8iLXcAE1ffm.jpg", "http://pbs.twimg.com/media/DW1Y8iLXcAE1ffm.jpg")</f>
        <v/>
      </c>
      <c r="G2573" t="s"/>
      <c r="H2573" t="s"/>
      <c r="I2573" t="s"/>
      <c r="J2573" t="n">
        <v>0</v>
      </c>
      <c r="K2573" t="n">
        <v>0</v>
      </c>
      <c r="L2573" t="n">
        <v>1</v>
      </c>
      <c r="M2573" t="n">
        <v>0</v>
      </c>
    </row>
    <row r="2574" spans="1:13">
      <c r="A2574" s="1">
        <f>HYPERLINK("http://www.twitter.com/NathanBLawrence/status/967528860894953473", "967528860894953473")</f>
        <v/>
      </c>
      <c r="B2574" s="2" t="n">
        <v>43155.94247685185</v>
      </c>
      <c r="C2574" t="n">
        <v>0</v>
      </c>
      <c r="D2574" t="n">
        <v>136</v>
      </c>
      <c r="E2574" t="s">
        <v>2578</v>
      </c>
      <c r="F2574" t="s"/>
      <c r="G2574" t="s"/>
      <c r="H2574" t="s"/>
      <c r="I2574" t="s"/>
      <c r="J2574" t="n">
        <v>0</v>
      </c>
      <c r="K2574" t="n">
        <v>0</v>
      </c>
      <c r="L2574" t="n">
        <v>1</v>
      </c>
      <c r="M2574" t="n">
        <v>0</v>
      </c>
    </row>
    <row r="2575" spans="1:13">
      <c r="A2575" s="1">
        <f>HYPERLINK("http://www.twitter.com/NathanBLawrence/status/967528552756232192", "967528552756232192")</f>
        <v/>
      </c>
      <c r="B2575" s="2" t="n">
        <v>43155.94163194444</v>
      </c>
      <c r="C2575" t="n">
        <v>0</v>
      </c>
      <c r="D2575" t="n">
        <v>775</v>
      </c>
      <c r="E2575" t="s">
        <v>2579</v>
      </c>
      <c r="F2575">
        <f>HYPERLINK("http://pbs.twimg.com/media/DW08Us-VMAELBX1.jpg", "http://pbs.twimg.com/media/DW08Us-VMAELBX1.jpg")</f>
        <v/>
      </c>
      <c r="G2575" t="s"/>
      <c r="H2575" t="s"/>
      <c r="I2575" t="s"/>
      <c r="J2575" t="n">
        <v>-0.5216</v>
      </c>
      <c r="K2575" t="n">
        <v>0.144</v>
      </c>
      <c r="L2575" t="n">
        <v>0.856</v>
      </c>
      <c r="M2575" t="n">
        <v>0</v>
      </c>
    </row>
    <row r="2576" spans="1:13">
      <c r="A2576" s="1">
        <f>HYPERLINK("http://www.twitter.com/NathanBLawrence/status/967528190812962816", "967528190812962816")</f>
        <v/>
      </c>
      <c r="B2576" s="2" t="n">
        <v>43155.94063657407</v>
      </c>
      <c r="C2576" t="n">
        <v>0</v>
      </c>
      <c r="D2576" t="n">
        <v>253</v>
      </c>
      <c r="E2576" t="s">
        <v>2580</v>
      </c>
      <c r="F2576" t="s"/>
      <c r="G2576" t="s"/>
      <c r="H2576" t="s"/>
      <c r="I2576" t="s"/>
      <c r="J2576" t="n">
        <v>0.7269</v>
      </c>
      <c r="K2576" t="n">
        <v>0</v>
      </c>
      <c r="L2576" t="n">
        <v>0.766</v>
      </c>
      <c r="M2576" t="n">
        <v>0.234</v>
      </c>
    </row>
    <row r="2577" spans="1:13">
      <c r="A2577" s="1">
        <f>HYPERLINK("http://www.twitter.com/NathanBLawrence/status/967528029906857984", "967528029906857984")</f>
        <v/>
      </c>
      <c r="B2577" s="2" t="n">
        <v>43155.94018518519</v>
      </c>
      <c r="C2577" t="n">
        <v>0</v>
      </c>
      <c r="D2577" t="n">
        <v>788</v>
      </c>
      <c r="E2577" t="s">
        <v>2581</v>
      </c>
      <c r="F2577" t="s"/>
      <c r="G2577" t="s"/>
      <c r="H2577" t="s"/>
      <c r="I2577" t="s"/>
      <c r="J2577" t="n">
        <v>0.3612</v>
      </c>
      <c r="K2577" t="n">
        <v>0</v>
      </c>
      <c r="L2577" t="n">
        <v>0.902</v>
      </c>
      <c r="M2577" t="n">
        <v>0.098</v>
      </c>
    </row>
    <row r="2578" spans="1:13">
      <c r="A2578" s="1">
        <f>HYPERLINK("http://www.twitter.com/NathanBLawrence/status/967525891717742592", "967525891717742592")</f>
        <v/>
      </c>
      <c r="B2578" s="2" t="n">
        <v>43155.93429398148</v>
      </c>
      <c r="C2578" t="n">
        <v>0</v>
      </c>
      <c r="D2578" t="n">
        <v>16963</v>
      </c>
      <c r="E2578" t="s">
        <v>2582</v>
      </c>
      <c r="F2578" t="s"/>
      <c r="G2578" t="s"/>
      <c r="H2578" t="s"/>
      <c r="I2578" t="s"/>
      <c r="J2578" t="n">
        <v>-0.5647</v>
      </c>
      <c r="K2578" t="n">
        <v>0.149</v>
      </c>
      <c r="L2578" t="n">
        <v>0.803</v>
      </c>
      <c r="M2578" t="n">
        <v>0.048</v>
      </c>
    </row>
    <row r="2579" spans="1:13">
      <c r="A2579" s="1">
        <f>HYPERLINK("http://www.twitter.com/NathanBLawrence/status/967236177517408261", "967236177517408261")</f>
        <v/>
      </c>
      <c r="B2579" s="2" t="n">
        <v>43155.13482638889</v>
      </c>
      <c r="C2579" t="n">
        <v>0</v>
      </c>
      <c r="D2579" t="n">
        <v>15</v>
      </c>
      <c r="E2579" t="s">
        <v>2583</v>
      </c>
      <c r="F2579" t="s"/>
      <c r="G2579" t="s"/>
      <c r="H2579" t="s"/>
      <c r="I2579" t="s"/>
      <c r="J2579" t="n">
        <v>-0.296</v>
      </c>
      <c r="K2579" t="n">
        <v>0.104</v>
      </c>
      <c r="L2579" t="n">
        <v>0.896</v>
      </c>
      <c r="M2579" t="n">
        <v>0</v>
      </c>
    </row>
    <row r="2580" spans="1:13">
      <c r="A2580" s="1">
        <f>HYPERLINK("http://www.twitter.com/NathanBLawrence/status/967106339175505921", "967106339175505921")</f>
        <v/>
      </c>
      <c r="B2580" s="2" t="n">
        <v>43154.77653935185</v>
      </c>
      <c r="C2580" t="n">
        <v>24</v>
      </c>
      <c r="D2580" t="n">
        <v>13</v>
      </c>
      <c r="E2580" t="s">
        <v>2584</v>
      </c>
      <c r="F2580" t="s"/>
      <c r="G2580" t="s"/>
      <c r="H2580" t="s"/>
      <c r="I2580" t="s"/>
      <c r="J2580" t="n">
        <v>-0.25</v>
      </c>
      <c r="K2580" t="n">
        <v>0.182</v>
      </c>
      <c r="L2580" t="n">
        <v>0.8179999999999999</v>
      </c>
      <c r="M2580" t="n">
        <v>0</v>
      </c>
    </row>
    <row r="2581" spans="1:13">
      <c r="A2581" s="1">
        <f>HYPERLINK("http://www.twitter.com/NathanBLawrence/status/967099993533202432", "967099993533202432")</f>
        <v/>
      </c>
      <c r="B2581" s="2" t="n">
        <v>43154.75902777778</v>
      </c>
      <c r="C2581" t="n">
        <v>0</v>
      </c>
      <c r="D2581" t="n">
        <v>316</v>
      </c>
      <c r="E2581" t="s">
        <v>2585</v>
      </c>
      <c r="F2581">
        <f>HYPERLINK("http://pbs.twimg.com/media/DWvH53fWAAAxgGn.jpg", "http://pbs.twimg.com/media/DWvH53fWAAAxgGn.jpg")</f>
        <v/>
      </c>
      <c r="G2581" t="s"/>
      <c r="H2581" t="s"/>
      <c r="I2581" t="s"/>
      <c r="J2581" t="n">
        <v>0.3818</v>
      </c>
      <c r="K2581" t="n">
        <v>0</v>
      </c>
      <c r="L2581" t="n">
        <v>0.894</v>
      </c>
      <c r="M2581" t="n">
        <v>0.106</v>
      </c>
    </row>
    <row r="2582" spans="1:13">
      <c r="A2582" s="1">
        <f>HYPERLINK("http://www.twitter.com/NathanBLawrence/status/966907841062739968", "966907841062739968")</f>
        <v/>
      </c>
      <c r="B2582" s="2" t="n">
        <v>43154.22879629629</v>
      </c>
      <c r="C2582" t="n">
        <v>23</v>
      </c>
      <c r="D2582" t="n">
        <v>19</v>
      </c>
      <c r="E2582" t="s">
        <v>2586</v>
      </c>
      <c r="F2582" t="s"/>
      <c r="G2582" t="s"/>
      <c r="H2582" t="s"/>
      <c r="I2582" t="s"/>
      <c r="J2582" t="n">
        <v>-0.5574</v>
      </c>
      <c r="K2582" t="n">
        <v>0.247</v>
      </c>
      <c r="L2582" t="n">
        <v>0.753</v>
      </c>
      <c r="M2582" t="n">
        <v>0</v>
      </c>
    </row>
    <row r="2583" spans="1:13">
      <c r="A2583" s="1">
        <f>HYPERLINK("http://www.twitter.com/NathanBLawrence/status/966907800222818305", "966907800222818305")</f>
        <v/>
      </c>
      <c r="B2583" s="2" t="n">
        <v>43154.22868055556</v>
      </c>
      <c r="C2583" t="n">
        <v>12</v>
      </c>
      <c r="D2583" t="n">
        <v>9</v>
      </c>
      <c r="E2583" t="s">
        <v>2587</v>
      </c>
      <c r="F2583" t="s"/>
      <c r="G2583" t="s"/>
      <c r="H2583" t="s"/>
      <c r="I2583" t="s"/>
      <c r="J2583" t="n">
        <v>0</v>
      </c>
      <c r="K2583" t="n">
        <v>0</v>
      </c>
      <c r="L2583" t="n">
        <v>1</v>
      </c>
      <c r="M2583" t="n">
        <v>0</v>
      </c>
    </row>
    <row r="2584" spans="1:13">
      <c r="A2584" s="1">
        <f>HYPERLINK("http://www.twitter.com/NathanBLawrence/status/966865810554732545", "966865810554732545")</f>
        <v/>
      </c>
      <c r="B2584" s="2" t="n">
        <v>43154.1128125</v>
      </c>
      <c r="C2584" t="n">
        <v>0</v>
      </c>
      <c r="D2584" t="n">
        <v>24</v>
      </c>
      <c r="E2584" t="s">
        <v>2588</v>
      </c>
      <c r="F2584">
        <f>HYPERLINK("http://pbs.twimg.com/media/DWmve3WW0AAKz03.jpg", "http://pbs.twimg.com/media/DWmve3WW0AAKz03.jpg")</f>
        <v/>
      </c>
      <c r="G2584" t="s"/>
      <c r="H2584" t="s"/>
      <c r="I2584" t="s"/>
      <c r="J2584" t="n">
        <v>0</v>
      </c>
      <c r="K2584" t="n">
        <v>0</v>
      </c>
      <c r="L2584" t="n">
        <v>1</v>
      </c>
      <c r="M2584" t="n">
        <v>0</v>
      </c>
    </row>
    <row r="2585" spans="1:13">
      <c r="A2585" s="1">
        <f>HYPERLINK("http://www.twitter.com/NathanBLawrence/status/966865711313244160", "966865711313244160")</f>
        <v/>
      </c>
      <c r="B2585" s="2" t="n">
        <v>43154.11253472222</v>
      </c>
      <c r="C2585" t="n">
        <v>0</v>
      </c>
      <c r="D2585" t="n">
        <v>1401</v>
      </c>
      <c r="E2585" t="s">
        <v>2589</v>
      </c>
      <c r="F2585">
        <f>HYPERLINK("http://pbs.twimg.com/media/DWqekpGVwAAQ7AU.jpg", "http://pbs.twimg.com/media/DWqekpGVwAAQ7AU.jpg")</f>
        <v/>
      </c>
      <c r="G2585" t="s"/>
      <c r="H2585" t="s"/>
      <c r="I2585" t="s"/>
      <c r="J2585" t="n">
        <v>-0.4404</v>
      </c>
      <c r="K2585" t="n">
        <v>0.139</v>
      </c>
      <c r="L2585" t="n">
        <v>0.861</v>
      </c>
      <c r="M2585" t="n">
        <v>0</v>
      </c>
    </row>
    <row r="2586" spans="1:13">
      <c r="A2586" s="1">
        <f>HYPERLINK("http://www.twitter.com/NathanBLawrence/status/966865607340666881", "966865607340666881")</f>
        <v/>
      </c>
      <c r="B2586" s="2" t="n">
        <v>43154.11224537037</v>
      </c>
      <c r="C2586" t="n">
        <v>96</v>
      </c>
      <c r="D2586" t="n">
        <v>46</v>
      </c>
      <c r="E2586" t="s">
        <v>2590</v>
      </c>
      <c r="F2586" t="s"/>
      <c r="G2586" t="s"/>
      <c r="H2586" t="s"/>
      <c r="I2586" t="s"/>
      <c r="J2586" t="n">
        <v>-0.9611</v>
      </c>
      <c r="K2586" t="n">
        <v>0.339</v>
      </c>
      <c r="L2586" t="n">
        <v>0.607</v>
      </c>
      <c r="M2586" t="n">
        <v>0.054</v>
      </c>
    </row>
    <row r="2587" spans="1:13">
      <c r="A2587" s="1">
        <f>HYPERLINK("http://www.twitter.com/NathanBLawrence/status/966784654089965568", "966784654089965568")</f>
        <v/>
      </c>
      <c r="B2587" s="2" t="n">
        <v>43153.88886574074</v>
      </c>
      <c r="C2587" t="n">
        <v>0</v>
      </c>
      <c r="D2587" t="n">
        <v>8</v>
      </c>
      <c r="E2587" t="s">
        <v>2591</v>
      </c>
      <c r="F2587">
        <f>HYPERLINK("http://pbs.twimg.com/media/DWqrPCpW4AA8PLC.jpg", "http://pbs.twimg.com/media/DWqrPCpW4AA8PLC.jpg")</f>
        <v/>
      </c>
      <c r="G2587" t="s"/>
      <c r="H2587" t="s"/>
      <c r="I2587" t="s"/>
      <c r="J2587" t="n">
        <v>0</v>
      </c>
      <c r="K2587" t="n">
        <v>0</v>
      </c>
      <c r="L2587" t="n">
        <v>1</v>
      </c>
      <c r="M2587" t="n">
        <v>0</v>
      </c>
    </row>
    <row r="2588" spans="1:13">
      <c r="A2588" s="1">
        <f>HYPERLINK("http://www.twitter.com/NathanBLawrence/status/966767330234527744", "966767330234527744")</f>
        <v/>
      </c>
      <c r="B2588" s="2" t="n">
        <v>43153.84105324074</v>
      </c>
      <c r="C2588" t="n">
        <v>0</v>
      </c>
      <c r="D2588" t="n">
        <v>365</v>
      </c>
      <c r="E2588" t="s">
        <v>2592</v>
      </c>
      <c r="F2588" t="s"/>
      <c r="G2588" t="s"/>
      <c r="H2588" t="s"/>
      <c r="I2588" t="s"/>
      <c r="J2588" t="n">
        <v>-0.4404</v>
      </c>
      <c r="K2588" t="n">
        <v>0.132</v>
      </c>
      <c r="L2588" t="n">
        <v>0.868</v>
      </c>
      <c r="M2588" t="n">
        <v>0</v>
      </c>
    </row>
    <row r="2589" spans="1:13">
      <c r="A2589" s="1">
        <f>HYPERLINK("http://www.twitter.com/NathanBLawrence/status/966767221363040256", "966767221363040256")</f>
        <v/>
      </c>
      <c r="B2589" s="2" t="n">
        <v>43153.84075231481</v>
      </c>
      <c r="C2589" t="n">
        <v>0</v>
      </c>
      <c r="D2589" t="n">
        <v>2295</v>
      </c>
      <c r="E2589" t="s">
        <v>2593</v>
      </c>
      <c r="F2589" t="s"/>
      <c r="G2589" t="s"/>
      <c r="H2589" t="s"/>
      <c r="I2589" t="s"/>
      <c r="J2589" t="n">
        <v>0</v>
      </c>
      <c r="K2589" t="n">
        <v>0</v>
      </c>
      <c r="L2589" t="n">
        <v>1</v>
      </c>
      <c r="M2589" t="n">
        <v>0</v>
      </c>
    </row>
    <row r="2590" spans="1:13">
      <c r="A2590" s="1">
        <f>HYPERLINK("http://www.twitter.com/NathanBLawrence/status/966752527134867456", "966752527134867456")</f>
        <v/>
      </c>
      <c r="B2590" s="2" t="n">
        <v>43153.80020833333</v>
      </c>
      <c r="C2590" t="n">
        <v>0</v>
      </c>
      <c r="D2590" t="n">
        <v>51</v>
      </c>
      <c r="E2590" t="s">
        <v>2594</v>
      </c>
      <c r="F2590">
        <f>HYPERLINK("http://pbs.twimg.com/media/DWlQvkDUMAAxWGW.jpg", "http://pbs.twimg.com/media/DWlQvkDUMAAxWGW.jpg")</f>
        <v/>
      </c>
      <c r="G2590" t="s"/>
      <c r="H2590" t="s"/>
      <c r="I2590" t="s"/>
      <c r="J2590" t="n">
        <v>0</v>
      </c>
      <c r="K2590" t="n">
        <v>0</v>
      </c>
      <c r="L2590" t="n">
        <v>1</v>
      </c>
      <c r="M2590" t="n">
        <v>0</v>
      </c>
    </row>
    <row r="2591" spans="1:13">
      <c r="A2591" s="1">
        <f>HYPERLINK("http://www.twitter.com/NathanBLawrence/status/966752318208147457", "966752318208147457")</f>
        <v/>
      </c>
      <c r="B2591" s="2" t="n">
        <v>43153.79962962963</v>
      </c>
      <c r="C2591" t="n">
        <v>88</v>
      </c>
      <c r="D2591" t="n">
        <v>37</v>
      </c>
      <c r="E2591" t="s">
        <v>2595</v>
      </c>
      <c r="F2591" t="s"/>
      <c r="G2591" t="s"/>
      <c r="H2591" t="s"/>
      <c r="I2591" t="s"/>
      <c r="J2591" t="n">
        <v>0.4871</v>
      </c>
      <c r="K2591" t="n">
        <v>0.062</v>
      </c>
      <c r="L2591" t="n">
        <v>0.786</v>
      </c>
      <c r="M2591" t="n">
        <v>0.151</v>
      </c>
    </row>
    <row r="2592" spans="1:13">
      <c r="A2592" s="1">
        <f>HYPERLINK("http://www.twitter.com/NathanBLawrence/status/966751422074183680", "966751422074183680")</f>
        <v/>
      </c>
      <c r="B2592" s="2" t="n">
        <v>43153.79716435185</v>
      </c>
      <c r="C2592" t="n">
        <v>99</v>
      </c>
      <c r="D2592" t="n">
        <v>34</v>
      </c>
      <c r="E2592" t="s">
        <v>2596</v>
      </c>
      <c r="F2592" t="s"/>
      <c r="G2592" t="s"/>
      <c r="H2592" t="s"/>
      <c r="I2592" t="s"/>
      <c r="J2592" t="n">
        <v>-0.9558</v>
      </c>
      <c r="K2592" t="n">
        <v>0.419</v>
      </c>
      <c r="L2592" t="n">
        <v>0.581</v>
      </c>
      <c r="M2592" t="n">
        <v>0</v>
      </c>
    </row>
    <row r="2593" spans="1:13">
      <c r="A2593" s="1">
        <f>HYPERLINK("http://www.twitter.com/NathanBLawrence/status/966392408194801664", "966392408194801664")</f>
        <v/>
      </c>
      <c r="B2593" s="2" t="n">
        <v>43152.80646990741</v>
      </c>
      <c r="C2593" t="n">
        <v>113</v>
      </c>
      <c r="D2593" t="n">
        <v>51</v>
      </c>
      <c r="E2593" t="s">
        <v>2597</v>
      </c>
      <c r="F2593">
        <f>HYPERLINK("http://pbs.twimg.com/media/DWlQvkDUMAAxWGW.jpg", "http://pbs.twimg.com/media/DWlQvkDUMAAxWGW.jpg")</f>
        <v/>
      </c>
      <c r="G2593" t="s"/>
      <c r="H2593" t="s"/>
      <c r="I2593" t="s"/>
      <c r="J2593" t="n">
        <v>0</v>
      </c>
      <c r="K2593" t="n">
        <v>0</v>
      </c>
      <c r="L2593" t="n">
        <v>1</v>
      </c>
      <c r="M2593" t="n">
        <v>0</v>
      </c>
    </row>
    <row r="2594" spans="1:13">
      <c r="A2594" s="1">
        <f>HYPERLINK("http://www.twitter.com/NathanBLawrence/status/966391981223034880", "966391981223034880")</f>
        <v/>
      </c>
      <c r="B2594" s="2" t="n">
        <v>43152.80528935185</v>
      </c>
      <c r="C2594" t="n">
        <v>18</v>
      </c>
      <c r="D2594" t="n">
        <v>12</v>
      </c>
      <c r="E2594" t="s">
        <v>2598</v>
      </c>
      <c r="F2594">
        <f>HYPERLINK("http://pbs.twimg.com/media/DWlPg7iVoAEqbHC.jpg", "http://pbs.twimg.com/media/DWlPg7iVoAEqbHC.jpg")</f>
        <v/>
      </c>
      <c r="G2594" t="s"/>
      <c r="H2594" t="s"/>
      <c r="I2594" t="s"/>
      <c r="J2594" t="n">
        <v>0.4184</v>
      </c>
      <c r="K2594" t="n">
        <v>0</v>
      </c>
      <c r="L2594" t="n">
        <v>0.764</v>
      </c>
      <c r="M2594" t="n">
        <v>0.236</v>
      </c>
    </row>
    <row r="2595" spans="1:13">
      <c r="A2595" s="1">
        <f>HYPERLINK("http://www.twitter.com/NathanBLawrence/status/966390874648100864", "966390874648100864")</f>
        <v/>
      </c>
      <c r="B2595" s="2" t="n">
        <v>43152.8022337963</v>
      </c>
      <c r="C2595" t="n">
        <v>48</v>
      </c>
      <c r="D2595" t="n">
        <v>34</v>
      </c>
      <c r="E2595" t="s">
        <v>2599</v>
      </c>
      <c r="F2595" t="s"/>
      <c r="G2595" t="s"/>
      <c r="H2595" t="s"/>
      <c r="I2595" t="s"/>
      <c r="J2595" t="n">
        <v>-0.872</v>
      </c>
      <c r="K2595" t="n">
        <v>0.298</v>
      </c>
      <c r="L2595" t="n">
        <v>0.702</v>
      </c>
      <c r="M2595" t="n">
        <v>0</v>
      </c>
    </row>
    <row r="2596" spans="1:13">
      <c r="A2596" s="1">
        <f>HYPERLINK("http://www.twitter.com/NathanBLawrence/status/966390448376836101", "966390448376836101")</f>
        <v/>
      </c>
      <c r="B2596" s="2" t="n">
        <v>43152.80106481481</v>
      </c>
      <c r="C2596" t="n">
        <v>0</v>
      </c>
      <c r="D2596" t="n">
        <v>61</v>
      </c>
      <c r="E2596" t="s">
        <v>2600</v>
      </c>
      <c r="F2596">
        <f>HYPERLINK("http://pbs.twimg.com/media/DWlOlO3UQAAHW5X.jpg", "http://pbs.twimg.com/media/DWlOlO3UQAAHW5X.jpg")</f>
        <v/>
      </c>
      <c r="G2596" t="s"/>
      <c r="H2596" t="s"/>
      <c r="I2596" t="s"/>
      <c r="J2596" t="n">
        <v>0.9056999999999999</v>
      </c>
      <c r="K2596" t="n">
        <v>0</v>
      </c>
      <c r="L2596" t="n">
        <v>0.494</v>
      </c>
      <c r="M2596" t="n">
        <v>0.506</v>
      </c>
    </row>
    <row r="2597" spans="1:13">
      <c r="A2597" s="1">
        <f>HYPERLINK("http://www.twitter.com/NathanBLawrence/status/966389792274505728", "966389792274505728")</f>
        <v/>
      </c>
      <c r="B2597" s="2" t="n">
        <v>43152.79924768519</v>
      </c>
      <c r="C2597" t="n">
        <v>0</v>
      </c>
      <c r="D2597" t="n">
        <v>40</v>
      </c>
      <c r="E2597" t="s">
        <v>2601</v>
      </c>
      <c r="F2597" t="s"/>
      <c r="G2597" t="s"/>
      <c r="H2597" t="s"/>
      <c r="I2597" t="s"/>
      <c r="J2597" t="n">
        <v>-0.7574</v>
      </c>
      <c r="K2597" t="n">
        <v>0.314</v>
      </c>
      <c r="L2597" t="n">
        <v>0.6860000000000001</v>
      </c>
      <c r="M2597" t="n">
        <v>0</v>
      </c>
    </row>
    <row r="2598" spans="1:13">
      <c r="A2598" s="1">
        <f>HYPERLINK("http://www.twitter.com/NathanBLawrence/status/966389672715763713", "966389672715763713")</f>
        <v/>
      </c>
      <c r="B2598" s="2" t="n">
        <v>43152.79892361111</v>
      </c>
      <c r="C2598" t="n">
        <v>0</v>
      </c>
      <c r="D2598" t="n">
        <v>941</v>
      </c>
      <c r="E2598" t="s">
        <v>2602</v>
      </c>
      <c r="F2598">
        <f>HYPERLINK("http://pbs.twimg.com/media/DWjtiSSU8AAER6r.jpg", "http://pbs.twimg.com/media/DWjtiSSU8AAER6r.jpg")</f>
        <v/>
      </c>
      <c r="G2598">
        <f>HYPERLINK("http://pbs.twimg.com/media/DWjti1GV4AAoBHA.jpg", "http://pbs.twimg.com/media/DWjti1GV4AAoBHA.jpg")</f>
        <v/>
      </c>
      <c r="H2598" t="s"/>
      <c r="I2598" t="s"/>
      <c r="J2598" t="n">
        <v>-0.7845</v>
      </c>
      <c r="K2598" t="n">
        <v>0.277</v>
      </c>
      <c r="L2598" t="n">
        <v>0.723</v>
      </c>
      <c r="M2598" t="n">
        <v>0</v>
      </c>
    </row>
    <row r="2599" spans="1:13">
      <c r="A2599" s="1">
        <f>HYPERLINK("http://www.twitter.com/NathanBLawrence/status/966389495984615424", "966389495984615424")</f>
        <v/>
      </c>
      <c r="B2599" s="2" t="n">
        <v>43152.7984375</v>
      </c>
      <c r="C2599" t="n">
        <v>0</v>
      </c>
      <c r="D2599" t="n">
        <v>2</v>
      </c>
      <c r="E2599" t="s">
        <v>2603</v>
      </c>
      <c r="F2599">
        <f>HYPERLINK("http://pbs.twimg.com/media/DWlNkgAV4AEA6mO.jpg", "http://pbs.twimg.com/media/DWlNkgAV4AEA6mO.jpg")</f>
        <v/>
      </c>
      <c r="G2599" t="s"/>
      <c r="H2599" t="s"/>
      <c r="I2599" t="s"/>
      <c r="J2599" t="n">
        <v>0</v>
      </c>
      <c r="K2599" t="n">
        <v>0</v>
      </c>
      <c r="L2599" t="n">
        <v>1</v>
      </c>
      <c r="M2599" t="n">
        <v>0</v>
      </c>
    </row>
    <row r="2600" spans="1:13">
      <c r="A2600" s="1">
        <f>HYPERLINK("http://www.twitter.com/NathanBLawrence/status/966388587036999681", "966388587036999681")</f>
        <v/>
      </c>
      <c r="B2600" s="2" t="n">
        <v>43152.79592592592</v>
      </c>
      <c r="C2600" t="n">
        <v>24</v>
      </c>
      <c r="D2600" t="n">
        <v>15</v>
      </c>
      <c r="E2600" t="s">
        <v>2604</v>
      </c>
      <c r="F2600" t="s"/>
      <c r="G2600" t="s"/>
      <c r="H2600" t="s"/>
      <c r="I2600" t="s"/>
      <c r="J2600" t="n">
        <v>-0.872</v>
      </c>
      <c r="K2600" t="n">
        <v>0.288</v>
      </c>
      <c r="L2600" t="n">
        <v>0.712</v>
      </c>
      <c r="M2600" t="n">
        <v>0</v>
      </c>
    </row>
    <row r="2601" spans="1:13">
      <c r="A2601" s="1">
        <f>HYPERLINK("http://www.twitter.com/NathanBLawrence/status/966299942867238912", "966299942867238912")</f>
        <v/>
      </c>
      <c r="B2601" s="2" t="n">
        <v>43152.55131944444</v>
      </c>
      <c r="C2601" t="n">
        <v>0</v>
      </c>
      <c r="D2601" t="n">
        <v>1206</v>
      </c>
      <c r="E2601" t="s">
        <v>2605</v>
      </c>
      <c r="F2601">
        <f>HYPERLINK("https://video.twimg.com/ext_tw_video/966296730252783616/pu/vid/480x640/tDxZvzsdst2b-w72.mp4", "https://video.twimg.com/ext_tw_video/966296730252783616/pu/vid/480x640/tDxZvzsdst2b-w72.mp4")</f>
        <v/>
      </c>
      <c r="G2601" t="s"/>
      <c r="H2601" t="s"/>
      <c r="I2601" t="s"/>
      <c r="J2601" t="n">
        <v>-0.3744</v>
      </c>
      <c r="K2601" t="n">
        <v>0.1</v>
      </c>
      <c r="L2601" t="n">
        <v>0.9</v>
      </c>
      <c r="M2601" t="n">
        <v>0</v>
      </c>
    </row>
    <row r="2602" spans="1:13">
      <c r="A2602" s="1">
        <f>HYPERLINK("http://www.twitter.com/NathanBLawrence/status/966299262752505856", "966299262752505856")</f>
        <v/>
      </c>
      <c r="B2602" s="2" t="n">
        <v>43152.54943287037</v>
      </c>
      <c r="C2602" t="n">
        <v>98</v>
      </c>
      <c r="D2602" t="n">
        <v>40</v>
      </c>
      <c r="E2602" t="s">
        <v>2606</v>
      </c>
      <c r="F2602" t="s"/>
      <c r="G2602" t="s"/>
      <c r="H2602" t="s"/>
      <c r="I2602" t="s"/>
      <c r="J2602" t="n">
        <v>-0.7574</v>
      </c>
      <c r="K2602" t="n">
        <v>0.355</v>
      </c>
      <c r="L2602" t="n">
        <v>0.645</v>
      </c>
      <c r="M2602" t="n">
        <v>0</v>
      </c>
    </row>
    <row r="2603" spans="1:13">
      <c r="A2603" s="1">
        <f>HYPERLINK("http://www.twitter.com/NathanBLawrence/status/965972379137490946", "965972379137490946")</f>
        <v/>
      </c>
      <c r="B2603" s="2" t="n">
        <v>43151.64740740741</v>
      </c>
      <c r="C2603" t="n">
        <v>0</v>
      </c>
      <c r="D2603" t="n">
        <v>464</v>
      </c>
      <c r="E2603" t="s">
        <v>2607</v>
      </c>
      <c r="F2603">
        <f>HYPERLINK("http://pbs.twimg.com/media/DWXTPPwWsAEf-Ok.jpg", "http://pbs.twimg.com/media/DWXTPPwWsAEf-Ok.jpg")</f>
        <v/>
      </c>
      <c r="G2603" t="s"/>
      <c r="H2603" t="s"/>
      <c r="I2603" t="s"/>
      <c r="J2603" t="n">
        <v>-0.7824</v>
      </c>
      <c r="K2603" t="n">
        <v>0.329</v>
      </c>
      <c r="L2603" t="n">
        <v>0.671</v>
      </c>
      <c r="M2603" t="n">
        <v>0</v>
      </c>
    </row>
    <row r="2604" spans="1:13">
      <c r="A2604" s="1">
        <f>HYPERLINK("http://www.twitter.com/NathanBLawrence/status/965972179555729409", "965972179555729409")</f>
        <v/>
      </c>
      <c r="B2604" s="2" t="n">
        <v>43151.64686342593</v>
      </c>
      <c r="C2604" t="n">
        <v>0</v>
      </c>
      <c r="D2604" t="n">
        <v>4436</v>
      </c>
      <c r="E2604" t="s">
        <v>2608</v>
      </c>
      <c r="F2604">
        <f>HYPERLINK("http://pbs.twimg.com/media/DWbE6aFUQAAD8bb.jpg", "http://pbs.twimg.com/media/DWbE6aFUQAAD8bb.jpg")</f>
        <v/>
      </c>
      <c r="G2604" t="s"/>
      <c r="H2604" t="s"/>
      <c r="I2604" t="s"/>
      <c r="J2604" t="n">
        <v>-0.9001</v>
      </c>
      <c r="K2604" t="n">
        <v>0.344</v>
      </c>
      <c r="L2604" t="n">
        <v>0.656</v>
      </c>
      <c r="M2604" t="n">
        <v>0</v>
      </c>
    </row>
    <row r="2605" spans="1:13">
      <c r="A2605" s="1">
        <f>HYPERLINK("http://www.twitter.com/NathanBLawrence/status/965971860482478081", "965971860482478081")</f>
        <v/>
      </c>
      <c r="B2605" s="2" t="n">
        <v>43151.6459837963</v>
      </c>
      <c r="C2605" t="n">
        <v>0</v>
      </c>
      <c r="D2605" t="n">
        <v>87</v>
      </c>
      <c r="E2605" t="s">
        <v>2609</v>
      </c>
      <c r="F2605" t="s"/>
      <c r="G2605" t="s"/>
      <c r="H2605" t="s"/>
      <c r="I2605" t="s"/>
      <c r="J2605" t="n">
        <v>0</v>
      </c>
      <c r="K2605" t="n">
        <v>0</v>
      </c>
      <c r="L2605" t="n">
        <v>1</v>
      </c>
      <c r="M2605" t="n">
        <v>0</v>
      </c>
    </row>
    <row r="2606" spans="1:13">
      <c r="A2606" s="1">
        <f>HYPERLINK("http://www.twitter.com/NathanBLawrence/status/965897367240065026", "965897367240065026")</f>
        <v/>
      </c>
      <c r="B2606" s="2" t="n">
        <v>43151.44041666666</v>
      </c>
      <c r="C2606" t="n">
        <v>0</v>
      </c>
      <c r="D2606" t="n">
        <v>100</v>
      </c>
      <c r="E2606" t="s">
        <v>2610</v>
      </c>
      <c r="F2606" t="s"/>
      <c r="G2606" t="s"/>
      <c r="H2606" t="s"/>
      <c r="I2606" t="s"/>
      <c r="J2606" t="n">
        <v>-0.7567</v>
      </c>
      <c r="K2606" t="n">
        <v>0.245</v>
      </c>
      <c r="L2606" t="n">
        <v>0.755</v>
      </c>
      <c r="M2606" t="n">
        <v>0</v>
      </c>
    </row>
    <row r="2607" spans="1:13">
      <c r="A2607" s="1">
        <f>HYPERLINK("http://www.twitter.com/NathanBLawrence/status/965784727503257600", "965784727503257600")</f>
        <v/>
      </c>
      <c r="B2607" s="2" t="n">
        <v>43151.1295949074</v>
      </c>
      <c r="C2607" t="n">
        <v>44</v>
      </c>
      <c r="D2607" t="n">
        <v>17</v>
      </c>
      <c r="E2607" t="s">
        <v>2611</v>
      </c>
      <c r="F2607" t="s"/>
      <c r="G2607" t="s"/>
      <c r="H2607" t="s"/>
      <c r="I2607" t="s"/>
      <c r="J2607" t="n">
        <v>0.8017</v>
      </c>
      <c r="K2607" t="n">
        <v>0.08599999999999999</v>
      </c>
      <c r="L2607" t="n">
        <v>0.6899999999999999</v>
      </c>
      <c r="M2607" t="n">
        <v>0.224</v>
      </c>
    </row>
    <row r="2608" spans="1:13">
      <c r="A2608" s="1">
        <f>HYPERLINK("http://www.twitter.com/NathanBLawrence/status/965783938303016960", "965783938303016960")</f>
        <v/>
      </c>
      <c r="B2608" s="2" t="n">
        <v>43151.12740740741</v>
      </c>
      <c r="C2608" t="n">
        <v>33</v>
      </c>
      <c r="D2608" t="n">
        <v>11</v>
      </c>
      <c r="E2608" t="s">
        <v>2612</v>
      </c>
      <c r="F2608" t="s"/>
      <c r="G2608" t="s"/>
      <c r="H2608" t="s"/>
      <c r="I2608" t="s"/>
      <c r="J2608" t="n">
        <v>0.6322</v>
      </c>
      <c r="K2608" t="n">
        <v>0</v>
      </c>
      <c r="L2608" t="n">
        <v>0.857</v>
      </c>
      <c r="M2608" t="n">
        <v>0.143</v>
      </c>
    </row>
    <row r="2609" spans="1:13">
      <c r="A2609" s="1">
        <f>HYPERLINK("http://www.twitter.com/NathanBLawrence/status/965783013207564288", "965783013207564288")</f>
        <v/>
      </c>
      <c r="B2609" s="2" t="n">
        <v>43151.12486111111</v>
      </c>
      <c r="C2609" t="n">
        <v>14</v>
      </c>
      <c r="D2609" t="n">
        <v>2</v>
      </c>
      <c r="E2609" t="s">
        <v>2613</v>
      </c>
      <c r="F2609" t="s"/>
      <c r="G2609" t="s"/>
      <c r="H2609" t="s"/>
      <c r="I2609" t="s"/>
      <c r="J2609" t="n">
        <v>-0.636</v>
      </c>
      <c r="K2609" t="n">
        <v>0.411</v>
      </c>
      <c r="L2609" t="n">
        <v>0.589</v>
      </c>
      <c r="M2609" t="n">
        <v>0</v>
      </c>
    </row>
    <row r="2610" spans="1:13">
      <c r="A2610" s="1">
        <f>HYPERLINK("http://www.twitter.com/NathanBLawrence/status/965782830239309829", "965782830239309829")</f>
        <v/>
      </c>
      <c r="B2610" s="2" t="n">
        <v>43151.12435185185</v>
      </c>
      <c r="C2610" t="n">
        <v>0</v>
      </c>
      <c r="D2610" t="n">
        <v>226</v>
      </c>
      <c r="E2610" t="s">
        <v>2614</v>
      </c>
      <c r="F2610">
        <f>HYPERLINK("http://pbs.twimg.com/media/DWckkVSUQAA-PrZ.jpg", "http://pbs.twimg.com/media/DWckkVSUQAA-PrZ.jpg")</f>
        <v/>
      </c>
      <c r="G2610" t="s"/>
      <c r="H2610" t="s"/>
      <c r="I2610" t="s"/>
      <c r="J2610" t="n">
        <v>0</v>
      </c>
      <c r="K2610" t="n">
        <v>0</v>
      </c>
      <c r="L2610" t="n">
        <v>1</v>
      </c>
      <c r="M2610" t="n">
        <v>0</v>
      </c>
    </row>
    <row r="2611" spans="1:13">
      <c r="A2611" s="1">
        <f>HYPERLINK("http://www.twitter.com/NathanBLawrence/status/965782406614589441", "965782406614589441")</f>
        <v/>
      </c>
      <c r="B2611" s="2" t="n">
        <v>43151.12318287037</v>
      </c>
      <c r="C2611" t="n">
        <v>50</v>
      </c>
      <c r="D2611" t="n">
        <v>23</v>
      </c>
      <c r="E2611" t="s">
        <v>2615</v>
      </c>
      <c r="F2611" t="s"/>
      <c r="G2611" t="s"/>
      <c r="H2611" t="s"/>
      <c r="I2611" t="s"/>
      <c r="J2611" t="n">
        <v>-0.6696</v>
      </c>
      <c r="K2611" t="n">
        <v>0.297</v>
      </c>
      <c r="L2611" t="n">
        <v>0.703</v>
      </c>
      <c r="M2611" t="n">
        <v>0</v>
      </c>
    </row>
    <row r="2612" spans="1:13">
      <c r="A2612" s="1">
        <f>HYPERLINK("http://www.twitter.com/NathanBLawrence/status/965782076770283521", "965782076770283521")</f>
        <v/>
      </c>
      <c r="B2612" s="2" t="n">
        <v>43151.12228009259</v>
      </c>
      <c r="C2612" t="n">
        <v>0</v>
      </c>
      <c r="D2612" t="n">
        <v>1375</v>
      </c>
      <c r="E2612" t="s">
        <v>2616</v>
      </c>
      <c r="F2612">
        <f>HYPERLINK("http://pbs.twimg.com/media/DWcal4xV4AA2MFE.jpg", "http://pbs.twimg.com/media/DWcal4xV4AA2MFE.jpg")</f>
        <v/>
      </c>
      <c r="G2612" t="s"/>
      <c r="H2612" t="s"/>
      <c r="I2612" t="s"/>
      <c r="J2612" t="n">
        <v>-0.9618</v>
      </c>
      <c r="K2612" t="n">
        <v>0.468</v>
      </c>
      <c r="L2612" t="n">
        <v>0.532</v>
      </c>
      <c r="M2612" t="n">
        <v>0</v>
      </c>
    </row>
    <row r="2613" spans="1:13">
      <c r="A2613" s="1">
        <f>HYPERLINK("http://www.twitter.com/NathanBLawrence/status/965763789235744770", "965763789235744770")</f>
        <v/>
      </c>
      <c r="B2613" s="2" t="n">
        <v>43151.07181712963</v>
      </c>
      <c r="C2613" t="n">
        <v>0</v>
      </c>
      <c r="D2613" t="n">
        <v>32</v>
      </c>
      <c r="E2613" t="s">
        <v>2617</v>
      </c>
      <c r="F2613" t="s"/>
      <c r="G2613" t="s"/>
      <c r="H2613" t="s"/>
      <c r="I2613" t="s"/>
      <c r="J2613" t="n">
        <v>0</v>
      </c>
      <c r="K2613" t="n">
        <v>0</v>
      </c>
      <c r="L2613" t="n">
        <v>1</v>
      </c>
      <c r="M2613" t="n">
        <v>0</v>
      </c>
    </row>
    <row r="2614" spans="1:13">
      <c r="A2614" s="1">
        <f>HYPERLINK("http://www.twitter.com/NathanBLawrence/status/965763452579950592", "965763452579950592")</f>
        <v/>
      </c>
      <c r="B2614" s="2" t="n">
        <v>43151.07087962963</v>
      </c>
      <c r="C2614" t="n">
        <v>28</v>
      </c>
      <c r="D2614" t="n">
        <v>14</v>
      </c>
      <c r="E2614" t="s">
        <v>2618</v>
      </c>
      <c r="F2614" t="s"/>
      <c r="G2614" t="s"/>
      <c r="H2614" t="s"/>
      <c r="I2614" t="s"/>
      <c r="J2614" t="n">
        <v>0.6229</v>
      </c>
      <c r="K2614" t="n">
        <v>0.206</v>
      </c>
      <c r="L2614" t="n">
        <v>0.462</v>
      </c>
      <c r="M2614" t="n">
        <v>0.332</v>
      </c>
    </row>
    <row r="2615" spans="1:13">
      <c r="A2615" s="1">
        <f>HYPERLINK("http://www.twitter.com/NathanBLawrence/status/965762955374616576", "965762955374616576")</f>
        <v/>
      </c>
      <c r="B2615" s="2" t="n">
        <v>43151.06951388889</v>
      </c>
      <c r="C2615" t="n">
        <v>0</v>
      </c>
      <c r="D2615" t="n">
        <v>995</v>
      </c>
      <c r="E2615" t="s">
        <v>2619</v>
      </c>
      <c r="F2615">
        <f>HYPERLINK("https://video.twimg.com/amplify_video/965712556760420354/vid/1280x720/IoU47BF8xrTfDOea.mp4", "https://video.twimg.com/amplify_video/965712556760420354/vid/1280x720/IoU47BF8xrTfDOea.mp4")</f>
        <v/>
      </c>
      <c r="G2615" t="s"/>
      <c r="H2615" t="s"/>
      <c r="I2615" t="s"/>
      <c r="J2615" t="n">
        <v>0.4389</v>
      </c>
      <c r="K2615" t="n">
        <v>0</v>
      </c>
      <c r="L2615" t="n">
        <v>0.838</v>
      </c>
      <c r="M2615" t="n">
        <v>0.162</v>
      </c>
    </row>
    <row r="2616" spans="1:13">
      <c r="A2616" s="1">
        <f>HYPERLINK("http://www.twitter.com/NathanBLawrence/status/965762899217022976", "965762899217022976")</f>
        <v/>
      </c>
      <c r="B2616" s="2" t="n">
        <v>43151.06935185185</v>
      </c>
      <c r="C2616" t="n">
        <v>12</v>
      </c>
      <c r="D2616" t="n">
        <v>5</v>
      </c>
      <c r="E2616" t="s">
        <v>2620</v>
      </c>
      <c r="F2616" t="s"/>
      <c r="G2616" t="s"/>
      <c r="H2616" t="s"/>
      <c r="I2616" t="s"/>
      <c r="J2616" t="n">
        <v>0.8585</v>
      </c>
      <c r="K2616" t="n">
        <v>0</v>
      </c>
      <c r="L2616" t="n">
        <v>0.261</v>
      </c>
      <c r="M2616" t="n">
        <v>0.739</v>
      </c>
    </row>
    <row r="2617" spans="1:13">
      <c r="A2617" s="1">
        <f>HYPERLINK("http://www.twitter.com/NathanBLawrence/status/965762460660637696", "965762460660637696")</f>
        <v/>
      </c>
      <c r="B2617" s="2" t="n">
        <v>43151.06814814815</v>
      </c>
      <c r="C2617" t="n">
        <v>4</v>
      </c>
      <c r="D2617" t="n">
        <v>0</v>
      </c>
      <c r="E2617" t="s">
        <v>2621</v>
      </c>
      <c r="F2617" t="s"/>
      <c r="G2617" t="s"/>
      <c r="H2617" t="s"/>
      <c r="I2617" t="s"/>
      <c r="J2617" t="n">
        <v>0.3802</v>
      </c>
      <c r="K2617" t="n">
        <v>0</v>
      </c>
      <c r="L2617" t="n">
        <v>0.844</v>
      </c>
      <c r="M2617" t="n">
        <v>0.156</v>
      </c>
    </row>
    <row r="2618" spans="1:13">
      <c r="A2618" s="1">
        <f>HYPERLINK("http://www.twitter.com/NathanBLawrence/status/965761981465571329", "965761981465571329")</f>
        <v/>
      </c>
      <c r="B2618" s="2" t="n">
        <v>43151.0668287037</v>
      </c>
      <c r="C2618" t="n">
        <v>0</v>
      </c>
      <c r="D2618" t="n">
        <v>15</v>
      </c>
      <c r="E2618" t="s">
        <v>2622</v>
      </c>
      <c r="F2618">
        <f>HYPERLINK("http://pbs.twimg.com/media/DWOI0ulVAAAxZYO.jpg", "http://pbs.twimg.com/media/DWOI0ulVAAAxZYO.jpg")</f>
        <v/>
      </c>
      <c r="G2618" t="s"/>
      <c r="H2618" t="s"/>
      <c r="I2618" t="s"/>
      <c r="J2618" t="n">
        <v>0.7003</v>
      </c>
      <c r="K2618" t="n">
        <v>0</v>
      </c>
      <c r="L2618" t="n">
        <v>0.775</v>
      </c>
      <c r="M2618" t="n">
        <v>0.225</v>
      </c>
    </row>
    <row r="2619" spans="1:13">
      <c r="A2619" s="1">
        <f>HYPERLINK("http://www.twitter.com/NathanBLawrence/status/965761775298736128", "965761775298736128")</f>
        <v/>
      </c>
      <c r="B2619" s="2" t="n">
        <v>43151.06625</v>
      </c>
      <c r="C2619" t="n">
        <v>0</v>
      </c>
      <c r="D2619" t="n">
        <v>52</v>
      </c>
      <c r="E2619" t="s">
        <v>2623</v>
      </c>
      <c r="F2619">
        <f>HYPERLINK("http://pbs.twimg.com/media/DWLTkB4U0AA31u3.jpg", "http://pbs.twimg.com/media/DWLTkB4U0AA31u3.jpg")</f>
        <v/>
      </c>
      <c r="G2619" t="s"/>
      <c r="H2619" t="s"/>
      <c r="I2619" t="s"/>
      <c r="J2619" t="n">
        <v>0.6369</v>
      </c>
      <c r="K2619" t="n">
        <v>0</v>
      </c>
      <c r="L2619" t="n">
        <v>0.656</v>
      </c>
      <c r="M2619" t="n">
        <v>0.344</v>
      </c>
    </row>
    <row r="2620" spans="1:13">
      <c r="A2620" s="1">
        <f>HYPERLINK("http://www.twitter.com/NathanBLawrence/status/965761497694552064", "965761497694552064")</f>
        <v/>
      </c>
      <c r="B2620" s="2" t="n">
        <v>43151.06548611111</v>
      </c>
      <c r="C2620" t="n">
        <v>0</v>
      </c>
      <c r="D2620" t="n">
        <v>38</v>
      </c>
      <c r="E2620" t="s">
        <v>2624</v>
      </c>
      <c r="F2620">
        <f>HYPERLINK("http://pbs.twimg.com/media/DWL4LBiXkAEUR5o.jpg", "http://pbs.twimg.com/media/DWL4LBiXkAEUR5o.jpg")</f>
        <v/>
      </c>
      <c r="G2620" t="s"/>
      <c r="H2620" t="s"/>
      <c r="I2620" t="s"/>
      <c r="J2620" t="n">
        <v>0.8832</v>
      </c>
      <c r="K2620" t="n">
        <v>0</v>
      </c>
      <c r="L2620" t="n">
        <v>0.538</v>
      </c>
      <c r="M2620" t="n">
        <v>0.462</v>
      </c>
    </row>
    <row r="2621" spans="1:13">
      <c r="A2621" s="1">
        <f>HYPERLINK("http://www.twitter.com/NathanBLawrence/status/965761436151525377", "965761436151525377")</f>
        <v/>
      </c>
      <c r="B2621" s="2" t="n">
        <v>43151.06532407407</v>
      </c>
      <c r="C2621" t="n">
        <v>0</v>
      </c>
      <c r="D2621" t="n">
        <v>227</v>
      </c>
      <c r="E2621" t="s">
        <v>2625</v>
      </c>
      <c r="F2621" t="s"/>
      <c r="G2621" t="s"/>
      <c r="H2621" t="s"/>
      <c r="I2621" t="s"/>
      <c r="J2621" t="n">
        <v>-0.3182</v>
      </c>
      <c r="K2621" t="n">
        <v>0.099</v>
      </c>
      <c r="L2621" t="n">
        <v>0.901</v>
      </c>
      <c r="M2621" t="n">
        <v>0</v>
      </c>
    </row>
    <row r="2622" spans="1:13">
      <c r="A2622" s="1">
        <f>HYPERLINK("http://www.twitter.com/NathanBLawrence/status/965761358171070464", "965761358171070464")</f>
        <v/>
      </c>
      <c r="B2622" s="2" t="n">
        <v>43151.06510416666</v>
      </c>
      <c r="C2622" t="n">
        <v>0</v>
      </c>
      <c r="D2622" t="n">
        <v>1529</v>
      </c>
      <c r="E2622" t="s">
        <v>2626</v>
      </c>
      <c r="F2622">
        <f>HYPERLINK("https://video.twimg.com/amplify_video/964698938338168833/vid/1280x720/UtNdGyZp_JnF91E1.mp4", "https://video.twimg.com/amplify_video/964698938338168833/vid/1280x720/UtNdGyZp_JnF91E1.mp4")</f>
        <v/>
      </c>
      <c r="G2622" t="s"/>
      <c r="H2622" t="s"/>
      <c r="I2622" t="s"/>
      <c r="J2622" t="n">
        <v>0.4019</v>
      </c>
      <c r="K2622" t="n">
        <v>0</v>
      </c>
      <c r="L2622" t="n">
        <v>0.87</v>
      </c>
      <c r="M2622" t="n">
        <v>0.13</v>
      </c>
    </row>
    <row r="2623" spans="1:13">
      <c r="A2623" s="1">
        <f>HYPERLINK("http://www.twitter.com/NathanBLawrence/status/965761295436754944", "965761295436754944")</f>
        <v/>
      </c>
      <c r="B2623" s="2" t="n">
        <v>43151.06493055556</v>
      </c>
      <c r="C2623" t="n">
        <v>0</v>
      </c>
      <c r="D2623" t="n">
        <v>1773</v>
      </c>
      <c r="E2623" t="s">
        <v>2627</v>
      </c>
      <c r="F2623" t="s"/>
      <c r="G2623" t="s"/>
      <c r="H2623" t="s"/>
      <c r="I2623" t="s"/>
      <c r="J2623" t="n">
        <v>0</v>
      </c>
      <c r="K2623" t="n">
        <v>0</v>
      </c>
      <c r="L2623" t="n">
        <v>1</v>
      </c>
      <c r="M2623" t="n">
        <v>0</v>
      </c>
    </row>
    <row r="2624" spans="1:13">
      <c r="A2624" s="1">
        <f>HYPERLINK("http://www.twitter.com/NathanBLawrence/status/965760917777477632", "965760917777477632")</f>
        <v/>
      </c>
      <c r="B2624" s="2" t="n">
        <v>43151.06388888889</v>
      </c>
      <c r="C2624" t="n">
        <v>0</v>
      </c>
      <c r="D2624" t="n">
        <v>84</v>
      </c>
      <c r="E2624" t="s">
        <v>2628</v>
      </c>
      <c r="F2624" t="s"/>
      <c r="G2624" t="s"/>
      <c r="H2624" t="s"/>
      <c r="I2624" t="s"/>
      <c r="J2624" t="n">
        <v>0.2714</v>
      </c>
      <c r="K2624" t="n">
        <v>0</v>
      </c>
      <c r="L2624" t="n">
        <v>0.909</v>
      </c>
      <c r="M2624" t="n">
        <v>0.091</v>
      </c>
    </row>
    <row r="2625" spans="1:13">
      <c r="A2625" s="1">
        <f>HYPERLINK("http://www.twitter.com/NathanBLawrence/status/965758175608582144", "965758175608582144")</f>
        <v/>
      </c>
      <c r="B2625" s="2" t="n">
        <v>43151.05631944445</v>
      </c>
      <c r="C2625" t="n">
        <v>0</v>
      </c>
      <c r="D2625" t="n">
        <v>1715</v>
      </c>
      <c r="E2625" t="s">
        <v>2629</v>
      </c>
      <c r="F2625">
        <f>HYPERLINK("http://pbs.twimg.com/media/DWMdbN2WsAIrKsp.jpg", "http://pbs.twimg.com/media/DWMdbN2WsAIrKsp.jpg")</f>
        <v/>
      </c>
      <c r="G2625" t="s"/>
      <c r="H2625" t="s"/>
      <c r="I2625" t="s"/>
      <c r="J2625" t="n">
        <v>0.4199</v>
      </c>
      <c r="K2625" t="n">
        <v>0</v>
      </c>
      <c r="L2625" t="n">
        <v>0.878</v>
      </c>
      <c r="M2625" t="n">
        <v>0.122</v>
      </c>
    </row>
    <row r="2626" spans="1:13">
      <c r="A2626" s="1">
        <f>HYPERLINK("http://www.twitter.com/NathanBLawrence/status/965758117018443776", "965758117018443776")</f>
        <v/>
      </c>
      <c r="B2626" s="2" t="n">
        <v>43151.05615740741</v>
      </c>
      <c r="C2626" t="n">
        <v>23</v>
      </c>
      <c r="D2626" t="n">
        <v>16</v>
      </c>
      <c r="E2626" t="s">
        <v>2630</v>
      </c>
      <c r="F2626" t="s"/>
      <c r="G2626" t="s"/>
      <c r="H2626" t="s"/>
      <c r="I2626" t="s"/>
      <c r="J2626" t="n">
        <v>0.3802</v>
      </c>
      <c r="K2626" t="n">
        <v>0</v>
      </c>
      <c r="L2626" t="n">
        <v>0.903</v>
      </c>
      <c r="M2626" t="n">
        <v>0.097</v>
      </c>
    </row>
    <row r="2627" spans="1:13">
      <c r="A2627" s="1">
        <f>HYPERLINK("http://www.twitter.com/NathanBLawrence/status/965756992160608256", "965756992160608256")</f>
        <v/>
      </c>
      <c r="B2627" s="2" t="n">
        <v>43151.05305555555</v>
      </c>
      <c r="C2627" t="n">
        <v>19</v>
      </c>
      <c r="D2627" t="n">
        <v>10</v>
      </c>
      <c r="E2627" t="s">
        <v>2631</v>
      </c>
      <c r="F2627" t="s"/>
      <c r="G2627" t="s"/>
      <c r="H2627" t="s"/>
      <c r="I2627" t="s"/>
      <c r="J2627" t="n">
        <v>-0.2746</v>
      </c>
      <c r="K2627" t="n">
        <v>0.131</v>
      </c>
      <c r="L2627" t="n">
        <v>0.869</v>
      </c>
      <c r="M2627" t="n">
        <v>0</v>
      </c>
    </row>
    <row r="2628" spans="1:13">
      <c r="A2628" s="1">
        <f>HYPERLINK("http://www.twitter.com/NathanBLawrence/status/965756595710828545", "965756595710828545")</f>
        <v/>
      </c>
      <c r="B2628" s="2" t="n">
        <v>43151.05195601852</v>
      </c>
      <c r="C2628" t="n">
        <v>0</v>
      </c>
      <c r="D2628" t="n">
        <v>6213</v>
      </c>
      <c r="E2628" t="s">
        <v>2632</v>
      </c>
      <c r="F2628" t="s"/>
      <c r="G2628" t="s"/>
      <c r="H2628" t="s"/>
      <c r="I2628" t="s"/>
      <c r="J2628" t="n">
        <v>0</v>
      </c>
      <c r="K2628" t="n">
        <v>0</v>
      </c>
      <c r="L2628" t="n">
        <v>1</v>
      </c>
      <c r="M2628" t="n">
        <v>0</v>
      </c>
    </row>
    <row r="2629" spans="1:13">
      <c r="A2629" s="1">
        <f>HYPERLINK("http://www.twitter.com/NathanBLawrence/status/965756474491207682", "965756474491207682")</f>
        <v/>
      </c>
      <c r="B2629" s="2" t="n">
        <v>43151.05163194444</v>
      </c>
      <c r="C2629" t="n">
        <v>0</v>
      </c>
      <c r="D2629" t="n">
        <v>4421</v>
      </c>
      <c r="E2629" t="s">
        <v>2633</v>
      </c>
      <c r="F2629" t="s"/>
      <c r="G2629" t="s"/>
      <c r="H2629" t="s"/>
      <c r="I2629" t="s"/>
      <c r="J2629" t="n">
        <v>-0.7906</v>
      </c>
      <c r="K2629" t="n">
        <v>0.336</v>
      </c>
      <c r="L2629" t="n">
        <v>0.584</v>
      </c>
      <c r="M2629" t="n">
        <v>0.08</v>
      </c>
    </row>
    <row r="2630" spans="1:13">
      <c r="A2630" s="1">
        <f>HYPERLINK("http://www.twitter.com/NathanBLawrence/status/965756354127314944", "965756354127314944")</f>
        <v/>
      </c>
      <c r="B2630" s="2" t="n">
        <v>43151.0512962963</v>
      </c>
      <c r="C2630" t="n">
        <v>0</v>
      </c>
      <c r="D2630" t="n">
        <v>375</v>
      </c>
      <c r="E2630" t="s">
        <v>2634</v>
      </c>
      <c r="F2630" t="s"/>
      <c r="G2630" t="s"/>
      <c r="H2630" t="s"/>
      <c r="I2630" t="s"/>
      <c r="J2630" t="n">
        <v>0.9245</v>
      </c>
      <c r="K2630" t="n">
        <v>0</v>
      </c>
      <c r="L2630" t="n">
        <v>0.592</v>
      </c>
      <c r="M2630" t="n">
        <v>0.408</v>
      </c>
    </row>
    <row r="2631" spans="1:13">
      <c r="A2631" s="1">
        <f>HYPERLINK("http://www.twitter.com/NathanBLawrence/status/965741954402168832", "965741954402168832")</f>
        <v/>
      </c>
      <c r="B2631" s="2" t="n">
        <v>43151.0115625</v>
      </c>
      <c r="C2631" t="n">
        <v>0</v>
      </c>
      <c r="D2631" t="n">
        <v>82</v>
      </c>
      <c r="E2631" t="s">
        <v>2635</v>
      </c>
      <c r="F2631">
        <f>HYPERLINK("http://pbs.twimg.com/media/DWaIatSX4AAq8aR.jpg", "http://pbs.twimg.com/media/DWaIatSX4AAq8aR.jpg")</f>
        <v/>
      </c>
      <c r="G2631" t="s"/>
      <c r="H2631" t="s"/>
      <c r="I2631" t="s"/>
      <c r="J2631" t="n">
        <v>0.7184</v>
      </c>
      <c r="K2631" t="n">
        <v>0.127</v>
      </c>
      <c r="L2631" t="n">
        <v>0.552</v>
      </c>
      <c r="M2631" t="n">
        <v>0.321</v>
      </c>
    </row>
    <row r="2632" spans="1:13">
      <c r="A2632" s="1">
        <f>HYPERLINK("http://www.twitter.com/NathanBLawrence/status/965741879789633536", "965741879789633536")</f>
        <v/>
      </c>
      <c r="B2632" s="2" t="n">
        <v>43151.01135416667</v>
      </c>
      <c r="C2632" t="n">
        <v>14</v>
      </c>
      <c r="D2632" t="n">
        <v>2</v>
      </c>
      <c r="E2632" t="s">
        <v>2636</v>
      </c>
      <c r="F2632" t="s"/>
      <c r="G2632" t="s"/>
      <c r="H2632" t="s"/>
      <c r="I2632" t="s"/>
      <c r="J2632" t="n">
        <v>0</v>
      </c>
      <c r="K2632" t="n">
        <v>0</v>
      </c>
      <c r="L2632" t="n">
        <v>1</v>
      </c>
      <c r="M2632" t="n">
        <v>0</v>
      </c>
    </row>
    <row r="2633" spans="1:13">
      <c r="A2633" s="1">
        <f>HYPERLINK("http://www.twitter.com/NathanBLawrence/status/965741334542745600", "965741334542745600")</f>
        <v/>
      </c>
      <c r="B2633" s="2" t="n">
        <v>43151.00984953704</v>
      </c>
      <c r="C2633" t="n">
        <v>0</v>
      </c>
      <c r="D2633" t="n">
        <v>94</v>
      </c>
      <c r="E2633" t="s">
        <v>2637</v>
      </c>
      <c r="F2633">
        <f>HYPERLINK("http://pbs.twimg.com/media/DWaijCMUQAAwhA8.jpg", "http://pbs.twimg.com/media/DWaijCMUQAAwhA8.jpg")</f>
        <v/>
      </c>
      <c r="G2633" t="s"/>
      <c r="H2633" t="s"/>
      <c r="I2633" t="s"/>
      <c r="J2633" t="n">
        <v>-0.34</v>
      </c>
      <c r="K2633" t="n">
        <v>0.118</v>
      </c>
      <c r="L2633" t="n">
        <v>0.882</v>
      </c>
      <c r="M2633" t="n">
        <v>0</v>
      </c>
    </row>
    <row r="2634" spans="1:13">
      <c r="A2634" s="1">
        <f>HYPERLINK("http://www.twitter.com/NathanBLawrence/status/965741225494986752", "965741225494986752")</f>
        <v/>
      </c>
      <c r="B2634" s="2" t="n">
        <v>43151.00954861111</v>
      </c>
      <c r="C2634" t="n">
        <v>0</v>
      </c>
      <c r="D2634" t="n">
        <v>358</v>
      </c>
      <c r="E2634" t="s">
        <v>2638</v>
      </c>
      <c r="F2634">
        <f>HYPERLINK("http://pbs.twimg.com/media/DWbaYz7VoAEZLhg.jpg", "http://pbs.twimg.com/media/DWbaYz7VoAEZLhg.jpg")</f>
        <v/>
      </c>
      <c r="G2634" t="s"/>
      <c r="H2634" t="s"/>
      <c r="I2634" t="s"/>
      <c r="J2634" t="n">
        <v>0</v>
      </c>
      <c r="K2634" t="n">
        <v>0</v>
      </c>
      <c r="L2634" t="n">
        <v>1</v>
      </c>
      <c r="M2634" t="n">
        <v>0</v>
      </c>
    </row>
    <row r="2635" spans="1:13">
      <c r="A2635" s="1">
        <f>HYPERLINK("http://www.twitter.com/NathanBLawrence/status/965741119865671680", "965741119865671680")</f>
        <v/>
      </c>
      <c r="B2635" s="2" t="n">
        <v>43151.00925925926</v>
      </c>
      <c r="C2635" t="n">
        <v>0</v>
      </c>
      <c r="D2635" t="n">
        <v>251</v>
      </c>
      <c r="E2635" t="s">
        <v>2639</v>
      </c>
      <c r="F2635" t="s"/>
      <c r="G2635" t="s"/>
      <c r="H2635" t="s"/>
      <c r="I2635" t="s"/>
      <c r="J2635" t="n">
        <v>0</v>
      </c>
      <c r="K2635" t="n">
        <v>0</v>
      </c>
      <c r="L2635" t="n">
        <v>1</v>
      </c>
      <c r="M2635" t="n">
        <v>0</v>
      </c>
    </row>
    <row r="2636" spans="1:13">
      <c r="A2636" s="1">
        <f>HYPERLINK("http://www.twitter.com/NathanBLawrence/status/965741026840166401", "965741026840166401")</f>
        <v/>
      </c>
      <c r="B2636" s="2" t="n">
        <v>43151.00900462963</v>
      </c>
      <c r="C2636" t="n">
        <v>19</v>
      </c>
      <c r="D2636" t="n">
        <v>8</v>
      </c>
      <c r="E2636" t="s">
        <v>2640</v>
      </c>
      <c r="F2636" t="s"/>
      <c r="G2636" t="s"/>
      <c r="H2636" t="s"/>
      <c r="I2636" t="s"/>
      <c r="J2636" t="n">
        <v>-0.5423</v>
      </c>
      <c r="K2636" t="n">
        <v>0.412</v>
      </c>
      <c r="L2636" t="n">
        <v>0.588</v>
      </c>
      <c r="M2636" t="n">
        <v>0</v>
      </c>
    </row>
    <row r="2637" spans="1:13">
      <c r="A2637" s="1">
        <f>HYPERLINK("http://www.twitter.com/NathanBLawrence/status/965740694785605632", "965740694785605632")</f>
        <v/>
      </c>
      <c r="B2637" s="2" t="n">
        <v>43151.0080787037</v>
      </c>
      <c r="C2637" t="n">
        <v>0</v>
      </c>
      <c r="D2637" t="n">
        <v>511</v>
      </c>
      <c r="E2637" t="s">
        <v>2641</v>
      </c>
      <c r="F2637">
        <f>HYPERLINK("http://pbs.twimg.com/media/DWbxO8CUQAADmcJ.jpg", "http://pbs.twimg.com/media/DWbxO8CUQAADmcJ.jpg")</f>
        <v/>
      </c>
      <c r="G2637" t="s"/>
      <c r="H2637" t="s"/>
      <c r="I2637" t="s"/>
      <c r="J2637" t="n">
        <v>0.4926</v>
      </c>
      <c r="K2637" t="n">
        <v>0</v>
      </c>
      <c r="L2637" t="n">
        <v>0.873</v>
      </c>
      <c r="M2637" t="n">
        <v>0.127</v>
      </c>
    </row>
    <row r="2638" spans="1:13">
      <c r="A2638" s="1">
        <f>HYPERLINK("http://www.twitter.com/NathanBLawrence/status/965740567647862784", "965740567647862784")</f>
        <v/>
      </c>
      <c r="B2638" s="2" t="n">
        <v>43151.00773148148</v>
      </c>
      <c r="C2638" t="n">
        <v>0</v>
      </c>
      <c r="D2638" t="n">
        <v>8834</v>
      </c>
      <c r="E2638" t="s">
        <v>2642</v>
      </c>
      <c r="F2638" t="s"/>
      <c r="G2638" t="s"/>
      <c r="H2638" t="s"/>
      <c r="I2638" t="s"/>
      <c r="J2638" t="n">
        <v>-0.6808</v>
      </c>
      <c r="K2638" t="n">
        <v>0.284</v>
      </c>
      <c r="L2638" t="n">
        <v>0.613</v>
      </c>
      <c r="M2638" t="n">
        <v>0.103</v>
      </c>
    </row>
    <row r="2639" spans="1:13">
      <c r="A2639" s="1">
        <f>HYPERLINK("http://www.twitter.com/NathanBLawrence/status/965728549083561984", "965728549083561984")</f>
        <v/>
      </c>
      <c r="B2639" s="2" t="n">
        <v>43150.97457175926</v>
      </c>
      <c r="C2639" t="n">
        <v>11</v>
      </c>
      <c r="D2639" t="n">
        <v>7</v>
      </c>
      <c r="E2639" t="s">
        <v>2643</v>
      </c>
      <c r="F2639" t="s"/>
      <c r="G2639" t="s"/>
      <c r="H2639" t="s"/>
      <c r="I2639" t="s"/>
      <c r="J2639" t="n">
        <v>-0.4926</v>
      </c>
      <c r="K2639" t="n">
        <v>0.285</v>
      </c>
      <c r="L2639" t="n">
        <v>0.715</v>
      </c>
      <c r="M2639" t="n">
        <v>0</v>
      </c>
    </row>
    <row r="2640" spans="1:13">
      <c r="A2640" s="1">
        <f>HYPERLINK("http://www.twitter.com/NathanBLawrence/status/965695871118487552", "965695871118487552")</f>
        <v/>
      </c>
      <c r="B2640" s="2" t="n">
        <v>43150.88439814815</v>
      </c>
      <c r="C2640" t="n">
        <v>0</v>
      </c>
      <c r="D2640" t="n">
        <v>13</v>
      </c>
      <c r="E2640" t="s">
        <v>2644</v>
      </c>
      <c r="F2640">
        <f>HYPERLINK("http://pbs.twimg.com/media/DWbVzB4U0AAhkrN.jpg", "http://pbs.twimg.com/media/DWbVzB4U0AAhkrN.jpg")</f>
        <v/>
      </c>
      <c r="G2640" t="s"/>
      <c r="H2640" t="s"/>
      <c r="I2640" t="s"/>
      <c r="J2640" t="n">
        <v>0.8655</v>
      </c>
      <c r="K2640" t="n">
        <v>0</v>
      </c>
      <c r="L2640" t="n">
        <v>0.591</v>
      </c>
      <c r="M2640" t="n">
        <v>0.409</v>
      </c>
    </row>
    <row r="2641" spans="1:13">
      <c r="A2641" s="1">
        <f>HYPERLINK("http://www.twitter.com/NathanBLawrence/status/965695813237133312", "965695813237133312")</f>
        <v/>
      </c>
      <c r="B2641" s="2" t="n">
        <v>43150.88423611111</v>
      </c>
      <c r="C2641" t="n">
        <v>32</v>
      </c>
      <c r="D2641" t="n">
        <v>15</v>
      </c>
      <c r="E2641" t="s">
        <v>2645</v>
      </c>
      <c r="F2641" t="s"/>
      <c r="G2641" t="s"/>
      <c r="H2641" t="s"/>
      <c r="I2641" t="s"/>
      <c r="J2641" t="n">
        <v>-0.8698</v>
      </c>
      <c r="K2641" t="n">
        <v>0.38</v>
      </c>
      <c r="L2641" t="n">
        <v>0.62</v>
      </c>
      <c r="M2641" t="n">
        <v>0</v>
      </c>
    </row>
    <row r="2642" spans="1:13">
      <c r="A2642" s="1">
        <f>HYPERLINK("http://www.twitter.com/NathanBLawrence/status/965695414925115392", "965695414925115392")</f>
        <v/>
      </c>
      <c r="B2642" s="2" t="n">
        <v>43150.88313657408</v>
      </c>
      <c r="C2642" t="n">
        <v>0</v>
      </c>
      <c r="D2642" t="n">
        <v>2</v>
      </c>
      <c r="E2642" t="s">
        <v>2646</v>
      </c>
      <c r="F2642">
        <f>HYPERLINK("http://pbs.twimg.com/media/DWbVtg-X0AEFcU5.jpg", "http://pbs.twimg.com/media/DWbVtg-X0AEFcU5.jpg")</f>
        <v/>
      </c>
      <c r="G2642" t="s"/>
      <c r="H2642" t="s"/>
      <c r="I2642" t="s"/>
      <c r="J2642" t="n">
        <v>0.8784</v>
      </c>
      <c r="K2642" t="n">
        <v>0</v>
      </c>
      <c r="L2642" t="n">
        <v>0.588</v>
      </c>
      <c r="M2642" t="n">
        <v>0.412</v>
      </c>
    </row>
    <row r="2643" spans="1:13">
      <c r="A2643" s="1">
        <f>HYPERLINK("http://www.twitter.com/NathanBLawrence/status/965695373837713409", "965695373837713409")</f>
        <v/>
      </c>
      <c r="B2643" s="2" t="n">
        <v>43150.88302083333</v>
      </c>
      <c r="C2643" t="n">
        <v>0</v>
      </c>
      <c r="D2643" t="n">
        <v>502</v>
      </c>
      <c r="E2643" t="s">
        <v>2647</v>
      </c>
      <c r="F2643">
        <f>HYPERLINK("http://pbs.twimg.com/media/DWbVr8sVwAAiasS.jpg", "http://pbs.twimg.com/media/DWbVr8sVwAAiasS.jpg")</f>
        <v/>
      </c>
      <c r="G2643" t="s"/>
      <c r="H2643" t="s"/>
      <c r="I2643" t="s"/>
      <c r="J2643" t="n">
        <v>0</v>
      </c>
      <c r="K2643" t="n">
        <v>0</v>
      </c>
      <c r="L2643" t="n">
        <v>1</v>
      </c>
      <c r="M2643" t="n">
        <v>0</v>
      </c>
    </row>
    <row r="2644" spans="1:13">
      <c r="A2644" s="1">
        <f>HYPERLINK("http://www.twitter.com/NathanBLawrence/status/965529685584101378", "965529685584101378")</f>
        <v/>
      </c>
      <c r="B2644" s="2" t="n">
        <v>43150.42581018519</v>
      </c>
      <c r="C2644" t="n">
        <v>0</v>
      </c>
      <c r="D2644" t="n">
        <v>804</v>
      </c>
      <c r="E2644" t="s">
        <v>2648</v>
      </c>
      <c r="F2644" t="s"/>
      <c r="G2644" t="s"/>
      <c r="H2644" t="s"/>
      <c r="I2644" t="s"/>
      <c r="J2644" t="n">
        <v>-0.4003</v>
      </c>
      <c r="K2644" t="n">
        <v>0.163</v>
      </c>
      <c r="L2644" t="n">
        <v>0.837</v>
      </c>
      <c r="M2644" t="n">
        <v>0</v>
      </c>
    </row>
    <row r="2645" spans="1:13">
      <c r="A2645" s="1">
        <f>HYPERLINK("http://www.twitter.com/NathanBLawrence/status/965529567833178113", "965529567833178113")</f>
        <v/>
      </c>
      <c r="B2645" s="2" t="n">
        <v>43150.42548611111</v>
      </c>
      <c r="C2645" t="n">
        <v>0</v>
      </c>
      <c r="D2645" t="n">
        <v>46</v>
      </c>
      <c r="E2645" t="s">
        <v>2649</v>
      </c>
      <c r="F2645">
        <f>HYPERLINK("http://pbs.twimg.com/media/DWYw0MdVMAEM_TD.jpg", "http://pbs.twimg.com/media/DWYw0MdVMAEM_TD.jpg")</f>
        <v/>
      </c>
      <c r="G2645" t="s"/>
      <c r="H2645" t="s"/>
      <c r="I2645" t="s"/>
      <c r="J2645" t="n">
        <v>0</v>
      </c>
      <c r="K2645" t="n">
        <v>0</v>
      </c>
      <c r="L2645" t="n">
        <v>1</v>
      </c>
      <c r="M2645" t="n">
        <v>0</v>
      </c>
    </row>
    <row r="2646" spans="1:13">
      <c r="A2646" s="1">
        <f>HYPERLINK("http://www.twitter.com/NathanBLawrence/status/965529512845783040", "965529512845783040")</f>
        <v/>
      </c>
      <c r="B2646" s="2" t="n">
        <v>43150.42533564815</v>
      </c>
      <c r="C2646" t="n">
        <v>0</v>
      </c>
      <c r="D2646" t="n">
        <v>79</v>
      </c>
      <c r="E2646" t="s">
        <v>2650</v>
      </c>
      <c r="F2646">
        <f>HYPERLINK("http://pbs.twimg.com/media/DWYy0QvXcAAGDbb.jpg", "http://pbs.twimg.com/media/DWYy0QvXcAAGDbb.jpg")</f>
        <v/>
      </c>
      <c r="G2646" t="s"/>
      <c r="H2646" t="s"/>
      <c r="I2646" t="s"/>
      <c r="J2646" t="n">
        <v>0.743</v>
      </c>
      <c r="K2646" t="n">
        <v>0</v>
      </c>
      <c r="L2646" t="n">
        <v>0.722</v>
      </c>
      <c r="M2646" t="n">
        <v>0.278</v>
      </c>
    </row>
    <row r="2647" spans="1:13">
      <c r="A2647" s="1">
        <f>HYPERLINK("http://www.twitter.com/NathanBLawrence/status/965529460454731776", "965529460454731776")</f>
        <v/>
      </c>
      <c r="B2647" s="2" t="n">
        <v>43150.42518518519</v>
      </c>
      <c r="C2647" t="n">
        <v>25</v>
      </c>
      <c r="D2647" t="n">
        <v>6</v>
      </c>
      <c r="E2647" t="s">
        <v>2651</v>
      </c>
      <c r="F2647" t="s"/>
      <c r="G2647" t="s"/>
      <c r="H2647" t="s"/>
      <c r="I2647" t="s"/>
      <c r="J2647" t="n">
        <v>0.6697</v>
      </c>
      <c r="K2647" t="n">
        <v>0</v>
      </c>
      <c r="L2647" t="n">
        <v>0.471</v>
      </c>
      <c r="M2647" t="n">
        <v>0.529</v>
      </c>
    </row>
    <row r="2648" spans="1:13">
      <c r="A2648" s="1">
        <f>HYPERLINK("http://www.twitter.com/NathanBLawrence/status/965529129503215621", "965529129503215621")</f>
        <v/>
      </c>
      <c r="B2648" s="2" t="n">
        <v>43150.42427083333</v>
      </c>
      <c r="C2648" t="n">
        <v>0</v>
      </c>
      <c r="D2648" t="n">
        <v>110</v>
      </c>
      <c r="E2648" t="s">
        <v>2652</v>
      </c>
      <c r="F2648">
        <f>HYPERLINK("http://pbs.twimg.com/media/DWY8DewX0AAfJPx.jpg", "http://pbs.twimg.com/media/DWY8DewX0AAfJPx.jpg")</f>
        <v/>
      </c>
      <c r="G2648" t="s"/>
      <c r="H2648" t="s"/>
      <c r="I2648" t="s"/>
      <c r="J2648" t="n">
        <v>0.8388</v>
      </c>
      <c r="K2648" t="n">
        <v>0</v>
      </c>
      <c r="L2648" t="n">
        <v>0.641</v>
      </c>
      <c r="M2648" t="n">
        <v>0.359</v>
      </c>
    </row>
    <row r="2649" spans="1:13">
      <c r="A2649" s="1">
        <f>HYPERLINK("http://www.twitter.com/NathanBLawrence/status/965529068824272896", "965529068824272896")</f>
        <v/>
      </c>
      <c r="B2649" s="2" t="n">
        <v>43150.42410879629</v>
      </c>
      <c r="C2649" t="n">
        <v>0</v>
      </c>
      <c r="D2649" t="n">
        <v>316</v>
      </c>
      <c r="E2649" t="s">
        <v>2653</v>
      </c>
      <c r="F2649">
        <f>HYPERLINK("http://pbs.twimg.com/media/DWY60gHVQAAKHxi.jpg", "http://pbs.twimg.com/media/DWY60gHVQAAKHxi.jpg")</f>
        <v/>
      </c>
      <c r="G2649" t="s"/>
      <c r="H2649" t="s"/>
      <c r="I2649" t="s"/>
      <c r="J2649" t="n">
        <v>0.8316</v>
      </c>
      <c r="K2649" t="n">
        <v>0</v>
      </c>
      <c r="L2649" t="n">
        <v>0.585</v>
      </c>
      <c r="M2649" t="n">
        <v>0.415</v>
      </c>
    </row>
    <row r="2650" spans="1:13">
      <c r="A2650" s="1">
        <f>HYPERLINK("http://www.twitter.com/NathanBLawrence/status/965520533902147585", "965520533902147585")</f>
        <v/>
      </c>
      <c r="B2650" s="2" t="n">
        <v>43150.40055555556</v>
      </c>
      <c r="C2650" t="n">
        <v>25</v>
      </c>
      <c r="D2650" t="n">
        <v>13</v>
      </c>
      <c r="E2650" t="s">
        <v>2654</v>
      </c>
      <c r="F2650">
        <f>HYPERLINK("http://pbs.twimg.com/media/DWY3rE_VAAEAHj2.jpg", "http://pbs.twimg.com/media/DWY3rE_VAAEAHj2.jpg")</f>
        <v/>
      </c>
      <c r="G2650" t="s"/>
      <c r="H2650" t="s"/>
      <c r="I2650" t="s"/>
      <c r="J2650" t="n">
        <v>0.3182</v>
      </c>
      <c r="K2650" t="n">
        <v>0</v>
      </c>
      <c r="L2650" t="n">
        <v>0.753</v>
      </c>
      <c r="M2650" t="n">
        <v>0.247</v>
      </c>
    </row>
    <row r="2651" spans="1:13">
      <c r="A2651" s="1">
        <f>HYPERLINK("http://www.twitter.com/NathanBLawrence/status/965520179181465600", "965520179181465600")</f>
        <v/>
      </c>
      <c r="B2651" s="2" t="n">
        <v>43150.39957175926</v>
      </c>
      <c r="C2651" t="n">
        <v>58</v>
      </c>
      <c r="D2651" t="n">
        <v>29</v>
      </c>
      <c r="E2651" t="s">
        <v>2655</v>
      </c>
      <c r="F2651">
        <f>HYPERLINK("http://pbs.twimg.com/media/DWY3Yo3UMAADzLq.jpg", "http://pbs.twimg.com/media/DWY3Yo3UMAADzLq.jpg")</f>
        <v/>
      </c>
      <c r="G2651" t="s"/>
      <c r="H2651" t="s"/>
      <c r="I2651" t="s"/>
      <c r="J2651" t="n">
        <v>0</v>
      </c>
      <c r="K2651" t="n">
        <v>0</v>
      </c>
      <c r="L2651" t="n">
        <v>1</v>
      </c>
      <c r="M2651" t="n">
        <v>0</v>
      </c>
    </row>
    <row r="2652" spans="1:13">
      <c r="A2652" s="1">
        <f>HYPERLINK("http://www.twitter.com/NathanBLawrence/status/965498477315702784", "965498477315702784")</f>
        <v/>
      </c>
      <c r="B2652" s="2" t="n">
        <v>43150.3396875</v>
      </c>
      <c r="C2652" t="n">
        <v>0</v>
      </c>
      <c r="D2652" t="n">
        <v>97</v>
      </c>
      <c r="E2652" t="s">
        <v>2656</v>
      </c>
      <c r="F2652">
        <f>HYPERLINK("http://pbs.twimg.com/media/DWWkjXnX4AA1qGJ.jpg", "http://pbs.twimg.com/media/DWWkjXnX4AA1qGJ.jpg")</f>
        <v/>
      </c>
      <c r="G2652" t="s"/>
      <c r="H2652" t="s"/>
      <c r="I2652" t="s"/>
      <c r="J2652" t="n">
        <v>0.6166</v>
      </c>
      <c r="K2652" t="n">
        <v>0</v>
      </c>
      <c r="L2652" t="n">
        <v>0.554</v>
      </c>
      <c r="M2652" t="n">
        <v>0.446</v>
      </c>
    </row>
    <row r="2653" spans="1:13">
      <c r="A2653" s="1">
        <f>HYPERLINK("http://www.twitter.com/NathanBLawrence/status/965498415202238464", "965498415202238464")</f>
        <v/>
      </c>
      <c r="B2653" s="2" t="n">
        <v>43150.33951388889</v>
      </c>
      <c r="C2653" t="n">
        <v>0</v>
      </c>
      <c r="D2653" t="n">
        <v>5</v>
      </c>
      <c r="E2653" t="s">
        <v>2657</v>
      </c>
      <c r="F2653">
        <f>HYPERLINK("http://pbs.twimg.com/media/DWYjGv4U0AAwsif.jpg", "http://pbs.twimg.com/media/DWYjGv4U0AAwsif.jpg")</f>
        <v/>
      </c>
      <c r="G2653" t="s"/>
      <c r="H2653" t="s"/>
      <c r="I2653" t="s"/>
      <c r="J2653" t="n">
        <v>0.9118000000000001</v>
      </c>
      <c r="K2653" t="n">
        <v>0</v>
      </c>
      <c r="L2653" t="n">
        <v>0.625</v>
      </c>
      <c r="M2653" t="n">
        <v>0.375</v>
      </c>
    </row>
    <row r="2654" spans="1:13">
      <c r="A2654" s="1">
        <f>HYPERLINK("http://www.twitter.com/NathanBLawrence/status/965497931636793344", "965497931636793344")</f>
        <v/>
      </c>
      <c r="B2654" s="2" t="n">
        <v>43150.33818287037</v>
      </c>
      <c r="C2654" t="n">
        <v>0</v>
      </c>
      <c r="D2654" t="n">
        <v>389</v>
      </c>
      <c r="E2654" t="s">
        <v>2658</v>
      </c>
      <c r="F2654">
        <f>HYPERLINK("http://pbs.twimg.com/media/DWWWfn5WsAEtv0G.jpg", "http://pbs.twimg.com/media/DWWWfn5WsAEtv0G.jpg")</f>
        <v/>
      </c>
      <c r="G2654" t="s"/>
      <c r="H2654" t="s"/>
      <c r="I2654" t="s"/>
      <c r="J2654" t="n">
        <v>-0.4199</v>
      </c>
      <c r="K2654" t="n">
        <v>0.141</v>
      </c>
      <c r="L2654" t="n">
        <v>0.859</v>
      </c>
      <c r="M2654" t="n">
        <v>0</v>
      </c>
    </row>
    <row r="2655" spans="1:13">
      <c r="A2655" s="1">
        <f>HYPERLINK("http://www.twitter.com/NathanBLawrence/status/965497696042737664", "965497696042737664")</f>
        <v/>
      </c>
      <c r="B2655" s="2" t="n">
        <v>43150.33753472222</v>
      </c>
      <c r="C2655" t="n">
        <v>0</v>
      </c>
      <c r="D2655" t="n">
        <v>96</v>
      </c>
      <c r="E2655" t="s">
        <v>2659</v>
      </c>
      <c r="F2655">
        <f>HYPERLINK("http://pbs.twimg.com/media/DRmnhg5VwAE-k5I.jpg", "http://pbs.twimg.com/media/DRmnhg5VwAE-k5I.jpg")</f>
        <v/>
      </c>
      <c r="G2655" t="s"/>
      <c r="H2655" t="s"/>
      <c r="I2655" t="s"/>
      <c r="J2655" t="n">
        <v>0</v>
      </c>
      <c r="K2655" t="n">
        <v>0</v>
      </c>
      <c r="L2655" t="n">
        <v>1</v>
      </c>
      <c r="M2655" t="n">
        <v>0</v>
      </c>
    </row>
    <row r="2656" spans="1:13">
      <c r="A2656" s="1">
        <f>HYPERLINK("http://www.twitter.com/NathanBLawrence/status/965484583662710784", "965484583662710784")</f>
        <v/>
      </c>
      <c r="B2656" s="2" t="n">
        <v>43150.30135416667</v>
      </c>
      <c r="C2656" t="n">
        <v>7</v>
      </c>
      <c r="D2656" t="n">
        <v>4</v>
      </c>
      <c r="E2656" t="s">
        <v>2660</v>
      </c>
      <c r="F2656" t="s"/>
      <c r="G2656" t="s"/>
      <c r="H2656" t="s"/>
      <c r="I2656" t="s"/>
      <c r="J2656" t="n">
        <v>0</v>
      </c>
      <c r="K2656" t="n">
        <v>0</v>
      </c>
      <c r="L2656" t="n">
        <v>1</v>
      </c>
      <c r="M2656" t="n">
        <v>0</v>
      </c>
    </row>
    <row r="2657" spans="1:13">
      <c r="A2657" s="1">
        <f>HYPERLINK("http://www.twitter.com/NathanBLawrence/status/965481357752328193", "965481357752328193")</f>
        <v/>
      </c>
      <c r="B2657" s="2" t="n">
        <v>43150.2924537037</v>
      </c>
      <c r="C2657" t="n">
        <v>6</v>
      </c>
      <c r="D2657" t="n">
        <v>3</v>
      </c>
      <c r="E2657" t="s">
        <v>2661</v>
      </c>
      <c r="F2657" t="s"/>
      <c r="G2657" t="s"/>
      <c r="H2657" t="s"/>
      <c r="I2657" t="s"/>
      <c r="J2657" t="n">
        <v>0</v>
      </c>
      <c r="K2657" t="n">
        <v>0</v>
      </c>
      <c r="L2657" t="n">
        <v>1</v>
      </c>
      <c r="M2657" t="n">
        <v>0</v>
      </c>
    </row>
    <row r="2658" spans="1:13">
      <c r="A2658" s="1">
        <f>HYPERLINK("http://www.twitter.com/NathanBLawrence/status/965481106261921792", "965481106261921792")</f>
        <v/>
      </c>
      <c r="B2658" s="2" t="n">
        <v>43150.29175925926</v>
      </c>
      <c r="C2658" t="n">
        <v>7</v>
      </c>
      <c r="D2658" t="n">
        <v>5</v>
      </c>
      <c r="E2658" t="s">
        <v>2662</v>
      </c>
      <c r="F2658" t="s"/>
      <c r="G2658" t="s"/>
      <c r="H2658" t="s"/>
      <c r="I2658" t="s"/>
      <c r="J2658" t="n">
        <v>0</v>
      </c>
      <c r="K2658" t="n">
        <v>0</v>
      </c>
      <c r="L2658" t="n">
        <v>1</v>
      </c>
      <c r="M2658" t="n">
        <v>0</v>
      </c>
    </row>
    <row r="2659" spans="1:13">
      <c r="A2659" s="1">
        <f>HYPERLINK("http://www.twitter.com/NathanBLawrence/status/965479851896594434", "965479851896594434")</f>
        <v/>
      </c>
      <c r="B2659" s="2" t="n">
        <v>43150.28829861111</v>
      </c>
      <c r="C2659" t="n">
        <v>45</v>
      </c>
      <c r="D2659" t="n">
        <v>31</v>
      </c>
      <c r="E2659" t="s">
        <v>2663</v>
      </c>
      <c r="F2659" t="s"/>
      <c r="G2659" t="s"/>
      <c r="H2659" t="s"/>
      <c r="I2659" t="s"/>
      <c r="J2659" t="n">
        <v>0.3527</v>
      </c>
      <c r="K2659" t="n">
        <v>0</v>
      </c>
      <c r="L2659" t="n">
        <v>0.89</v>
      </c>
      <c r="M2659" t="n">
        <v>0.11</v>
      </c>
    </row>
    <row r="2660" spans="1:13">
      <c r="A2660" s="1">
        <f>HYPERLINK("http://www.twitter.com/NathanBLawrence/status/965475738244788224", "965475738244788224")</f>
        <v/>
      </c>
      <c r="B2660" s="2" t="n">
        <v>43150.27694444444</v>
      </c>
      <c r="C2660" t="n">
        <v>4</v>
      </c>
      <c r="D2660" t="n">
        <v>1</v>
      </c>
      <c r="E2660" t="s">
        <v>2664</v>
      </c>
      <c r="F2660" t="s"/>
      <c r="G2660" t="s"/>
      <c r="H2660" t="s"/>
      <c r="I2660" t="s"/>
      <c r="J2660" t="n">
        <v>0</v>
      </c>
      <c r="K2660" t="n">
        <v>0</v>
      </c>
      <c r="L2660" t="n">
        <v>1</v>
      </c>
      <c r="M2660" t="n">
        <v>0</v>
      </c>
    </row>
    <row r="2661" spans="1:13">
      <c r="A2661" s="1">
        <f>HYPERLINK("http://www.twitter.com/NathanBLawrence/status/965474285321105408", "965474285321105408")</f>
        <v/>
      </c>
      <c r="B2661" s="2" t="n">
        <v>43150.27292824074</v>
      </c>
      <c r="C2661" t="n">
        <v>8</v>
      </c>
      <c r="D2661" t="n">
        <v>8</v>
      </c>
      <c r="E2661" t="s">
        <v>2665</v>
      </c>
      <c r="F2661" t="s"/>
      <c r="G2661" t="s"/>
      <c r="H2661" t="s"/>
      <c r="I2661" t="s"/>
      <c r="J2661" t="n">
        <v>0</v>
      </c>
      <c r="K2661" t="n">
        <v>0</v>
      </c>
      <c r="L2661" t="n">
        <v>1</v>
      </c>
      <c r="M2661" t="n">
        <v>0</v>
      </c>
    </row>
    <row r="2662" spans="1:13">
      <c r="A2662" s="1">
        <f>HYPERLINK("http://www.twitter.com/NathanBLawrence/status/965472488858595328", "965472488858595328")</f>
        <v/>
      </c>
      <c r="B2662" s="2" t="n">
        <v>43150.26797453704</v>
      </c>
      <c r="C2662" t="n">
        <v>9</v>
      </c>
      <c r="D2662" t="n">
        <v>4</v>
      </c>
      <c r="E2662" t="s">
        <v>2666</v>
      </c>
      <c r="F2662" t="s"/>
      <c r="G2662" t="s"/>
      <c r="H2662" t="s"/>
      <c r="I2662" t="s"/>
      <c r="J2662" t="n">
        <v>0.6696</v>
      </c>
      <c r="K2662" t="n">
        <v>0</v>
      </c>
      <c r="L2662" t="n">
        <v>0.667</v>
      </c>
      <c r="M2662" t="n">
        <v>0.333</v>
      </c>
    </row>
    <row r="2663" spans="1:13">
      <c r="A2663" s="1">
        <f>HYPERLINK("http://www.twitter.com/NathanBLawrence/status/965471447937310721", "965471447937310721")</f>
        <v/>
      </c>
      <c r="B2663" s="2" t="n">
        <v>43150.26510416667</v>
      </c>
      <c r="C2663" t="n">
        <v>1</v>
      </c>
      <c r="D2663" t="n">
        <v>1</v>
      </c>
      <c r="E2663" t="s">
        <v>2667</v>
      </c>
      <c r="F2663" t="s"/>
      <c r="G2663" t="s"/>
      <c r="H2663" t="s"/>
      <c r="I2663" t="s"/>
      <c r="J2663" t="n">
        <v>-0.3612</v>
      </c>
      <c r="K2663" t="n">
        <v>0.185</v>
      </c>
      <c r="L2663" t="n">
        <v>0.8149999999999999</v>
      </c>
      <c r="M2663" t="n">
        <v>0</v>
      </c>
    </row>
    <row r="2664" spans="1:13">
      <c r="A2664" s="1">
        <f>HYPERLINK("http://www.twitter.com/NathanBLawrence/status/965469598899318785", "965469598899318785")</f>
        <v/>
      </c>
      <c r="B2664" s="2" t="n">
        <v>43150.26</v>
      </c>
      <c r="C2664" t="n">
        <v>0</v>
      </c>
      <c r="D2664" t="n">
        <v>1991</v>
      </c>
      <c r="E2664" t="s">
        <v>2668</v>
      </c>
      <c r="F2664">
        <f>HYPERLINK("http://pbs.twimg.com/media/DWXiNFDX4AEM7g3.jpg", "http://pbs.twimg.com/media/DWXiNFDX4AEM7g3.jpg")</f>
        <v/>
      </c>
      <c r="G2664" t="s"/>
      <c r="H2664" t="s"/>
      <c r="I2664" t="s"/>
      <c r="J2664" t="n">
        <v>-0.8957000000000001</v>
      </c>
      <c r="K2664" t="n">
        <v>0.404</v>
      </c>
      <c r="L2664" t="n">
        <v>0.525</v>
      </c>
      <c r="M2664" t="n">
        <v>0.07099999999999999</v>
      </c>
    </row>
    <row r="2665" spans="1:13">
      <c r="A2665" s="1">
        <f>HYPERLINK("http://www.twitter.com/NathanBLawrence/status/965469542762758144", "965469542762758144")</f>
        <v/>
      </c>
      <c r="B2665" s="2" t="n">
        <v>43150.25984953704</v>
      </c>
      <c r="C2665" t="n">
        <v>0</v>
      </c>
      <c r="D2665" t="n">
        <v>497</v>
      </c>
      <c r="E2665" t="s">
        <v>2669</v>
      </c>
      <c r="F2665">
        <f>HYPERLINK("http://pbs.twimg.com/media/DWYIsDGVMAgzx8d.jpg", "http://pbs.twimg.com/media/DWYIsDGVMAgzx8d.jpg")</f>
        <v/>
      </c>
      <c r="G2665" t="s"/>
      <c r="H2665" t="s"/>
      <c r="I2665" t="s"/>
      <c r="J2665" t="n">
        <v>-0.4824</v>
      </c>
      <c r="K2665" t="n">
        <v>0.224</v>
      </c>
      <c r="L2665" t="n">
        <v>0.676</v>
      </c>
      <c r="M2665" t="n">
        <v>0.099</v>
      </c>
    </row>
    <row r="2666" spans="1:13">
      <c r="A2666" s="1">
        <f>HYPERLINK("http://www.twitter.com/NathanBLawrence/status/965469370108452868", "965469370108452868")</f>
        <v/>
      </c>
      <c r="B2666" s="2" t="n">
        <v>43150.259375</v>
      </c>
      <c r="C2666" t="n">
        <v>0</v>
      </c>
      <c r="D2666" t="n">
        <v>311</v>
      </c>
      <c r="E2666" t="s">
        <v>2670</v>
      </c>
      <c r="F2666">
        <f>HYPERLINK("http://pbs.twimg.com/media/DWWuENSX4AE40WT.jpg", "http://pbs.twimg.com/media/DWWuENSX4AE40WT.jpg")</f>
        <v/>
      </c>
      <c r="G2666" t="s"/>
      <c r="H2666" t="s"/>
      <c r="I2666" t="s"/>
      <c r="J2666" t="n">
        <v>0.7906</v>
      </c>
      <c r="K2666" t="n">
        <v>0</v>
      </c>
      <c r="L2666" t="n">
        <v>0.696</v>
      </c>
      <c r="M2666" t="n">
        <v>0.304</v>
      </c>
    </row>
    <row r="2667" spans="1:13">
      <c r="A2667" s="1">
        <f>HYPERLINK("http://www.twitter.com/NathanBLawrence/status/965469243625132033", "965469243625132033")</f>
        <v/>
      </c>
      <c r="B2667" s="2" t="n">
        <v>43150.2590162037</v>
      </c>
      <c r="C2667" t="n">
        <v>0</v>
      </c>
      <c r="D2667" t="n">
        <v>53</v>
      </c>
      <c r="E2667" t="s">
        <v>2671</v>
      </c>
      <c r="F2667" t="s"/>
      <c r="G2667" t="s"/>
      <c r="H2667" t="s"/>
      <c r="I2667" t="s"/>
      <c r="J2667" t="n">
        <v>-0.4404</v>
      </c>
      <c r="K2667" t="n">
        <v>0.132</v>
      </c>
      <c r="L2667" t="n">
        <v>0.868</v>
      </c>
      <c r="M2667" t="n">
        <v>0</v>
      </c>
    </row>
    <row r="2668" spans="1:13">
      <c r="A2668" s="1">
        <f>HYPERLINK("http://www.twitter.com/NathanBLawrence/status/965468157983928322", "965468157983928322")</f>
        <v/>
      </c>
      <c r="B2668" s="2" t="n">
        <v>43150.25603009259</v>
      </c>
      <c r="C2668" t="n">
        <v>12</v>
      </c>
      <c r="D2668" t="n">
        <v>1</v>
      </c>
      <c r="E2668" t="s">
        <v>2672</v>
      </c>
      <c r="F2668" t="s"/>
      <c r="G2668" t="s"/>
      <c r="H2668" t="s"/>
      <c r="I2668" t="s"/>
      <c r="J2668" t="n">
        <v>0.8395</v>
      </c>
      <c r="K2668" t="n">
        <v>0</v>
      </c>
      <c r="L2668" t="n">
        <v>0.62</v>
      </c>
      <c r="M2668" t="n">
        <v>0.38</v>
      </c>
    </row>
    <row r="2669" spans="1:13">
      <c r="A2669" s="1">
        <f>HYPERLINK("http://www.twitter.com/NathanBLawrence/status/965461571999854592", "965461571999854592")</f>
        <v/>
      </c>
      <c r="B2669" s="2" t="n">
        <v>43150.23784722222</v>
      </c>
      <c r="C2669" t="n">
        <v>4</v>
      </c>
      <c r="D2669" t="n">
        <v>0</v>
      </c>
      <c r="E2669" t="s">
        <v>2673</v>
      </c>
      <c r="F2669" t="s"/>
      <c r="G2669" t="s"/>
      <c r="H2669" t="s"/>
      <c r="I2669" t="s"/>
      <c r="J2669" t="n">
        <v>0.8883</v>
      </c>
      <c r="K2669" t="n">
        <v>0</v>
      </c>
      <c r="L2669" t="n">
        <v>0.4</v>
      </c>
      <c r="M2669" t="n">
        <v>0.6</v>
      </c>
    </row>
    <row r="2670" spans="1:13">
      <c r="A2670" s="1">
        <f>HYPERLINK("http://www.twitter.com/NathanBLawrence/status/965460885887053824", "965460885887053824")</f>
        <v/>
      </c>
      <c r="B2670" s="2" t="n">
        <v>43150.23596064815</v>
      </c>
      <c r="C2670" t="n">
        <v>23</v>
      </c>
      <c r="D2670" t="n">
        <v>13</v>
      </c>
      <c r="E2670" t="s">
        <v>2674</v>
      </c>
      <c r="F2670" t="s"/>
      <c r="G2670" t="s"/>
      <c r="H2670" t="s"/>
      <c r="I2670" t="s"/>
      <c r="J2670" t="n">
        <v>0.6588000000000001</v>
      </c>
      <c r="K2670" t="n">
        <v>0</v>
      </c>
      <c r="L2670" t="n">
        <v>0.695</v>
      </c>
      <c r="M2670" t="n">
        <v>0.305</v>
      </c>
    </row>
    <row r="2671" spans="1:13">
      <c r="A2671" s="1">
        <f>HYPERLINK("http://www.twitter.com/NathanBLawrence/status/965409326767726592", "965409326767726592")</f>
        <v/>
      </c>
      <c r="B2671" s="2" t="n">
        <v>43150.09368055555</v>
      </c>
      <c r="C2671" t="n">
        <v>34</v>
      </c>
      <c r="D2671" t="n">
        <v>5</v>
      </c>
      <c r="E2671" t="s">
        <v>2675</v>
      </c>
      <c r="F2671">
        <f>HYPERLINK("http://pbs.twimg.com/media/DWXSqmSX4AAKL84.jpg", "http://pbs.twimg.com/media/DWXSqmSX4AAKL84.jpg")</f>
        <v/>
      </c>
      <c r="G2671" t="s"/>
      <c r="H2671" t="s"/>
      <c r="I2671" t="s"/>
      <c r="J2671" t="n">
        <v>0</v>
      </c>
      <c r="K2671" t="n">
        <v>0</v>
      </c>
      <c r="L2671" t="n">
        <v>1</v>
      </c>
      <c r="M2671" t="n">
        <v>0</v>
      </c>
    </row>
    <row r="2672" spans="1:13">
      <c r="A2672" s="1">
        <f>HYPERLINK("http://www.twitter.com/NathanBLawrence/status/965127093624356864", "965127093624356864")</f>
        <v/>
      </c>
      <c r="B2672" s="2" t="n">
        <v>43149.31486111111</v>
      </c>
      <c r="C2672" t="n">
        <v>22</v>
      </c>
      <c r="D2672" t="n">
        <v>17</v>
      </c>
      <c r="E2672" t="s">
        <v>2676</v>
      </c>
      <c r="F2672" t="s"/>
      <c r="G2672" t="s"/>
      <c r="H2672" t="s"/>
      <c r="I2672" t="s"/>
      <c r="J2672" t="n">
        <v>0</v>
      </c>
      <c r="K2672" t="n">
        <v>0</v>
      </c>
      <c r="L2672" t="n">
        <v>1</v>
      </c>
      <c r="M2672" t="n">
        <v>0</v>
      </c>
    </row>
    <row r="2673" spans="1:13">
      <c r="A2673" s="1">
        <f>HYPERLINK("http://www.twitter.com/NathanBLawrence/status/965088969200304128", "965088969200304128")</f>
        <v/>
      </c>
      <c r="B2673" s="2" t="n">
        <v>43149.20966435185</v>
      </c>
      <c r="C2673" t="n">
        <v>0</v>
      </c>
      <c r="D2673" t="n">
        <v>195</v>
      </c>
      <c r="E2673" t="s">
        <v>2677</v>
      </c>
      <c r="F2673">
        <f>HYPERLINK("http://pbs.twimg.com/media/DWRiHGuXkAE_tTY.jpg", "http://pbs.twimg.com/media/DWRiHGuXkAE_tTY.jpg")</f>
        <v/>
      </c>
      <c r="G2673">
        <f>HYPERLINK("http://pbs.twimg.com/media/DWRiHGsWAAAf0BI.jpg", "http://pbs.twimg.com/media/DWRiHGsWAAAf0BI.jpg")</f>
        <v/>
      </c>
      <c r="H2673" t="s"/>
      <c r="I2673" t="s"/>
      <c r="J2673" t="n">
        <v>0.7118</v>
      </c>
      <c r="K2673" t="n">
        <v>0</v>
      </c>
      <c r="L2673" t="n">
        <v>0.802</v>
      </c>
      <c r="M2673" t="n">
        <v>0.198</v>
      </c>
    </row>
    <row r="2674" spans="1:13">
      <c r="A2674" s="1">
        <f>HYPERLINK("http://www.twitter.com/NathanBLawrence/status/965088883280027648", "965088883280027648")</f>
        <v/>
      </c>
      <c r="B2674" s="2" t="n">
        <v>43149.2094212963</v>
      </c>
      <c r="C2674" t="n">
        <v>0</v>
      </c>
      <c r="D2674" t="n">
        <v>4243</v>
      </c>
      <c r="E2674" t="s">
        <v>2678</v>
      </c>
      <c r="F2674" t="s"/>
      <c r="G2674" t="s"/>
      <c r="H2674" t="s"/>
      <c r="I2674" t="s"/>
      <c r="J2674" t="n">
        <v>0.1536</v>
      </c>
      <c r="K2674" t="n">
        <v>0.08500000000000001</v>
      </c>
      <c r="L2674" t="n">
        <v>0.806</v>
      </c>
      <c r="M2674" t="n">
        <v>0.109</v>
      </c>
    </row>
    <row r="2675" spans="1:13">
      <c r="A2675" s="1">
        <f>HYPERLINK("http://www.twitter.com/NathanBLawrence/status/965088687368282112", "965088687368282112")</f>
        <v/>
      </c>
      <c r="B2675" s="2" t="n">
        <v>43149.20888888889</v>
      </c>
      <c r="C2675" t="n">
        <v>0</v>
      </c>
      <c r="D2675" t="n">
        <v>2107</v>
      </c>
      <c r="E2675" t="s">
        <v>2679</v>
      </c>
      <c r="F2675" t="s"/>
      <c r="G2675" t="s"/>
      <c r="H2675" t="s"/>
      <c r="I2675" t="s"/>
      <c r="J2675" t="n">
        <v>0.4215</v>
      </c>
      <c r="K2675" t="n">
        <v>0</v>
      </c>
      <c r="L2675" t="n">
        <v>0.872</v>
      </c>
      <c r="M2675" t="n">
        <v>0.128</v>
      </c>
    </row>
    <row r="2676" spans="1:13">
      <c r="A2676" s="1">
        <f>HYPERLINK("http://www.twitter.com/NathanBLawrence/status/965088582711980033", "965088582711980033")</f>
        <v/>
      </c>
      <c r="B2676" s="2" t="n">
        <v>43149.20859953704</v>
      </c>
      <c r="C2676" t="n">
        <v>25</v>
      </c>
      <c r="D2676" t="n">
        <v>10</v>
      </c>
      <c r="E2676" t="s">
        <v>2680</v>
      </c>
      <c r="F2676" t="s"/>
      <c r="G2676" t="s"/>
      <c r="H2676" t="s"/>
      <c r="I2676" t="s"/>
      <c r="J2676" t="n">
        <v>0</v>
      </c>
      <c r="K2676" t="n">
        <v>0</v>
      </c>
      <c r="L2676" t="n">
        <v>1</v>
      </c>
      <c r="M2676" t="n">
        <v>0</v>
      </c>
    </row>
    <row r="2677" spans="1:13">
      <c r="A2677" s="1">
        <f>HYPERLINK("http://www.twitter.com/NathanBLawrence/status/965088375400116229", "965088375400116229")</f>
        <v/>
      </c>
      <c r="B2677" s="2" t="n">
        <v>43149.20802083334</v>
      </c>
      <c r="C2677" t="n">
        <v>24</v>
      </c>
      <c r="D2677" t="n">
        <v>15</v>
      </c>
      <c r="E2677" t="s">
        <v>2681</v>
      </c>
      <c r="F2677" t="s"/>
      <c r="G2677" t="s"/>
      <c r="H2677" t="s"/>
      <c r="I2677" t="s"/>
      <c r="J2677" t="n">
        <v>-0.4738</v>
      </c>
      <c r="K2677" t="n">
        <v>0.219</v>
      </c>
      <c r="L2677" t="n">
        <v>0.781</v>
      </c>
      <c r="M2677" t="n">
        <v>0</v>
      </c>
    </row>
    <row r="2678" spans="1:13">
      <c r="A2678" s="1">
        <f>HYPERLINK("http://www.twitter.com/NathanBLawrence/status/964561064967852032", "964561064967852032")</f>
        <v/>
      </c>
      <c r="B2678" s="2" t="n">
        <v>43147.75292824074</v>
      </c>
      <c r="C2678" t="n">
        <v>17</v>
      </c>
      <c r="D2678" t="n">
        <v>8</v>
      </c>
      <c r="E2678" t="s">
        <v>2682</v>
      </c>
      <c r="F2678">
        <f>HYPERLINK("http://pbs.twimg.com/media/DWLOrquVAAYsRs2.png", "http://pbs.twimg.com/media/DWLOrquVAAYsRs2.png")</f>
        <v/>
      </c>
      <c r="G2678" t="s"/>
      <c r="H2678" t="s"/>
      <c r="I2678" t="s"/>
      <c r="J2678" t="n">
        <v>0.6124000000000001</v>
      </c>
      <c r="K2678" t="n">
        <v>0</v>
      </c>
      <c r="L2678" t="n">
        <v>0.737</v>
      </c>
      <c r="M2678" t="n">
        <v>0.263</v>
      </c>
    </row>
    <row r="2679" spans="1:13">
      <c r="A2679" s="1">
        <f>HYPERLINK("http://www.twitter.com/NathanBLawrence/status/964077869331697664", "964077869331697664")</f>
        <v/>
      </c>
      <c r="B2679" s="2" t="n">
        <v>43146.41956018518</v>
      </c>
      <c r="C2679" t="n">
        <v>0</v>
      </c>
      <c r="D2679" t="n">
        <v>270</v>
      </c>
      <c r="E2679" t="s">
        <v>2683</v>
      </c>
      <c r="F2679">
        <f>HYPERLINK("http://pbs.twimg.com/media/DVMhqB5VwAA8ktY.jpg", "http://pbs.twimg.com/media/DVMhqB5VwAA8ktY.jpg")</f>
        <v/>
      </c>
      <c r="G2679" t="s"/>
      <c r="H2679" t="s"/>
      <c r="I2679" t="s"/>
      <c r="J2679" t="n">
        <v>0.3612</v>
      </c>
      <c r="K2679" t="n">
        <v>0</v>
      </c>
      <c r="L2679" t="n">
        <v>0.828</v>
      </c>
      <c r="M2679" t="n">
        <v>0.172</v>
      </c>
    </row>
    <row r="2680" spans="1:13">
      <c r="A2680" s="1">
        <f>HYPERLINK("http://www.twitter.com/NathanBLawrence/status/964077555811680257", "964077555811680257")</f>
        <v/>
      </c>
      <c r="B2680" s="2" t="n">
        <v>43146.41869212963</v>
      </c>
      <c r="C2680" t="n">
        <v>0</v>
      </c>
      <c r="D2680" t="n">
        <v>76</v>
      </c>
      <c r="E2680" t="s">
        <v>2684</v>
      </c>
      <c r="F2680">
        <f>HYPERLINK("http://pbs.twimg.com/media/DWBVIs_VAAACagm.jpg", "http://pbs.twimg.com/media/DWBVIs_VAAACagm.jpg")</f>
        <v/>
      </c>
      <c r="G2680" t="s"/>
      <c r="H2680" t="s"/>
      <c r="I2680" t="s"/>
      <c r="J2680" t="n">
        <v>0</v>
      </c>
      <c r="K2680" t="n">
        <v>0</v>
      </c>
      <c r="L2680" t="n">
        <v>1</v>
      </c>
      <c r="M2680" t="n">
        <v>0</v>
      </c>
    </row>
    <row r="2681" spans="1:13">
      <c r="A2681" s="1">
        <f>HYPERLINK("http://www.twitter.com/NathanBLawrence/status/964077399263490053", "964077399263490053")</f>
        <v/>
      </c>
      <c r="B2681" s="2" t="n">
        <v>43146.41826388889</v>
      </c>
      <c r="C2681" t="n">
        <v>0</v>
      </c>
      <c r="D2681" t="n">
        <v>3054</v>
      </c>
      <c r="E2681" t="s">
        <v>2685</v>
      </c>
      <c r="F2681">
        <f>HYPERLINK("http://pbs.twimg.com/media/DV8_xNNXkAATTVd.jpg", "http://pbs.twimg.com/media/DV8_xNNXkAATTVd.jpg")</f>
        <v/>
      </c>
      <c r="G2681" t="s"/>
      <c r="H2681" t="s"/>
      <c r="I2681" t="s"/>
      <c r="J2681" t="n">
        <v>0.6688</v>
      </c>
      <c r="K2681" t="n">
        <v>0</v>
      </c>
      <c r="L2681" t="n">
        <v>0.791</v>
      </c>
      <c r="M2681" t="n">
        <v>0.209</v>
      </c>
    </row>
    <row r="2682" spans="1:13">
      <c r="A2682" s="1">
        <f>HYPERLINK("http://www.twitter.com/NathanBLawrence/status/964015227393069056", "964015227393069056")</f>
        <v/>
      </c>
      <c r="B2682" s="2" t="n">
        <v>43146.24670138889</v>
      </c>
      <c r="C2682" t="n">
        <v>0</v>
      </c>
      <c r="D2682" t="n">
        <v>710</v>
      </c>
      <c r="E2682" t="s">
        <v>2686</v>
      </c>
      <c r="F2682">
        <f>HYPERLINK("http://pbs.twimg.com/media/DWDX4aOWkAEqauR.jpg", "http://pbs.twimg.com/media/DWDX4aOWkAEqauR.jpg")</f>
        <v/>
      </c>
      <c r="G2682" t="s"/>
      <c r="H2682" t="s"/>
      <c r="I2682" t="s"/>
      <c r="J2682" t="n">
        <v>0</v>
      </c>
      <c r="K2682" t="n">
        <v>0</v>
      </c>
      <c r="L2682" t="n">
        <v>1</v>
      </c>
      <c r="M2682" t="n">
        <v>0</v>
      </c>
    </row>
    <row r="2683" spans="1:13">
      <c r="A2683" s="1">
        <f>HYPERLINK("http://www.twitter.com/NathanBLawrence/status/964015176033775618", "964015176033775618")</f>
        <v/>
      </c>
      <c r="B2683" s="2" t="n">
        <v>43146.2465625</v>
      </c>
      <c r="C2683" t="n">
        <v>0</v>
      </c>
      <c r="D2683" t="n">
        <v>66</v>
      </c>
      <c r="E2683" t="s">
        <v>2687</v>
      </c>
      <c r="F2683">
        <f>HYPERLINK("http://pbs.twimg.com/media/DWDGmkgVAAI1VCh.jpg", "http://pbs.twimg.com/media/DWDGmkgVAAI1VCh.jpg")</f>
        <v/>
      </c>
      <c r="G2683" t="s"/>
      <c r="H2683" t="s"/>
      <c r="I2683" t="s"/>
      <c r="J2683" t="n">
        <v>0</v>
      </c>
      <c r="K2683" t="n">
        <v>0</v>
      </c>
      <c r="L2683" t="n">
        <v>1</v>
      </c>
      <c r="M2683" t="n">
        <v>0</v>
      </c>
    </row>
    <row r="2684" spans="1:13">
      <c r="A2684" s="1">
        <f>HYPERLINK("http://www.twitter.com/NathanBLawrence/status/964014737586466816", "964014737586466816")</f>
        <v/>
      </c>
      <c r="B2684" s="2" t="n">
        <v>43146.24534722222</v>
      </c>
      <c r="C2684" t="n">
        <v>0</v>
      </c>
      <c r="D2684" t="n">
        <v>116</v>
      </c>
      <c r="E2684" t="s">
        <v>2688</v>
      </c>
      <c r="F2684">
        <f>HYPERLINK("http://pbs.twimg.com/media/DWCooYuUQAArFEe.jpg", "http://pbs.twimg.com/media/DWCooYuUQAArFEe.jpg")</f>
        <v/>
      </c>
      <c r="G2684" t="s"/>
      <c r="H2684" t="s"/>
      <c r="I2684" t="s"/>
      <c r="J2684" t="n">
        <v>0.6369</v>
      </c>
      <c r="K2684" t="n">
        <v>0</v>
      </c>
      <c r="L2684" t="n">
        <v>0.625</v>
      </c>
      <c r="M2684" t="n">
        <v>0.375</v>
      </c>
    </row>
    <row r="2685" spans="1:13">
      <c r="A2685" s="1">
        <f>HYPERLINK("http://www.twitter.com/NathanBLawrence/status/964014589607202816", "964014589607202816")</f>
        <v/>
      </c>
      <c r="B2685" s="2" t="n">
        <v>43146.24494212963</v>
      </c>
      <c r="C2685" t="n">
        <v>0</v>
      </c>
      <c r="D2685" t="n">
        <v>348</v>
      </c>
      <c r="E2685" t="s">
        <v>2689</v>
      </c>
      <c r="F2685" t="s"/>
      <c r="G2685" t="s"/>
      <c r="H2685" t="s"/>
      <c r="I2685" t="s"/>
      <c r="J2685" t="n">
        <v>-0.5719</v>
      </c>
      <c r="K2685" t="n">
        <v>0.209</v>
      </c>
      <c r="L2685" t="n">
        <v>0.791</v>
      </c>
      <c r="M2685" t="n">
        <v>0</v>
      </c>
    </row>
    <row r="2686" spans="1:13">
      <c r="A2686" s="1">
        <f>HYPERLINK("http://www.twitter.com/NathanBLawrence/status/963983259129409536", "963983259129409536")</f>
        <v/>
      </c>
      <c r="B2686" s="2" t="n">
        <v>43146.15848379629</v>
      </c>
      <c r="C2686" t="n">
        <v>36</v>
      </c>
      <c r="D2686" t="n">
        <v>10</v>
      </c>
      <c r="E2686" t="s">
        <v>2690</v>
      </c>
      <c r="F2686">
        <f>HYPERLINK("http://pbs.twimg.com/media/DWDBgOYUMAEvHGZ.jpg", "http://pbs.twimg.com/media/DWDBgOYUMAEvHGZ.jpg")</f>
        <v/>
      </c>
      <c r="G2686" t="s"/>
      <c r="H2686" t="s"/>
      <c r="I2686" t="s"/>
      <c r="J2686" t="n">
        <v>0.3182</v>
      </c>
      <c r="K2686" t="n">
        <v>0</v>
      </c>
      <c r="L2686" t="n">
        <v>0.753</v>
      </c>
      <c r="M2686" t="n">
        <v>0.247</v>
      </c>
    </row>
    <row r="2687" spans="1:13">
      <c r="A2687" s="1">
        <f>HYPERLINK("http://www.twitter.com/NathanBLawrence/status/963962026287538176", "963962026287538176")</f>
        <v/>
      </c>
      <c r="B2687" s="2" t="n">
        <v>43146.09989583334</v>
      </c>
      <c r="C2687" t="n">
        <v>5</v>
      </c>
      <c r="D2687" t="n">
        <v>1</v>
      </c>
      <c r="E2687" t="s">
        <v>2691</v>
      </c>
      <c r="F2687" t="s"/>
      <c r="G2687" t="s"/>
      <c r="H2687" t="s"/>
      <c r="I2687" t="s"/>
      <c r="J2687" t="n">
        <v>0.2263</v>
      </c>
      <c r="K2687" t="n">
        <v>0.216</v>
      </c>
      <c r="L2687" t="n">
        <v>0.504</v>
      </c>
      <c r="M2687" t="n">
        <v>0.281</v>
      </c>
    </row>
    <row r="2688" spans="1:13">
      <c r="A2688" s="1">
        <f>HYPERLINK("http://www.twitter.com/NathanBLawrence/status/963885658849755136", "963885658849755136")</f>
        <v/>
      </c>
      <c r="B2688" s="2" t="n">
        <v>43145.88915509259</v>
      </c>
      <c r="C2688" t="n">
        <v>22</v>
      </c>
      <c r="D2688" t="n">
        <v>5</v>
      </c>
      <c r="E2688" t="s">
        <v>2692</v>
      </c>
      <c r="F2688" t="s"/>
      <c r="G2688" t="s"/>
      <c r="H2688" t="s"/>
      <c r="I2688" t="s"/>
      <c r="J2688" t="n">
        <v>0.5719</v>
      </c>
      <c r="K2688" t="n">
        <v>0</v>
      </c>
      <c r="L2688" t="n">
        <v>0.778</v>
      </c>
      <c r="M2688" t="n">
        <v>0.222</v>
      </c>
    </row>
    <row r="2689" spans="1:13">
      <c r="A2689" s="1">
        <f>HYPERLINK("http://www.twitter.com/NathanBLawrence/status/963885634556489729", "963885634556489729")</f>
        <v/>
      </c>
      <c r="B2689" s="2" t="n">
        <v>43145.88909722222</v>
      </c>
      <c r="C2689" t="n">
        <v>13</v>
      </c>
      <c r="D2689" t="n">
        <v>1</v>
      </c>
      <c r="E2689" t="s">
        <v>2693</v>
      </c>
      <c r="F2689" t="s"/>
      <c r="G2689" t="s"/>
      <c r="H2689" t="s"/>
      <c r="I2689" t="s"/>
      <c r="J2689" t="n">
        <v>0.5719</v>
      </c>
      <c r="K2689" t="n">
        <v>0</v>
      </c>
      <c r="L2689" t="n">
        <v>0.778</v>
      </c>
      <c r="M2689" t="n">
        <v>0.222</v>
      </c>
    </row>
    <row r="2690" spans="1:13">
      <c r="A2690" s="1">
        <f>HYPERLINK("http://www.twitter.com/NathanBLawrence/status/963884865098690560", "963884865098690560")</f>
        <v/>
      </c>
      <c r="B2690" s="2" t="n">
        <v>43145.8869675926</v>
      </c>
      <c r="C2690" t="n">
        <v>9</v>
      </c>
      <c r="D2690" t="n">
        <v>3</v>
      </c>
      <c r="E2690" t="s">
        <v>2694</v>
      </c>
      <c r="F2690" t="s"/>
      <c r="G2690" t="s"/>
      <c r="H2690" t="s"/>
      <c r="I2690" t="s"/>
      <c r="J2690" t="n">
        <v>0</v>
      </c>
      <c r="K2690" t="n">
        <v>0</v>
      </c>
      <c r="L2690" t="n">
        <v>1</v>
      </c>
      <c r="M2690" t="n">
        <v>0</v>
      </c>
    </row>
    <row r="2691" spans="1:13">
      <c r="A2691" s="1">
        <f>HYPERLINK("http://www.twitter.com/NathanBLawrence/status/963819201348517888", "963819201348517888")</f>
        <v/>
      </c>
      <c r="B2691" s="2" t="n">
        <v>43145.70577546296</v>
      </c>
      <c r="C2691" t="n">
        <v>0</v>
      </c>
      <c r="D2691" t="n">
        <v>674</v>
      </c>
      <c r="E2691" t="s">
        <v>2695</v>
      </c>
      <c r="F2691" t="s"/>
      <c r="G2691" t="s"/>
      <c r="H2691" t="s"/>
      <c r="I2691" t="s"/>
      <c r="J2691" t="n">
        <v>-0.5266999999999999</v>
      </c>
      <c r="K2691" t="n">
        <v>0.224</v>
      </c>
      <c r="L2691" t="n">
        <v>0.6899999999999999</v>
      </c>
      <c r="M2691" t="n">
        <v>0.08599999999999999</v>
      </c>
    </row>
    <row r="2692" spans="1:13">
      <c r="A2692" s="1">
        <f>HYPERLINK("http://www.twitter.com/NathanBLawrence/status/963819011686334464", "963819011686334464")</f>
        <v/>
      </c>
      <c r="B2692" s="2" t="n">
        <v>43145.70524305556</v>
      </c>
      <c r="C2692" t="n">
        <v>0</v>
      </c>
      <c r="D2692" t="n">
        <v>8</v>
      </c>
      <c r="E2692" t="s">
        <v>2696</v>
      </c>
      <c r="F2692" t="s"/>
      <c r="G2692" t="s"/>
      <c r="H2692" t="s"/>
      <c r="I2692" t="s"/>
      <c r="J2692" t="n">
        <v>0.9151</v>
      </c>
      <c r="K2692" t="n">
        <v>0.05</v>
      </c>
      <c r="L2692" t="n">
        <v>0.503</v>
      </c>
      <c r="M2692" t="n">
        <v>0.446</v>
      </c>
    </row>
    <row r="2693" spans="1:13">
      <c r="A2693" s="1">
        <f>HYPERLINK("http://www.twitter.com/NathanBLawrence/status/963818806513512449", "963818806513512449")</f>
        <v/>
      </c>
      <c r="B2693" s="2" t="n">
        <v>43145.7046875</v>
      </c>
      <c r="C2693" t="n">
        <v>0</v>
      </c>
      <c r="D2693" t="n">
        <v>15</v>
      </c>
      <c r="E2693" t="s">
        <v>2697</v>
      </c>
      <c r="F2693">
        <f>HYPERLINK("http://pbs.twimg.com/media/DWAmFLbUQAEnYul.jpg", "http://pbs.twimg.com/media/DWAmFLbUQAEnYul.jpg")</f>
        <v/>
      </c>
      <c r="G2693" t="s"/>
      <c r="H2693" t="s"/>
      <c r="I2693" t="s"/>
      <c r="J2693" t="n">
        <v>0</v>
      </c>
      <c r="K2693" t="n">
        <v>0</v>
      </c>
      <c r="L2693" t="n">
        <v>1</v>
      </c>
      <c r="M2693" t="n">
        <v>0</v>
      </c>
    </row>
    <row r="2694" spans="1:13">
      <c r="A2694" s="1">
        <f>HYPERLINK("http://www.twitter.com/NathanBLawrence/status/963812670884405248", "963812670884405248")</f>
        <v/>
      </c>
      <c r="B2694" s="2" t="n">
        <v>43145.68775462963</v>
      </c>
      <c r="C2694" t="n">
        <v>0</v>
      </c>
      <c r="D2694" t="n">
        <v>1153</v>
      </c>
      <c r="E2694" t="s">
        <v>2698</v>
      </c>
      <c r="F2694">
        <f>HYPERLINK("https://video.twimg.com/ext_tw_video/963799517408776193/pu/vid/720x720/-BZfPcWHkFurU46O.mp4", "https://video.twimg.com/ext_tw_video/963799517408776193/pu/vid/720x720/-BZfPcWHkFurU46O.mp4")</f>
        <v/>
      </c>
      <c r="G2694" t="s"/>
      <c r="H2694" t="s"/>
      <c r="I2694" t="s"/>
      <c r="J2694" t="n">
        <v>0.5635</v>
      </c>
      <c r="K2694" t="n">
        <v>0.203</v>
      </c>
      <c r="L2694" t="n">
        <v>0.51</v>
      </c>
      <c r="M2694" t="n">
        <v>0.287</v>
      </c>
    </row>
    <row r="2695" spans="1:13">
      <c r="A2695" s="1">
        <f>HYPERLINK("http://www.twitter.com/NathanBLawrence/status/963812446732369921", "963812446732369921")</f>
        <v/>
      </c>
      <c r="B2695" s="2" t="n">
        <v>43145.68712962963</v>
      </c>
      <c r="C2695" t="n">
        <v>0</v>
      </c>
      <c r="D2695" t="n">
        <v>974</v>
      </c>
      <c r="E2695" t="s">
        <v>2699</v>
      </c>
      <c r="F2695" t="s"/>
      <c r="G2695" t="s"/>
      <c r="H2695" t="s"/>
      <c r="I2695" t="s"/>
      <c r="J2695" t="n">
        <v>0.8168</v>
      </c>
      <c r="K2695" t="n">
        <v>0</v>
      </c>
      <c r="L2695" t="n">
        <v>0.728</v>
      </c>
      <c r="M2695" t="n">
        <v>0.272</v>
      </c>
    </row>
    <row r="2696" spans="1:13">
      <c r="A2696" s="1">
        <f>HYPERLINK("http://www.twitter.com/NathanBLawrence/status/963812296123334656", "963812296123334656")</f>
        <v/>
      </c>
      <c r="B2696" s="2" t="n">
        <v>43145.68671296296</v>
      </c>
      <c r="C2696" t="n">
        <v>0</v>
      </c>
      <c r="D2696" t="n">
        <v>1013</v>
      </c>
      <c r="E2696" t="s">
        <v>2700</v>
      </c>
      <c r="F2696" t="s"/>
      <c r="G2696" t="s"/>
      <c r="H2696" t="s"/>
      <c r="I2696" t="s"/>
      <c r="J2696" t="n">
        <v>-0.9282</v>
      </c>
      <c r="K2696" t="n">
        <v>0.418</v>
      </c>
      <c r="L2696" t="n">
        <v>0.582</v>
      </c>
      <c r="M2696" t="n">
        <v>0</v>
      </c>
    </row>
    <row r="2697" spans="1:13">
      <c r="A2697" s="1">
        <f>HYPERLINK("http://www.twitter.com/NathanBLawrence/status/963812100735840256", "963812100735840256")</f>
        <v/>
      </c>
      <c r="B2697" s="2" t="n">
        <v>43145.68618055555</v>
      </c>
      <c r="C2697" t="n">
        <v>0</v>
      </c>
      <c r="D2697" t="n">
        <v>8</v>
      </c>
      <c r="E2697" t="s">
        <v>2701</v>
      </c>
      <c r="F2697">
        <f>HYPERLINK("http://pbs.twimg.com/media/DWAldFyUMAAEhdd.jpg", "http://pbs.twimg.com/media/DWAldFyUMAAEhdd.jpg")</f>
        <v/>
      </c>
      <c r="G2697" t="s"/>
      <c r="H2697" t="s"/>
      <c r="I2697" t="s"/>
      <c r="J2697" t="n">
        <v>0</v>
      </c>
      <c r="K2697" t="n">
        <v>0</v>
      </c>
      <c r="L2697" t="n">
        <v>1</v>
      </c>
      <c r="M2697" t="n">
        <v>0</v>
      </c>
    </row>
    <row r="2698" spans="1:13">
      <c r="A2698" s="1">
        <f>HYPERLINK("http://www.twitter.com/NathanBLawrence/status/963811973845598210", "963811973845598210")</f>
        <v/>
      </c>
      <c r="B2698" s="2" t="n">
        <v>43145.68582175926</v>
      </c>
      <c r="C2698" t="n">
        <v>0</v>
      </c>
      <c r="D2698" t="n">
        <v>9521</v>
      </c>
      <c r="E2698" t="s">
        <v>2702</v>
      </c>
      <c r="F2698" t="s"/>
      <c r="G2698" t="s"/>
      <c r="H2698" t="s"/>
      <c r="I2698" t="s"/>
      <c r="J2698" t="n">
        <v>0.3818</v>
      </c>
      <c r="K2698" t="n">
        <v>0</v>
      </c>
      <c r="L2698" t="n">
        <v>0.885</v>
      </c>
      <c r="M2698" t="n">
        <v>0.115</v>
      </c>
    </row>
    <row r="2699" spans="1:13">
      <c r="A2699" s="1">
        <f>HYPERLINK("http://www.twitter.com/NathanBLawrence/status/963811907181281281", "963811907181281281")</f>
        <v/>
      </c>
      <c r="B2699" s="2" t="n">
        <v>43145.68564814814</v>
      </c>
      <c r="C2699" t="n">
        <v>0</v>
      </c>
      <c r="D2699" t="n">
        <v>4</v>
      </c>
      <c r="E2699" t="s">
        <v>2703</v>
      </c>
      <c r="F2699" t="s"/>
      <c r="G2699" t="s"/>
      <c r="H2699" t="s"/>
      <c r="I2699" t="s"/>
      <c r="J2699" t="n">
        <v>-0.4767</v>
      </c>
      <c r="K2699" t="n">
        <v>0.134</v>
      </c>
      <c r="L2699" t="n">
        <v>0.866</v>
      </c>
      <c r="M2699" t="n">
        <v>0</v>
      </c>
    </row>
    <row r="2700" spans="1:13">
      <c r="A2700" s="1">
        <f>HYPERLINK("http://www.twitter.com/NathanBLawrence/status/963811179020763141", "963811179020763141")</f>
        <v/>
      </c>
      <c r="B2700" s="2" t="n">
        <v>43145.68363425926</v>
      </c>
      <c r="C2700" t="n">
        <v>0</v>
      </c>
      <c r="D2700" t="n">
        <v>885</v>
      </c>
      <c r="E2700" t="s">
        <v>2704</v>
      </c>
      <c r="F2700" t="s"/>
      <c r="G2700" t="s"/>
      <c r="H2700" t="s"/>
      <c r="I2700" t="s"/>
      <c r="J2700" t="n">
        <v>0.2732</v>
      </c>
      <c r="K2700" t="n">
        <v>0.257</v>
      </c>
      <c r="L2700" t="n">
        <v>0.514</v>
      </c>
      <c r="M2700" t="n">
        <v>0.23</v>
      </c>
    </row>
    <row r="2701" spans="1:13">
      <c r="A2701" s="1">
        <f>HYPERLINK("http://www.twitter.com/NathanBLawrence/status/963811052629536768", "963811052629536768")</f>
        <v/>
      </c>
      <c r="B2701" s="2" t="n">
        <v>43145.68328703703</v>
      </c>
      <c r="C2701" t="n">
        <v>0</v>
      </c>
      <c r="D2701" t="n">
        <v>2215</v>
      </c>
      <c r="E2701" t="s">
        <v>2705</v>
      </c>
      <c r="F2701">
        <f>HYPERLINK("http://pbs.twimg.com/media/DWAQaK4U8AAKU-1.jpg", "http://pbs.twimg.com/media/DWAQaK4U8AAKU-1.jpg")</f>
        <v/>
      </c>
      <c r="G2701" t="s"/>
      <c r="H2701" t="s"/>
      <c r="I2701" t="s"/>
      <c r="J2701" t="n">
        <v>0.7865</v>
      </c>
      <c r="K2701" t="n">
        <v>0.117</v>
      </c>
      <c r="L2701" t="n">
        <v>0.488</v>
      </c>
      <c r="M2701" t="n">
        <v>0.394</v>
      </c>
    </row>
    <row r="2702" spans="1:13">
      <c r="A2702" s="1">
        <f>HYPERLINK("http://www.twitter.com/NathanBLawrence/status/963810751931535365", "963810751931535365")</f>
        <v/>
      </c>
      <c r="B2702" s="2" t="n">
        <v>43145.6824537037</v>
      </c>
      <c r="C2702" t="n">
        <v>0</v>
      </c>
      <c r="D2702" t="n">
        <v>242</v>
      </c>
      <c r="E2702" t="s">
        <v>2706</v>
      </c>
      <c r="F2702">
        <f>HYPERLINK("http://pbs.twimg.com/media/DWAkk5zVoAE1xiR.jpg", "http://pbs.twimg.com/media/DWAkk5zVoAE1xiR.jpg")</f>
        <v/>
      </c>
      <c r="G2702" t="s"/>
      <c r="H2702" t="s"/>
      <c r="I2702" t="s"/>
      <c r="J2702" t="n">
        <v>0.9193</v>
      </c>
      <c r="K2702" t="n">
        <v>0</v>
      </c>
      <c r="L2702" t="n">
        <v>0.628</v>
      </c>
      <c r="M2702" t="n">
        <v>0.372</v>
      </c>
    </row>
    <row r="2703" spans="1:13">
      <c r="A2703" s="1">
        <f>HYPERLINK("http://www.twitter.com/NathanBLawrence/status/963700311771590656", "963700311771590656")</f>
        <v/>
      </c>
      <c r="B2703" s="2" t="n">
        <v>43145.37769675926</v>
      </c>
      <c r="C2703" t="n">
        <v>0</v>
      </c>
      <c r="D2703" t="n">
        <v>14</v>
      </c>
      <c r="E2703" t="s">
        <v>2707</v>
      </c>
      <c r="F2703">
        <f>HYPERLINK("http://pbs.twimg.com/media/DV3fjYFVQAAPsIP.jpg", "http://pbs.twimg.com/media/DV3fjYFVQAAPsIP.jpg")</f>
        <v/>
      </c>
      <c r="G2703" t="s"/>
      <c r="H2703" t="s"/>
      <c r="I2703" t="s"/>
      <c r="J2703" t="n">
        <v>0.6249</v>
      </c>
      <c r="K2703" t="n">
        <v>0</v>
      </c>
      <c r="L2703" t="n">
        <v>0.8120000000000001</v>
      </c>
      <c r="M2703" t="n">
        <v>0.188</v>
      </c>
    </row>
    <row r="2704" spans="1:13">
      <c r="A2704" s="1">
        <f>HYPERLINK("http://www.twitter.com/NathanBLawrence/status/963695012453277697", "963695012453277697")</f>
        <v/>
      </c>
      <c r="B2704" s="2" t="n">
        <v>43145.3630787037</v>
      </c>
      <c r="C2704" t="n">
        <v>4</v>
      </c>
      <c r="D2704" t="n">
        <v>0</v>
      </c>
      <c r="E2704" t="s">
        <v>2708</v>
      </c>
      <c r="F2704" t="s"/>
      <c r="G2704" t="s"/>
      <c r="H2704" t="s"/>
      <c r="I2704" t="s"/>
      <c r="J2704" t="n">
        <v>0</v>
      </c>
      <c r="K2704" t="n">
        <v>0</v>
      </c>
      <c r="L2704" t="n">
        <v>1</v>
      </c>
      <c r="M2704" t="n">
        <v>0</v>
      </c>
    </row>
    <row r="2705" spans="1:13">
      <c r="A2705" s="1">
        <f>HYPERLINK("http://www.twitter.com/NathanBLawrence/status/963678419740495874", "963678419740495874")</f>
        <v/>
      </c>
      <c r="B2705" s="2" t="n">
        <v>43145.31729166667</v>
      </c>
      <c r="C2705" t="n">
        <v>0</v>
      </c>
      <c r="D2705" t="n">
        <v>138</v>
      </c>
      <c r="E2705" t="s">
        <v>2709</v>
      </c>
      <c r="F2705">
        <f>HYPERLINK("http://pbs.twimg.com/media/DV-ib-VXcAAfCNS.jpg", "http://pbs.twimg.com/media/DV-ib-VXcAAfCNS.jpg")</f>
        <v/>
      </c>
      <c r="G2705" t="s"/>
      <c r="H2705" t="s"/>
      <c r="I2705" t="s"/>
      <c r="J2705" t="n">
        <v>0.4926</v>
      </c>
      <c r="K2705" t="n">
        <v>0</v>
      </c>
      <c r="L2705" t="n">
        <v>0.715</v>
      </c>
      <c r="M2705" t="n">
        <v>0.285</v>
      </c>
    </row>
    <row r="2706" spans="1:13">
      <c r="A2706" s="1">
        <f>HYPERLINK("http://www.twitter.com/NathanBLawrence/status/963678310919233536", "963678310919233536")</f>
        <v/>
      </c>
      <c r="B2706" s="2" t="n">
        <v>43145.31699074074</v>
      </c>
      <c r="C2706" t="n">
        <v>0</v>
      </c>
      <c r="D2706" t="n">
        <v>41</v>
      </c>
      <c r="E2706" t="s">
        <v>2710</v>
      </c>
      <c r="F2706">
        <f>HYPERLINK("http://pbs.twimg.com/media/DV-kIYBXkAAjrBl.jpg", "http://pbs.twimg.com/media/DV-kIYBXkAAjrBl.jpg")</f>
        <v/>
      </c>
      <c r="G2706">
        <f>HYPERLINK("http://pbs.twimg.com/media/DV-kIlbXcAARgSf.jpg", "http://pbs.twimg.com/media/DV-kIlbXcAARgSf.jpg")</f>
        <v/>
      </c>
      <c r="H2706">
        <f>HYPERLINK("http://pbs.twimg.com/media/DV-kIzRW0AECokx.jpg", "http://pbs.twimg.com/media/DV-kIzRW0AECokx.jpg")</f>
        <v/>
      </c>
      <c r="I2706">
        <f>HYPERLINK("http://pbs.twimg.com/media/DV-kI9hW4AAzqJt.jpg", "http://pbs.twimg.com/media/DV-kI9hW4AAzqJt.jpg")</f>
        <v/>
      </c>
      <c r="J2706" t="n">
        <v>0.4019</v>
      </c>
      <c r="K2706" t="n">
        <v>0</v>
      </c>
      <c r="L2706" t="n">
        <v>0.856</v>
      </c>
      <c r="M2706" t="n">
        <v>0.144</v>
      </c>
    </row>
    <row r="2707" spans="1:13">
      <c r="A2707" s="1">
        <f>HYPERLINK("http://www.twitter.com/NathanBLawrence/status/963678064176660482", "963678064176660482")</f>
        <v/>
      </c>
      <c r="B2707" s="2" t="n">
        <v>43145.31630787037</v>
      </c>
      <c r="C2707" t="n">
        <v>26</v>
      </c>
      <c r="D2707" t="n">
        <v>15</v>
      </c>
      <c r="E2707" t="s">
        <v>2711</v>
      </c>
      <c r="F2707" t="s"/>
      <c r="G2707" t="s"/>
      <c r="H2707" t="s"/>
      <c r="I2707" t="s"/>
      <c r="J2707" t="n">
        <v>0</v>
      </c>
      <c r="K2707" t="n">
        <v>0</v>
      </c>
      <c r="L2707" t="n">
        <v>1</v>
      </c>
      <c r="M2707" t="n">
        <v>0</v>
      </c>
    </row>
    <row r="2708" spans="1:13">
      <c r="A2708" s="1">
        <f>HYPERLINK("http://www.twitter.com/NathanBLawrence/status/963668968664952833", "963668968664952833")</f>
        <v/>
      </c>
      <c r="B2708" s="2" t="n">
        <v>43145.2912037037</v>
      </c>
      <c r="C2708" t="n">
        <v>2</v>
      </c>
      <c r="D2708" t="n">
        <v>0</v>
      </c>
      <c r="E2708" t="s">
        <v>2712</v>
      </c>
      <c r="F2708" t="s"/>
      <c r="G2708" t="s"/>
      <c r="H2708" t="s"/>
      <c r="I2708" t="s"/>
      <c r="J2708" t="n">
        <v>-0.3578</v>
      </c>
      <c r="K2708" t="n">
        <v>0.134</v>
      </c>
      <c r="L2708" t="n">
        <v>0.866</v>
      </c>
      <c r="M2708" t="n">
        <v>0</v>
      </c>
    </row>
    <row r="2709" spans="1:13">
      <c r="A2709" s="1">
        <f>HYPERLINK("http://www.twitter.com/NathanBLawrence/status/963667739477970944", "963667739477970944")</f>
        <v/>
      </c>
      <c r="B2709" s="2" t="n">
        <v>43145.2878125</v>
      </c>
      <c r="C2709" t="n">
        <v>4</v>
      </c>
      <c r="D2709" t="n">
        <v>2</v>
      </c>
      <c r="E2709" t="s">
        <v>2713</v>
      </c>
      <c r="F2709" t="s"/>
      <c r="G2709" t="s"/>
      <c r="H2709" t="s"/>
      <c r="I2709" t="s"/>
      <c r="J2709" t="n">
        <v>0.7249</v>
      </c>
      <c r="K2709" t="n">
        <v>0</v>
      </c>
      <c r="L2709" t="n">
        <v>0.805</v>
      </c>
      <c r="M2709" t="n">
        <v>0.195</v>
      </c>
    </row>
    <row r="2710" spans="1:13">
      <c r="A2710" s="1">
        <f>HYPERLINK("http://www.twitter.com/NathanBLawrence/status/963665919582113793", "963665919582113793")</f>
        <v/>
      </c>
      <c r="B2710" s="2" t="n">
        <v>43145.28278935186</v>
      </c>
      <c r="C2710" t="n">
        <v>0</v>
      </c>
      <c r="D2710" t="n">
        <v>457</v>
      </c>
      <c r="E2710" t="s">
        <v>2714</v>
      </c>
      <c r="F2710">
        <f>HYPERLINK("https://video.twimg.com/ext_tw_video/963642795285188608/pu/vid/720x720/I9TvWav5xI4pq4ZX.mp4", "https://video.twimg.com/ext_tw_video/963642795285188608/pu/vid/720x720/I9TvWav5xI4pq4ZX.mp4")</f>
        <v/>
      </c>
      <c r="G2710" t="s"/>
      <c r="H2710" t="s"/>
      <c r="I2710" t="s"/>
      <c r="J2710" t="n">
        <v>0.6369</v>
      </c>
      <c r="K2710" t="n">
        <v>0</v>
      </c>
      <c r="L2710" t="n">
        <v>0.8110000000000001</v>
      </c>
      <c r="M2710" t="n">
        <v>0.189</v>
      </c>
    </row>
    <row r="2711" spans="1:13">
      <c r="A2711" s="1">
        <f>HYPERLINK("http://www.twitter.com/NathanBLawrence/status/963665699309850625", "963665699309850625")</f>
        <v/>
      </c>
      <c r="B2711" s="2" t="n">
        <v>43145.2821875</v>
      </c>
      <c r="C2711" t="n">
        <v>0</v>
      </c>
      <c r="D2711" t="n">
        <v>976</v>
      </c>
      <c r="E2711" t="s">
        <v>2715</v>
      </c>
      <c r="F2711">
        <f>HYPERLINK("http://pbs.twimg.com/media/DV-O4-QW0AA2Y48.jpg", "http://pbs.twimg.com/media/DV-O4-QW0AA2Y48.jpg")</f>
        <v/>
      </c>
      <c r="G2711" t="s"/>
      <c r="H2711" t="s"/>
      <c r="I2711" t="s"/>
      <c r="J2711" t="n">
        <v>0</v>
      </c>
      <c r="K2711" t="n">
        <v>0</v>
      </c>
      <c r="L2711" t="n">
        <v>1</v>
      </c>
      <c r="M2711" t="n">
        <v>0</v>
      </c>
    </row>
    <row r="2712" spans="1:13">
      <c r="A2712" s="1">
        <f>HYPERLINK("http://www.twitter.com/NathanBLawrence/status/963661916731265024", "963661916731265024")</f>
        <v/>
      </c>
      <c r="B2712" s="2" t="n">
        <v>43145.27174768518</v>
      </c>
      <c r="C2712" t="n">
        <v>34</v>
      </c>
      <c r="D2712" t="n">
        <v>8</v>
      </c>
      <c r="E2712" t="s">
        <v>2716</v>
      </c>
      <c r="F2712" t="s"/>
      <c r="G2712" t="s"/>
      <c r="H2712" t="s"/>
      <c r="I2712" t="s"/>
      <c r="J2712" t="n">
        <v>0.855</v>
      </c>
      <c r="K2712" t="n">
        <v>0.062</v>
      </c>
      <c r="L2712" t="n">
        <v>0.533</v>
      </c>
      <c r="M2712" t="n">
        <v>0.405</v>
      </c>
    </row>
    <row r="2713" spans="1:13">
      <c r="A2713" s="1">
        <f>HYPERLINK("http://www.twitter.com/NathanBLawrence/status/963661296779571201", "963661296779571201")</f>
        <v/>
      </c>
      <c r="B2713" s="2" t="n">
        <v>43145.27003472222</v>
      </c>
      <c r="C2713" t="n">
        <v>40</v>
      </c>
      <c r="D2713" t="n">
        <v>8</v>
      </c>
      <c r="E2713" t="s">
        <v>2717</v>
      </c>
      <c r="F2713" t="s"/>
      <c r="G2713" t="s"/>
      <c r="H2713" t="s"/>
      <c r="I2713" t="s"/>
      <c r="J2713" t="n">
        <v>0.9151</v>
      </c>
      <c r="K2713" t="n">
        <v>0.054</v>
      </c>
      <c r="L2713" t="n">
        <v>0.468</v>
      </c>
      <c r="M2713" t="n">
        <v>0.478</v>
      </c>
    </row>
    <row r="2714" spans="1:13">
      <c r="A2714" s="1">
        <f>HYPERLINK("http://www.twitter.com/NathanBLawrence/status/963640974772719617", "963640974772719617")</f>
        <v/>
      </c>
      <c r="B2714" s="2" t="n">
        <v>43145.21395833333</v>
      </c>
      <c r="C2714" t="n">
        <v>34</v>
      </c>
      <c r="D2714" t="n">
        <v>12</v>
      </c>
      <c r="E2714" t="s">
        <v>2718</v>
      </c>
      <c r="F2714" t="s"/>
      <c r="G2714" t="s"/>
      <c r="H2714" t="s"/>
      <c r="I2714" t="s"/>
      <c r="J2714" t="n">
        <v>0.8512999999999999</v>
      </c>
      <c r="K2714" t="n">
        <v>0</v>
      </c>
      <c r="L2714" t="n">
        <v>0.519</v>
      </c>
      <c r="M2714" t="n">
        <v>0.481</v>
      </c>
    </row>
    <row r="2715" spans="1:13">
      <c r="A2715" s="1">
        <f>HYPERLINK("http://www.twitter.com/NathanBLawrence/status/963640434911272962", "963640434911272962")</f>
        <v/>
      </c>
      <c r="B2715" s="2" t="n">
        <v>43145.21246527778</v>
      </c>
      <c r="C2715" t="n">
        <v>0</v>
      </c>
      <c r="D2715" t="n">
        <v>345</v>
      </c>
      <c r="E2715" t="s">
        <v>2719</v>
      </c>
      <c r="F2715">
        <f>HYPERLINK("https://video.twimg.com/ext_tw_video/963602637290483712/pu/vid/512x360/KOJMXo_WKLqbjyxM.mp4", "https://video.twimg.com/ext_tw_video/963602637290483712/pu/vid/512x360/KOJMXo_WKLqbjyxM.mp4")</f>
        <v/>
      </c>
      <c r="G2715" t="s"/>
      <c r="H2715" t="s"/>
      <c r="I2715" t="s"/>
      <c r="J2715" t="n">
        <v>0.3182</v>
      </c>
      <c r="K2715" t="n">
        <v>0</v>
      </c>
      <c r="L2715" t="n">
        <v>0.881</v>
      </c>
      <c r="M2715" t="n">
        <v>0.119</v>
      </c>
    </row>
    <row r="2716" spans="1:13">
      <c r="A2716" s="1">
        <f>HYPERLINK("http://www.twitter.com/NathanBLawrence/status/963640123073187840", "963640123073187840")</f>
        <v/>
      </c>
      <c r="B2716" s="2" t="n">
        <v>43145.21160879629</v>
      </c>
      <c r="C2716" t="n">
        <v>31</v>
      </c>
      <c r="D2716" t="n">
        <v>11</v>
      </c>
      <c r="E2716" t="s">
        <v>2720</v>
      </c>
      <c r="F2716" t="s"/>
      <c r="G2716" t="s"/>
      <c r="H2716" t="s"/>
      <c r="I2716" t="s"/>
      <c r="J2716" t="n">
        <v>-0.944</v>
      </c>
      <c r="K2716" t="n">
        <v>0.407</v>
      </c>
      <c r="L2716" t="n">
        <v>0.593</v>
      </c>
      <c r="M2716" t="n">
        <v>0</v>
      </c>
    </row>
    <row r="2717" spans="1:13">
      <c r="A2717" s="1">
        <f>HYPERLINK("http://www.twitter.com/NathanBLawrence/status/963638861850136576", "963638861850136576")</f>
        <v/>
      </c>
      <c r="B2717" s="2" t="n">
        <v>43145.208125</v>
      </c>
      <c r="C2717" t="n">
        <v>0</v>
      </c>
      <c r="D2717" t="n">
        <v>554</v>
      </c>
      <c r="E2717" t="s">
        <v>2721</v>
      </c>
      <c r="F2717" t="s"/>
      <c r="G2717" t="s"/>
      <c r="H2717" t="s"/>
      <c r="I2717" t="s"/>
      <c r="J2717" t="n">
        <v>0.836</v>
      </c>
      <c r="K2717" t="n">
        <v>0</v>
      </c>
      <c r="L2717" t="n">
        <v>0.656</v>
      </c>
      <c r="M2717" t="n">
        <v>0.344</v>
      </c>
    </row>
    <row r="2718" spans="1:13">
      <c r="A2718" s="1">
        <f>HYPERLINK("http://www.twitter.com/NathanBLawrence/status/963631504499802113", "963631504499802113")</f>
        <v/>
      </c>
      <c r="B2718" s="2" t="n">
        <v>43145.18782407408</v>
      </c>
      <c r="C2718" t="n">
        <v>0</v>
      </c>
      <c r="D2718" t="n">
        <v>467</v>
      </c>
      <c r="E2718" t="s">
        <v>2722</v>
      </c>
      <c r="F2718" t="s"/>
      <c r="G2718" t="s"/>
      <c r="H2718" t="s"/>
      <c r="I2718" t="s"/>
      <c r="J2718" t="n">
        <v>-0.4824</v>
      </c>
      <c r="K2718" t="n">
        <v>0.148</v>
      </c>
      <c r="L2718" t="n">
        <v>0.852</v>
      </c>
      <c r="M2718" t="n">
        <v>0</v>
      </c>
    </row>
    <row r="2719" spans="1:13">
      <c r="A2719" s="1">
        <f>HYPERLINK("http://www.twitter.com/NathanBLawrence/status/963631441962848257", "963631441962848257")</f>
        <v/>
      </c>
      <c r="B2719" s="2" t="n">
        <v>43145.18765046296</v>
      </c>
      <c r="C2719" t="n">
        <v>0</v>
      </c>
      <c r="D2719" t="n">
        <v>410</v>
      </c>
      <c r="E2719" t="s">
        <v>2723</v>
      </c>
      <c r="F2719">
        <f>HYPERLINK("http://pbs.twimg.com/media/DV9Be7cVoAANanJ.jpg", "http://pbs.twimg.com/media/DV9Be7cVoAANanJ.jpg")</f>
        <v/>
      </c>
      <c r="G2719" t="s"/>
      <c r="H2719" t="s"/>
      <c r="I2719" t="s"/>
      <c r="J2719" t="n">
        <v>-0.4939</v>
      </c>
      <c r="K2719" t="n">
        <v>0.167</v>
      </c>
      <c r="L2719" t="n">
        <v>0.833</v>
      </c>
      <c r="M2719" t="n">
        <v>0</v>
      </c>
    </row>
    <row r="2720" spans="1:13">
      <c r="A2720" s="1">
        <f>HYPERLINK("http://www.twitter.com/NathanBLawrence/status/963631213520084992", "963631213520084992")</f>
        <v/>
      </c>
      <c r="B2720" s="2" t="n">
        <v>43145.18702546296</v>
      </c>
      <c r="C2720" t="n">
        <v>0</v>
      </c>
      <c r="D2720" t="n">
        <v>324</v>
      </c>
      <c r="E2720" t="s">
        <v>2724</v>
      </c>
      <c r="F2720" t="s"/>
      <c r="G2720" t="s"/>
      <c r="H2720" t="s"/>
      <c r="I2720" t="s"/>
      <c r="J2720" t="n">
        <v>0.2263</v>
      </c>
      <c r="K2720" t="n">
        <v>0.064</v>
      </c>
      <c r="L2720" t="n">
        <v>0.844</v>
      </c>
      <c r="M2720" t="n">
        <v>0.092</v>
      </c>
    </row>
    <row r="2721" spans="1:13">
      <c r="A2721" s="1">
        <f>HYPERLINK("http://www.twitter.com/NathanBLawrence/status/963628520130916353", "963628520130916353")</f>
        <v/>
      </c>
      <c r="B2721" s="2" t="n">
        <v>43145.17959490741</v>
      </c>
      <c r="C2721" t="n">
        <v>0</v>
      </c>
      <c r="D2721" t="n">
        <v>1587</v>
      </c>
      <c r="E2721" t="s">
        <v>2725</v>
      </c>
      <c r="F2721" t="s"/>
      <c r="G2721" t="s"/>
      <c r="H2721" t="s"/>
      <c r="I2721" t="s"/>
      <c r="J2721" t="n">
        <v>-0.3818</v>
      </c>
      <c r="K2721" t="n">
        <v>0.094</v>
      </c>
      <c r="L2721" t="n">
        <v>0.906</v>
      </c>
      <c r="M2721" t="n">
        <v>0</v>
      </c>
    </row>
    <row r="2722" spans="1:13">
      <c r="A2722" s="1">
        <f>HYPERLINK("http://www.twitter.com/NathanBLawrence/status/963628424957964288", "963628424957964288")</f>
        <v/>
      </c>
      <c r="B2722" s="2" t="n">
        <v>43145.17932870371</v>
      </c>
      <c r="C2722" t="n">
        <v>0</v>
      </c>
      <c r="D2722" t="n">
        <v>672</v>
      </c>
      <c r="E2722" t="s">
        <v>2726</v>
      </c>
      <c r="F2722" t="s"/>
      <c r="G2722" t="s"/>
      <c r="H2722" t="s"/>
      <c r="I2722" t="s"/>
      <c r="J2722" t="n">
        <v>0</v>
      </c>
      <c r="K2722" t="n">
        <v>0</v>
      </c>
      <c r="L2722" t="n">
        <v>1</v>
      </c>
      <c r="M2722" t="n">
        <v>0</v>
      </c>
    </row>
    <row r="2723" spans="1:13">
      <c r="A2723" s="1">
        <f>HYPERLINK("http://www.twitter.com/NathanBLawrence/status/963628363976986625", "963628363976986625")</f>
        <v/>
      </c>
      <c r="B2723" s="2" t="n">
        <v>43145.17915509259</v>
      </c>
      <c r="C2723" t="n">
        <v>0</v>
      </c>
      <c r="D2723" t="n">
        <v>523</v>
      </c>
      <c r="E2723" t="s">
        <v>2727</v>
      </c>
      <c r="F2723" t="s"/>
      <c r="G2723" t="s"/>
      <c r="H2723" t="s"/>
      <c r="I2723" t="s"/>
      <c r="J2723" t="n">
        <v>-0.1779</v>
      </c>
      <c r="K2723" t="n">
        <v>0.124</v>
      </c>
      <c r="L2723" t="n">
        <v>0.791</v>
      </c>
      <c r="M2723" t="n">
        <v>0.08500000000000001</v>
      </c>
    </row>
    <row r="2724" spans="1:13">
      <c r="A2724" s="1">
        <f>HYPERLINK("http://www.twitter.com/NathanBLawrence/status/963628204924854274", "963628204924854274")</f>
        <v/>
      </c>
      <c r="B2724" s="2" t="n">
        <v>43145.17872685185</v>
      </c>
      <c r="C2724" t="n">
        <v>0</v>
      </c>
      <c r="D2724" t="n">
        <v>2017</v>
      </c>
      <c r="E2724" t="s">
        <v>2728</v>
      </c>
      <c r="F2724">
        <f>HYPERLINK("http://pbs.twimg.com/media/DV9RLiuXkAEVQTp.jpg", "http://pbs.twimg.com/media/DV9RLiuXkAEVQTp.jpg")</f>
        <v/>
      </c>
      <c r="G2724" t="s"/>
      <c r="H2724" t="s"/>
      <c r="I2724" t="s"/>
      <c r="J2724" t="n">
        <v>0.9042</v>
      </c>
      <c r="K2724" t="n">
        <v>0</v>
      </c>
      <c r="L2724" t="n">
        <v>0.603</v>
      </c>
      <c r="M2724" t="n">
        <v>0.397</v>
      </c>
    </row>
    <row r="2725" spans="1:13">
      <c r="A2725" s="1">
        <f>HYPERLINK("http://www.twitter.com/NathanBLawrence/status/963628145013293057", "963628145013293057")</f>
        <v/>
      </c>
      <c r="B2725" s="2" t="n">
        <v>43145.17855324074</v>
      </c>
      <c r="C2725" t="n">
        <v>0</v>
      </c>
      <c r="D2725" t="n">
        <v>1438</v>
      </c>
      <c r="E2725" t="s">
        <v>2729</v>
      </c>
      <c r="F2725" t="s"/>
      <c r="G2725" t="s"/>
      <c r="H2725" t="s"/>
      <c r="I2725" t="s"/>
      <c r="J2725" t="n">
        <v>0</v>
      </c>
      <c r="K2725" t="n">
        <v>0</v>
      </c>
      <c r="L2725" t="n">
        <v>1</v>
      </c>
      <c r="M2725" t="n">
        <v>0</v>
      </c>
    </row>
    <row r="2726" spans="1:13">
      <c r="A2726" s="1">
        <f>HYPERLINK("http://www.twitter.com/NathanBLawrence/status/963628057243262976", "963628057243262976")</f>
        <v/>
      </c>
      <c r="B2726" s="2" t="n">
        <v>43145.17831018518</v>
      </c>
      <c r="C2726" t="n">
        <v>0</v>
      </c>
      <c r="D2726" t="n">
        <v>4678</v>
      </c>
      <c r="E2726" t="s">
        <v>2730</v>
      </c>
      <c r="F2726">
        <f>HYPERLINK("https://video.twimg.com/ext_tw_video/946159296273842184/pu/vid/480x480/2GGCB58xKiYOn7CN.mp4", "https://video.twimg.com/ext_tw_video/946159296273842184/pu/vid/480x480/2GGCB58xKiYOn7CN.mp4")</f>
        <v/>
      </c>
      <c r="G2726" t="s"/>
      <c r="H2726" t="s"/>
      <c r="I2726" t="s"/>
      <c r="J2726" t="n">
        <v>-0.5574</v>
      </c>
      <c r="K2726" t="n">
        <v>0.195</v>
      </c>
      <c r="L2726" t="n">
        <v>0.805</v>
      </c>
      <c r="M2726" t="n">
        <v>0</v>
      </c>
    </row>
    <row r="2727" spans="1:13">
      <c r="A2727" s="1">
        <f>HYPERLINK("http://www.twitter.com/NathanBLawrence/status/963627909989638144", "963627909989638144")</f>
        <v/>
      </c>
      <c r="B2727" s="2" t="n">
        <v>43145.17790509259</v>
      </c>
      <c r="C2727" t="n">
        <v>0</v>
      </c>
      <c r="D2727" t="n">
        <v>343</v>
      </c>
      <c r="E2727" t="s">
        <v>2731</v>
      </c>
      <c r="F2727">
        <f>HYPERLINK("http://pbs.twimg.com/media/DV9NSvCVMAAdnr5.jpg", "http://pbs.twimg.com/media/DV9NSvCVMAAdnr5.jpg")</f>
        <v/>
      </c>
      <c r="G2727" t="s"/>
      <c r="H2727" t="s"/>
      <c r="I2727" t="s"/>
      <c r="J2727" t="n">
        <v>-0.2023</v>
      </c>
      <c r="K2727" t="n">
        <v>0.127</v>
      </c>
      <c r="L2727" t="n">
        <v>0.8100000000000001</v>
      </c>
      <c r="M2727" t="n">
        <v>0.063</v>
      </c>
    </row>
    <row r="2728" spans="1:13">
      <c r="A2728" s="1">
        <f>HYPERLINK("http://www.twitter.com/NathanBLawrence/status/963627862707204096", "963627862707204096")</f>
        <v/>
      </c>
      <c r="B2728" s="2" t="n">
        <v>43145.17777777778</v>
      </c>
      <c r="C2728" t="n">
        <v>0</v>
      </c>
      <c r="D2728" t="n">
        <v>79</v>
      </c>
      <c r="E2728" t="s">
        <v>2732</v>
      </c>
      <c r="F2728" t="s"/>
      <c r="G2728" t="s"/>
      <c r="H2728" t="s"/>
      <c r="I2728" t="s"/>
      <c r="J2728" t="n">
        <v>0.4019</v>
      </c>
      <c r="K2728" t="n">
        <v>0</v>
      </c>
      <c r="L2728" t="n">
        <v>0.881</v>
      </c>
      <c r="M2728" t="n">
        <v>0.119</v>
      </c>
    </row>
    <row r="2729" spans="1:13">
      <c r="A2729" s="1">
        <f>HYPERLINK("http://www.twitter.com/NathanBLawrence/status/963627754972356608", "963627754972356608")</f>
        <v/>
      </c>
      <c r="B2729" s="2" t="n">
        <v>43145.17747685185</v>
      </c>
      <c r="C2729" t="n">
        <v>0</v>
      </c>
      <c r="D2729" t="n">
        <v>28</v>
      </c>
      <c r="E2729" t="s">
        <v>2733</v>
      </c>
      <c r="F2729">
        <f>HYPERLINK("http://pbs.twimg.com/media/DV5MvS5VAAAyWR8.jpg", "http://pbs.twimg.com/media/DV5MvS5VAAAyWR8.jpg")</f>
        <v/>
      </c>
      <c r="G2729" t="s"/>
      <c r="H2729" t="s"/>
      <c r="I2729" t="s"/>
      <c r="J2729" t="n">
        <v>0.5282</v>
      </c>
      <c r="K2729" t="n">
        <v>0.097</v>
      </c>
      <c r="L2729" t="n">
        <v>0.694</v>
      </c>
      <c r="M2729" t="n">
        <v>0.209</v>
      </c>
    </row>
    <row r="2730" spans="1:13">
      <c r="A2730" s="1">
        <f>HYPERLINK("http://www.twitter.com/NathanBLawrence/status/963627692900757504", "963627692900757504")</f>
        <v/>
      </c>
      <c r="B2730" s="2" t="n">
        <v>43145.17730324074</v>
      </c>
      <c r="C2730" t="n">
        <v>0</v>
      </c>
      <c r="D2730" t="n">
        <v>1832</v>
      </c>
      <c r="E2730" t="s">
        <v>2734</v>
      </c>
      <c r="F2730" t="s"/>
      <c r="G2730" t="s"/>
      <c r="H2730" t="s"/>
      <c r="I2730" t="s"/>
      <c r="J2730" t="n">
        <v>-0.4588</v>
      </c>
      <c r="K2730" t="n">
        <v>0.129</v>
      </c>
      <c r="L2730" t="n">
        <v>0.82</v>
      </c>
      <c r="M2730" t="n">
        <v>0.051</v>
      </c>
    </row>
    <row r="2731" spans="1:13">
      <c r="A2731" s="1">
        <f>HYPERLINK("http://www.twitter.com/NathanBLawrence/status/963627636734943232", "963627636734943232")</f>
        <v/>
      </c>
      <c r="B2731" s="2" t="n">
        <v>43145.17715277777</v>
      </c>
      <c r="C2731" t="n">
        <v>0</v>
      </c>
      <c r="D2731" t="n">
        <v>15808</v>
      </c>
      <c r="E2731" t="s">
        <v>2735</v>
      </c>
      <c r="F2731" t="s"/>
      <c r="G2731" t="s"/>
      <c r="H2731" t="s"/>
      <c r="I2731" t="s"/>
      <c r="J2731" t="n">
        <v>0</v>
      </c>
      <c r="K2731" t="n">
        <v>0</v>
      </c>
      <c r="L2731" t="n">
        <v>1</v>
      </c>
      <c r="M2731" t="n">
        <v>0</v>
      </c>
    </row>
    <row r="2732" spans="1:13">
      <c r="A2732" s="1">
        <f>HYPERLINK("http://www.twitter.com/NathanBLawrence/status/963627463891824640", "963627463891824640")</f>
        <v/>
      </c>
      <c r="B2732" s="2" t="n">
        <v>43145.17667824074</v>
      </c>
      <c r="C2732" t="n">
        <v>0</v>
      </c>
      <c r="D2732" t="n">
        <v>204</v>
      </c>
      <c r="E2732" t="s">
        <v>2736</v>
      </c>
      <c r="F2732" t="s"/>
      <c r="G2732" t="s"/>
      <c r="H2732" t="s"/>
      <c r="I2732" t="s"/>
      <c r="J2732" t="n">
        <v>-0.4511</v>
      </c>
      <c r="K2732" t="n">
        <v>0.191</v>
      </c>
      <c r="L2732" t="n">
        <v>0.698</v>
      </c>
      <c r="M2732" t="n">
        <v>0.111</v>
      </c>
    </row>
    <row r="2733" spans="1:13">
      <c r="A2733" s="1">
        <f>HYPERLINK("http://www.twitter.com/NathanBLawrence/status/963627287710113792", "963627287710113792")</f>
        <v/>
      </c>
      <c r="B2733" s="2" t="n">
        <v>43145.17619212963</v>
      </c>
      <c r="C2733" t="n">
        <v>0</v>
      </c>
      <c r="D2733" t="n">
        <v>553</v>
      </c>
      <c r="E2733" t="s">
        <v>2737</v>
      </c>
      <c r="F2733" t="s"/>
      <c r="G2733" t="s"/>
      <c r="H2733" t="s"/>
      <c r="I2733" t="s"/>
      <c r="J2733" t="n">
        <v>0</v>
      </c>
      <c r="K2733" t="n">
        <v>0.146</v>
      </c>
      <c r="L2733" t="n">
        <v>0.707</v>
      </c>
      <c r="M2733" t="n">
        <v>0.146</v>
      </c>
    </row>
    <row r="2734" spans="1:13">
      <c r="A2734" s="1">
        <f>HYPERLINK("http://www.twitter.com/NathanBLawrence/status/963555750961299456", "963555750961299456")</f>
        <v/>
      </c>
      <c r="B2734" s="2" t="n">
        <v>43144.97878472223</v>
      </c>
      <c r="C2734" t="n">
        <v>17</v>
      </c>
      <c r="D2734" t="n">
        <v>6</v>
      </c>
      <c r="E2734" t="s">
        <v>2738</v>
      </c>
      <c r="F2734" t="s"/>
      <c r="G2734" t="s"/>
      <c r="H2734" t="s"/>
      <c r="I2734" t="s"/>
      <c r="J2734" t="n">
        <v>0</v>
      </c>
      <c r="K2734" t="n">
        <v>0</v>
      </c>
      <c r="L2734" t="n">
        <v>1</v>
      </c>
      <c r="M2734" t="n">
        <v>0</v>
      </c>
    </row>
    <row r="2735" spans="1:13">
      <c r="A2735" s="1">
        <f>HYPERLINK("http://www.twitter.com/NathanBLawrence/status/963555561865269252", "963555561865269252")</f>
        <v/>
      </c>
      <c r="B2735" s="2" t="n">
        <v>43144.97826388889</v>
      </c>
      <c r="C2735" t="n">
        <v>0</v>
      </c>
      <c r="D2735" t="n">
        <v>60</v>
      </c>
      <c r="E2735" t="s">
        <v>2739</v>
      </c>
      <c r="F2735">
        <f>HYPERLINK("http://pbs.twimg.com/media/DVNHURWW4AEEgfv.jpg", "http://pbs.twimg.com/media/DVNHURWW4AEEgfv.jpg")</f>
        <v/>
      </c>
      <c r="G2735" t="s"/>
      <c r="H2735" t="s"/>
      <c r="I2735" t="s"/>
      <c r="J2735" t="n">
        <v>0.2732</v>
      </c>
      <c r="K2735" t="n">
        <v>0</v>
      </c>
      <c r="L2735" t="n">
        <v>0.896</v>
      </c>
      <c r="M2735" t="n">
        <v>0.104</v>
      </c>
    </row>
    <row r="2736" spans="1:13">
      <c r="A2736" s="1">
        <f>HYPERLINK("http://www.twitter.com/NathanBLawrence/status/963492317763006464", "963492317763006464")</f>
        <v/>
      </c>
      <c r="B2736" s="2" t="n">
        <v>43144.80375</v>
      </c>
      <c r="C2736" t="n">
        <v>0</v>
      </c>
      <c r="D2736" t="n">
        <v>2208</v>
      </c>
      <c r="E2736" t="s">
        <v>2740</v>
      </c>
      <c r="F2736" t="s"/>
      <c r="G2736" t="s"/>
      <c r="H2736" t="s"/>
      <c r="I2736" t="s"/>
      <c r="J2736" t="n">
        <v>-0.9106</v>
      </c>
      <c r="K2736" t="n">
        <v>0.416</v>
      </c>
      <c r="L2736" t="n">
        <v>0.584</v>
      </c>
      <c r="M2736" t="n">
        <v>0</v>
      </c>
    </row>
    <row r="2737" spans="1:13">
      <c r="A2737" s="1">
        <f>HYPERLINK("http://www.twitter.com/NathanBLawrence/status/963492076540239872", "963492076540239872")</f>
        <v/>
      </c>
      <c r="B2737" s="2" t="n">
        <v>43144.80307870371</v>
      </c>
      <c r="C2737" t="n">
        <v>0</v>
      </c>
      <c r="D2737" t="n">
        <v>266</v>
      </c>
      <c r="E2737" t="s">
        <v>2741</v>
      </c>
      <c r="F2737" t="s"/>
      <c r="G2737" t="s"/>
      <c r="H2737" t="s"/>
      <c r="I2737" t="s"/>
      <c r="J2737" t="n">
        <v>0.5266999999999999</v>
      </c>
      <c r="K2737" t="n">
        <v>0</v>
      </c>
      <c r="L2737" t="n">
        <v>0.848</v>
      </c>
      <c r="M2737" t="n">
        <v>0.152</v>
      </c>
    </row>
    <row r="2738" spans="1:13">
      <c r="A2738" s="1">
        <f>HYPERLINK("http://www.twitter.com/NathanBLawrence/status/963491822679961601", "963491822679961601")</f>
        <v/>
      </c>
      <c r="B2738" s="2" t="n">
        <v>43144.80237268518</v>
      </c>
      <c r="C2738" t="n">
        <v>0</v>
      </c>
      <c r="D2738" t="n">
        <v>19</v>
      </c>
      <c r="E2738" t="s">
        <v>2742</v>
      </c>
      <c r="F2738">
        <f>HYPERLINK("http://pbs.twimg.com/media/DV75aBnVAAEmeuf.jpg", "http://pbs.twimg.com/media/DV75aBnVAAEmeuf.jpg")</f>
        <v/>
      </c>
      <c r="G2738" t="s"/>
      <c r="H2738" t="s"/>
      <c r="I2738" t="s"/>
      <c r="J2738" t="n">
        <v>0</v>
      </c>
      <c r="K2738" t="n">
        <v>0</v>
      </c>
      <c r="L2738" t="n">
        <v>1</v>
      </c>
      <c r="M2738" t="n">
        <v>0</v>
      </c>
    </row>
    <row r="2739" spans="1:13">
      <c r="A2739" s="1">
        <f>HYPERLINK("http://www.twitter.com/NathanBLawrence/status/963491749023764481", "963491749023764481")</f>
        <v/>
      </c>
      <c r="B2739" s="2" t="n">
        <v>43144.80217592593</v>
      </c>
      <c r="C2739" t="n">
        <v>0</v>
      </c>
      <c r="D2739" t="n">
        <v>22018</v>
      </c>
      <c r="E2739" t="s">
        <v>2743</v>
      </c>
      <c r="F2739" t="s"/>
      <c r="G2739" t="s"/>
      <c r="H2739" t="s"/>
      <c r="I2739" t="s"/>
      <c r="J2739" t="n">
        <v>0.1531</v>
      </c>
      <c r="K2739" t="n">
        <v>0</v>
      </c>
      <c r="L2739" t="n">
        <v>0.88</v>
      </c>
      <c r="M2739" t="n">
        <v>0.12</v>
      </c>
    </row>
    <row r="2740" spans="1:13">
      <c r="A2740" s="1">
        <f>HYPERLINK("http://www.twitter.com/NathanBLawrence/status/963491625149149184", "963491625149149184")</f>
        <v/>
      </c>
      <c r="B2740" s="2" t="n">
        <v>43144.8018287037</v>
      </c>
      <c r="C2740" t="n">
        <v>55</v>
      </c>
      <c r="D2740" t="n">
        <v>25</v>
      </c>
      <c r="E2740" t="s">
        <v>2744</v>
      </c>
      <c r="F2740" t="s"/>
      <c r="G2740" t="s"/>
      <c r="H2740" t="s"/>
      <c r="I2740" t="s"/>
      <c r="J2740" t="n">
        <v>-0.8961</v>
      </c>
      <c r="K2740" t="n">
        <v>0.374</v>
      </c>
      <c r="L2740" t="n">
        <v>0.555</v>
      </c>
      <c r="M2740" t="n">
        <v>0.07099999999999999</v>
      </c>
    </row>
    <row r="2741" spans="1:13">
      <c r="A2741" s="1">
        <f>HYPERLINK("http://www.twitter.com/NathanBLawrence/status/963490584689176577", "963490584689176577")</f>
        <v/>
      </c>
      <c r="B2741" s="2" t="n">
        <v>43144.79895833333</v>
      </c>
      <c r="C2741" t="n">
        <v>0</v>
      </c>
      <c r="D2741" t="n">
        <v>3544</v>
      </c>
      <c r="E2741" t="s">
        <v>2745</v>
      </c>
      <c r="F2741" t="s"/>
      <c r="G2741" t="s"/>
      <c r="H2741" t="s"/>
      <c r="I2741" t="s"/>
      <c r="J2741" t="n">
        <v>0</v>
      </c>
      <c r="K2741" t="n">
        <v>0</v>
      </c>
      <c r="L2741" t="n">
        <v>1</v>
      </c>
      <c r="M2741" t="n">
        <v>0</v>
      </c>
    </row>
    <row r="2742" spans="1:13">
      <c r="A2742" s="1">
        <f>HYPERLINK("http://www.twitter.com/NathanBLawrence/status/963490518226288640", "963490518226288640")</f>
        <v/>
      </c>
      <c r="B2742" s="2" t="n">
        <v>43144.79877314815</v>
      </c>
      <c r="C2742" t="n">
        <v>0</v>
      </c>
      <c r="D2742" t="n">
        <v>84</v>
      </c>
      <c r="E2742" t="s">
        <v>2746</v>
      </c>
      <c r="F2742" t="s"/>
      <c r="G2742" t="s"/>
      <c r="H2742" t="s"/>
      <c r="I2742" t="s"/>
      <c r="J2742" t="n">
        <v>-0.4767</v>
      </c>
      <c r="K2742" t="n">
        <v>0.177</v>
      </c>
      <c r="L2742" t="n">
        <v>0.823</v>
      </c>
      <c r="M2742" t="n">
        <v>0</v>
      </c>
    </row>
    <row r="2743" spans="1:13">
      <c r="A2743" s="1">
        <f>HYPERLINK("http://www.twitter.com/NathanBLawrence/status/963490274344296448", "963490274344296448")</f>
        <v/>
      </c>
      <c r="B2743" s="2" t="n">
        <v>43144.79810185185</v>
      </c>
      <c r="C2743" t="n">
        <v>0</v>
      </c>
      <c r="D2743" t="n">
        <v>1150</v>
      </c>
      <c r="E2743" t="s">
        <v>2747</v>
      </c>
      <c r="F2743">
        <f>HYPERLINK("https://video.twimg.com/amplify_video/962843792884862977/vid/1280x720/UerSTk0W3OrRt-71.mp4", "https://video.twimg.com/amplify_video/962843792884862977/vid/1280x720/UerSTk0W3OrRt-71.mp4")</f>
        <v/>
      </c>
      <c r="G2743" t="s"/>
      <c r="H2743" t="s"/>
      <c r="I2743" t="s"/>
      <c r="J2743" t="n">
        <v>-0.2263</v>
      </c>
      <c r="K2743" t="n">
        <v>0.083</v>
      </c>
      <c r="L2743" t="n">
        <v>0.917</v>
      </c>
      <c r="M2743" t="n">
        <v>0</v>
      </c>
    </row>
    <row r="2744" spans="1:13">
      <c r="A2744" s="1">
        <f>HYPERLINK("http://www.twitter.com/NathanBLawrence/status/963490031674380288", "963490031674380288")</f>
        <v/>
      </c>
      <c r="B2744" s="2" t="n">
        <v>43144.79743055555</v>
      </c>
      <c r="C2744" t="n">
        <v>0</v>
      </c>
      <c r="D2744" t="n">
        <v>5920</v>
      </c>
      <c r="E2744" t="s">
        <v>2748</v>
      </c>
      <c r="F2744" t="s"/>
      <c r="G2744" t="s"/>
      <c r="H2744" t="s"/>
      <c r="I2744" t="s"/>
      <c r="J2744" t="n">
        <v>0</v>
      </c>
      <c r="K2744" t="n">
        <v>0</v>
      </c>
      <c r="L2744" t="n">
        <v>1</v>
      </c>
      <c r="M2744" t="n">
        <v>0</v>
      </c>
    </row>
    <row r="2745" spans="1:13">
      <c r="A2745" s="1">
        <f>HYPERLINK("http://www.twitter.com/NathanBLawrence/status/963489919434833920", "963489919434833920")</f>
        <v/>
      </c>
      <c r="B2745" s="2" t="n">
        <v>43144.79712962963</v>
      </c>
      <c r="C2745" t="n">
        <v>0</v>
      </c>
      <c r="D2745" t="n">
        <v>347</v>
      </c>
      <c r="E2745" t="s">
        <v>2749</v>
      </c>
      <c r="F2745">
        <f>HYPERLINK("http://pbs.twimg.com/media/DV7xOfZXkAEsfB2.jpg", "http://pbs.twimg.com/media/DV7xOfZXkAEsfB2.jpg")</f>
        <v/>
      </c>
      <c r="G2745" t="s"/>
      <c r="H2745" t="s"/>
      <c r="I2745" t="s"/>
      <c r="J2745" t="n">
        <v>-0.5386</v>
      </c>
      <c r="K2745" t="n">
        <v>0.136</v>
      </c>
      <c r="L2745" t="n">
        <v>0.864</v>
      </c>
      <c r="M2745" t="n">
        <v>0</v>
      </c>
    </row>
    <row r="2746" spans="1:13">
      <c r="A2746" s="1">
        <f>HYPERLINK("http://www.twitter.com/NathanBLawrence/status/963489855266111488", "963489855266111488")</f>
        <v/>
      </c>
      <c r="B2746" s="2" t="n">
        <v>43144.79694444445</v>
      </c>
      <c r="C2746" t="n">
        <v>0</v>
      </c>
      <c r="D2746" t="n">
        <v>120</v>
      </c>
      <c r="E2746" t="s">
        <v>2750</v>
      </c>
      <c r="F2746">
        <f>HYPERLINK("http://pbs.twimg.com/media/DV6m6UdVMAAUf2X.jpg", "http://pbs.twimg.com/media/DV6m6UdVMAAUf2X.jpg")</f>
        <v/>
      </c>
      <c r="G2746" t="s"/>
      <c r="H2746" t="s"/>
      <c r="I2746" t="s"/>
      <c r="J2746" t="n">
        <v>-0.2285</v>
      </c>
      <c r="K2746" t="n">
        <v>0.228</v>
      </c>
      <c r="L2746" t="n">
        <v>0.598</v>
      </c>
      <c r="M2746" t="n">
        <v>0.174</v>
      </c>
    </row>
    <row r="2747" spans="1:13">
      <c r="A2747" s="1">
        <f>HYPERLINK("http://www.twitter.com/NathanBLawrence/status/963489531792994304", "963489531792994304")</f>
        <v/>
      </c>
      <c r="B2747" s="2" t="n">
        <v>43144.79605324074</v>
      </c>
      <c r="C2747" t="n">
        <v>22</v>
      </c>
      <c r="D2747" t="n">
        <v>9</v>
      </c>
      <c r="E2747" t="s">
        <v>2751</v>
      </c>
      <c r="F2747" t="s"/>
      <c r="G2747" t="s"/>
      <c r="H2747" t="s"/>
      <c r="I2747" t="s"/>
      <c r="J2747" t="n">
        <v>-0.8692</v>
      </c>
      <c r="K2747" t="n">
        <v>0.253</v>
      </c>
      <c r="L2747" t="n">
        <v>0.747</v>
      </c>
      <c r="M2747" t="n">
        <v>0</v>
      </c>
    </row>
    <row r="2748" spans="1:13">
      <c r="A2748" s="1">
        <f>HYPERLINK("http://www.twitter.com/NathanBLawrence/status/963488535499104256", "963488535499104256")</f>
        <v/>
      </c>
      <c r="B2748" s="2" t="n">
        <v>43144.79331018519</v>
      </c>
      <c r="C2748" t="n">
        <v>0</v>
      </c>
      <c r="D2748" t="n">
        <v>1542</v>
      </c>
      <c r="E2748" t="s">
        <v>2752</v>
      </c>
      <c r="F2748" t="s"/>
      <c r="G2748" t="s"/>
      <c r="H2748" t="s"/>
      <c r="I2748" t="s"/>
      <c r="J2748" t="n">
        <v>-0.8658</v>
      </c>
      <c r="K2748" t="n">
        <v>0.314</v>
      </c>
      <c r="L2748" t="n">
        <v>0.6860000000000001</v>
      </c>
      <c r="M2748" t="n">
        <v>0</v>
      </c>
    </row>
    <row r="2749" spans="1:13">
      <c r="A2749" s="1">
        <f>HYPERLINK("http://www.twitter.com/NathanBLawrence/status/963488277289353216", "963488277289353216")</f>
        <v/>
      </c>
      <c r="B2749" s="2" t="n">
        <v>43144.7925925926</v>
      </c>
      <c r="C2749" t="n">
        <v>0</v>
      </c>
      <c r="D2749" t="n">
        <v>886</v>
      </c>
      <c r="E2749" t="s">
        <v>2753</v>
      </c>
      <c r="F2749">
        <f>HYPERLINK("http://pbs.twimg.com/media/DV3bg6aVMAARvzo.jpg", "http://pbs.twimg.com/media/DV3bg6aVMAARvzo.jpg")</f>
        <v/>
      </c>
      <c r="G2749" t="s"/>
      <c r="H2749" t="s"/>
      <c r="I2749" t="s"/>
      <c r="J2749" t="n">
        <v>0</v>
      </c>
      <c r="K2749" t="n">
        <v>0</v>
      </c>
      <c r="L2749" t="n">
        <v>1</v>
      </c>
      <c r="M2749" t="n">
        <v>0</v>
      </c>
    </row>
    <row r="2750" spans="1:13">
      <c r="A2750" s="1">
        <f>HYPERLINK("http://www.twitter.com/NathanBLawrence/status/963488171672551424", "963488171672551424")</f>
        <v/>
      </c>
      <c r="B2750" s="2" t="n">
        <v>43144.79230324074</v>
      </c>
      <c r="C2750" t="n">
        <v>0</v>
      </c>
      <c r="D2750" t="n">
        <v>871</v>
      </c>
      <c r="E2750" t="s">
        <v>2754</v>
      </c>
      <c r="F2750" t="s"/>
      <c r="G2750" t="s"/>
      <c r="H2750" t="s"/>
      <c r="I2750" t="s"/>
      <c r="J2750" t="n">
        <v>0</v>
      </c>
      <c r="K2750" t="n">
        <v>0</v>
      </c>
      <c r="L2750" t="n">
        <v>1</v>
      </c>
      <c r="M2750" t="n">
        <v>0</v>
      </c>
    </row>
    <row r="2751" spans="1:13">
      <c r="A2751" s="1">
        <f>HYPERLINK("http://www.twitter.com/NathanBLawrence/status/963488066269716480", "963488066269716480")</f>
        <v/>
      </c>
      <c r="B2751" s="2" t="n">
        <v>43144.79201388889</v>
      </c>
      <c r="C2751" t="n">
        <v>0</v>
      </c>
      <c r="D2751" t="n">
        <v>599</v>
      </c>
      <c r="E2751" t="s">
        <v>2755</v>
      </c>
      <c r="F2751" t="s"/>
      <c r="G2751" t="s"/>
      <c r="H2751" t="s"/>
      <c r="I2751" t="s"/>
      <c r="J2751" t="n">
        <v>0.5106000000000001</v>
      </c>
      <c r="K2751" t="n">
        <v>0</v>
      </c>
      <c r="L2751" t="n">
        <v>0.87</v>
      </c>
      <c r="M2751" t="n">
        <v>0.13</v>
      </c>
    </row>
    <row r="2752" spans="1:13">
      <c r="A2752" s="1">
        <f>HYPERLINK("http://www.twitter.com/NathanBLawrence/status/963419301867696128", "963419301867696128")</f>
        <v/>
      </c>
      <c r="B2752" s="2" t="n">
        <v>43144.60225694445</v>
      </c>
      <c r="C2752" t="n">
        <v>0</v>
      </c>
      <c r="D2752" t="n">
        <v>22273</v>
      </c>
      <c r="E2752" t="s">
        <v>2756</v>
      </c>
      <c r="F2752" t="s"/>
      <c r="G2752" t="s"/>
      <c r="H2752" t="s"/>
      <c r="I2752" t="s"/>
      <c r="J2752" t="n">
        <v>0.6249</v>
      </c>
      <c r="K2752" t="n">
        <v>0</v>
      </c>
      <c r="L2752" t="n">
        <v>0.83</v>
      </c>
      <c r="M2752" t="n">
        <v>0.17</v>
      </c>
    </row>
    <row r="2753" spans="1:13">
      <c r="A2753" s="1">
        <f>HYPERLINK("http://www.twitter.com/NathanBLawrence/status/963133049721430016", "963133049721430016")</f>
        <v/>
      </c>
      <c r="B2753" s="2" t="n">
        <v>43143.81234953704</v>
      </c>
      <c r="C2753" t="n">
        <v>0</v>
      </c>
      <c r="D2753" t="n">
        <v>471</v>
      </c>
      <c r="E2753" t="s">
        <v>2757</v>
      </c>
      <c r="F2753">
        <f>HYPERLINK("https://video.twimg.com/amplify_video/963129738494709760/vid/1280x720/AplSTlEkmSksgSKz.mp4", "https://video.twimg.com/amplify_video/963129738494709760/vid/1280x720/AplSTlEkmSksgSKz.mp4")</f>
        <v/>
      </c>
      <c r="G2753" t="s"/>
      <c r="H2753" t="s"/>
      <c r="I2753" t="s"/>
      <c r="J2753" t="n">
        <v>0.34</v>
      </c>
      <c r="K2753" t="n">
        <v>0</v>
      </c>
      <c r="L2753" t="n">
        <v>0.897</v>
      </c>
      <c r="M2753" t="n">
        <v>0.103</v>
      </c>
    </row>
    <row r="2754" spans="1:13">
      <c r="A2754" s="1">
        <f>HYPERLINK("http://www.twitter.com/NathanBLawrence/status/963132936781381632", "963132936781381632")</f>
        <v/>
      </c>
      <c r="B2754" s="2" t="n">
        <v>43143.81203703704</v>
      </c>
      <c r="C2754" t="n">
        <v>0</v>
      </c>
      <c r="D2754" t="n">
        <v>83</v>
      </c>
      <c r="E2754" t="s">
        <v>2758</v>
      </c>
      <c r="F2754" t="s"/>
      <c r="G2754" t="s"/>
      <c r="H2754" t="s"/>
      <c r="I2754" t="s"/>
      <c r="J2754" t="n">
        <v>0</v>
      </c>
      <c r="K2754" t="n">
        <v>0</v>
      </c>
      <c r="L2754" t="n">
        <v>1</v>
      </c>
      <c r="M2754" t="n">
        <v>0</v>
      </c>
    </row>
    <row r="2755" spans="1:13">
      <c r="A2755" s="1">
        <f>HYPERLINK("http://www.twitter.com/NathanBLawrence/status/963132848914890752", "963132848914890752")</f>
        <v/>
      </c>
      <c r="B2755" s="2" t="n">
        <v>43143.81179398148</v>
      </c>
      <c r="C2755" t="n">
        <v>0</v>
      </c>
      <c r="D2755" t="n">
        <v>138</v>
      </c>
      <c r="E2755" t="s">
        <v>2759</v>
      </c>
      <c r="F2755" t="s"/>
      <c r="G2755" t="s"/>
      <c r="H2755" t="s"/>
      <c r="I2755" t="s"/>
      <c r="J2755" t="n">
        <v>0.25</v>
      </c>
      <c r="K2755" t="n">
        <v>0</v>
      </c>
      <c r="L2755" t="n">
        <v>0.92</v>
      </c>
      <c r="M2755" t="n">
        <v>0.08</v>
      </c>
    </row>
    <row r="2756" spans="1:13">
      <c r="A2756" s="1">
        <f>HYPERLINK("http://www.twitter.com/NathanBLawrence/status/962990651305443328", "962990651305443328")</f>
        <v/>
      </c>
      <c r="B2756" s="2" t="n">
        <v>43143.41940972222</v>
      </c>
      <c r="C2756" t="n">
        <v>9</v>
      </c>
      <c r="D2756" t="n">
        <v>4</v>
      </c>
      <c r="E2756" t="s">
        <v>2760</v>
      </c>
      <c r="F2756" t="s"/>
      <c r="G2756" t="s"/>
      <c r="H2756" t="s"/>
      <c r="I2756" t="s"/>
      <c r="J2756" t="n">
        <v>0</v>
      </c>
      <c r="K2756" t="n">
        <v>0</v>
      </c>
      <c r="L2756" t="n">
        <v>1</v>
      </c>
      <c r="M2756" t="n">
        <v>0</v>
      </c>
    </row>
    <row r="2757" spans="1:13">
      <c r="A2757" s="1">
        <f>HYPERLINK("http://www.twitter.com/NathanBLawrence/status/962963836553674755", "962963836553674755")</f>
        <v/>
      </c>
      <c r="B2757" s="2" t="n">
        <v>43143.34541666666</v>
      </c>
      <c r="C2757" t="n">
        <v>26</v>
      </c>
      <c r="D2757" t="n">
        <v>11</v>
      </c>
      <c r="E2757" t="s">
        <v>2761</v>
      </c>
      <c r="F2757" t="s"/>
      <c r="G2757" t="s"/>
      <c r="H2757" t="s"/>
      <c r="I2757" t="s"/>
      <c r="J2757" t="n">
        <v>0</v>
      </c>
      <c r="K2757" t="n">
        <v>0</v>
      </c>
      <c r="L2757" t="n">
        <v>1</v>
      </c>
      <c r="M2757" t="n">
        <v>0</v>
      </c>
    </row>
    <row r="2758" spans="1:13">
      <c r="A2758" s="1">
        <f>HYPERLINK("http://www.twitter.com/NathanBLawrence/status/962917869334839297", "962917869334839297")</f>
        <v/>
      </c>
      <c r="B2758" s="2" t="n">
        <v>43143.21856481482</v>
      </c>
      <c r="C2758" t="n">
        <v>0</v>
      </c>
      <c r="D2758" t="n">
        <v>91</v>
      </c>
      <c r="E2758" t="s">
        <v>2762</v>
      </c>
      <c r="F2758" t="s"/>
      <c r="G2758" t="s"/>
      <c r="H2758" t="s"/>
      <c r="I2758" t="s"/>
      <c r="J2758" t="n">
        <v>0</v>
      </c>
      <c r="K2758" t="n">
        <v>0</v>
      </c>
      <c r="L2758" t="n">
        <v>1</v>
      </c>
      <c r="M2758" t="n">
        <v>0</v>
      </c>
    </row>
    <row r="2759" spans="1:13">
      <c r="A2759" s="1">
        <f>HYPERLINK("http://www.twitter.com/NathanBLawrence/status/962917300281077763", "962917300281077763")</f>
        <v/>
      </c>
      <c r="B2759" s="2" t="n">
        <v>43143.21700231481</v>
      </c>
      <c r="C2759" t="n">
        <v>0</v>
      </c>
      <c r="D2759" t="n">
        <v>910</v>
      </c>
      <c r="E2759" t="s">
        <v>2763</v>
      </c>
      <c r="F2759" t="s"/>
      <c r="G2759" t="s"/>
      <c r="H2759" t="s"/>
      <c r="I2759" t="s"/>
      <c r="J2759" t="n">
        <v>0.8176</v>
      </c>
      <c r="K2759" t="n">
        <v>0.092</v>
      </c>
      <c r="L2759" t="n">
        <v>0.523</v>
      </c>
      <c r="M2759" t="n">
        <v>0.385</v>
      </c>
    </row>
    <row r="2760" spans="1:13">
      <c r="A2760" s="1">
        <f>HYPERLINK("http://www.twitter.com/NathanBLawrence/status/962871969262825473", "962871969262825473")</f>
        <v/>
      </c>
      <c r="B2760" s="2" t="n">
        <v>43143.09190972222</v>
      </c>
      <c r="C2760" t="n">
        <v>31</v>
      </c>
      <c r="D2760" t="n">
        <v>5</v>
      </c>
      <c r="E2760" t="s">
        <v>2764</v>
      </c>
      <c r="F2760">
        <f>HYPERLINK("http://pbs.twimg.com/media/DVzO87yX4AAT3Ts.jpg", "http://pbs.twimg.com/media/DVzO87yX4AAT3Ts.jpg")</f>
        <v/>
      </c>
      <c r="G2760" t="s"/>
      <c r="H2760" t="s"/>
      <c r="I2760" t="s"/>
      <c r="J2760" t="n">
        <v>0</v>
      </c>
      <c r="K2760" t="n">
        <v>0</v>
      </c>
      <c r="L2760" t="n">
        <v>1</v>
      </c>
      <c r="M2760" t="n">
        <v>0</v>
      </c>
    </row>
    <row r="2761" spans="1:13">
      <c r="A2761" s="1">
        <f>HYPERLINK("http://www.twitter.com/NathanBLawrence/status/962788221259165696", "962788221259165696")</f>
        <v/>
      </c>
      <c r="B2761" s="2" t="n">
        <v>43142.86081018519</v>
      </c>
      <c r="C2761" t="n">
        <v>0</v>
      </c>
      <c r="D2761" t="n">
        <v>60</v>
      </c>
      <c r="E2761" t="s">
        <v>2765</v>
      </c>
      <c r="F2761">
        <f>HYPERLINK("http://pbs.twimg.com/media/DVvm0nNUQAAGP7L.jpg", "http://pbs.twimg.com/media/DVvm0nNUQAAGP7L.jpg")</f>
        <v/>
      </c>
      <c r="G2761" t="s"/>
      <c r="H2761" t="s"/>
      <c r="I2761" t="s"/>
      <c r="J2761" t="n">
        <v>0.5719</v>
      </c>
      <c r="K2761" t="n">
        <v>0</v>
      </c>
      <c r="L2761" t="n">
        <v>0.791</v>
      </c>
      <c r="M2761" t="n">
        <v>0.209</v>
      </c>
    </row>
    <row r="2762" spans="1:13">
      <c r="A2762" s="1">
        <f>HYPERLINK("http://www.twitter.com/NathanBLawrence/status/962788157094641664", "962788157094641664")</f>
        <v/>
      </c>
      <c r="B2762" s="2" t="n">
        <v>43142.86063657407</v>
      </c>
      <c r="C2762" t="n">
        <v>0</v>
      </c>
      <c r="D2762" t="n">
        <v>6</v>
      </c>
      <c r="E2762" t="s">
        <v>2766</v>
      </c>
      <c r="F2762" t="s"/>
      <c r="G2762" t="s"/>
      <c r="H2762" t="s"/>
      <c r="I2762" t="s"/>
      <c r="J2762" t="n">
        <v>0.6369</v>
      </c>
      <c r="K2762" t="n">
        <v>0</v>
      </c>
      <c r="L2762" t="n">
        <v>0.588</v>
      </c>
      <c r="M2762" t="n">
        <v>0.412</v>
      </c>
    </row>
    <row r="2763" spans="1:13">
      <c r="A2763" s="1">
        <f>HYPERLINK("http://www.twitter.com/NathanBLawrence/status/962786851198091264", "962786851198091264")</f>
        <v/>
      </c>
      <c r="B2763" s="2" t="n">
        <v>43142.85702546296</v>
      </c>
      <c r="C2763" t="n">
        <v>0</v>
      </c>
      <c r="D2763" t="n">
        <v>20</v>
      </c>
      <c r="E2763" t="s">
        <v>2767</v>
      </c>
      <c r="F2763">
        <f>HYPERLINK("http://pbs.twimg.com/media/DVxvGxBXkAAOhvo.jpg", "http://pbs.twimg.com/media/DVxvGxBXkAAOhvo.jpg")</f>
        <v/>
      </c>
      <c r="G2763" t="s"/>
      <c r="H2763" t="s"/>
      <c r="I2763" t="s"/>
      <c r="J2763" t="n">
        <v>0</v>
      </c>
      <c r="K2763" t="n">
        <v>0</v>
      </c>
      <c r="L2763" t="n">
        <v>1</v>
      </c>
      <c r="M2763" t="n">
        <v>0</v>
      </c>
    </row>
    <row r="2764" spans="1:13">
      <c r="A2764" s="1">
        <f>HYPERLINK("http://www.twitter.com/NathanBLawrence/status/962786739696881664", "962786739696881664")</f>
        <v/>
      </c>
      <c r="B2764" s="2" t="n">
        <v>43142.85672453704</v>
      </c>
      <c r="C2764" t="n">
        <v>0</v>
      </c>
      <c r="D2764" t="n">
        <v>6541</v>
      </c>
      <c r="E2764" t="s">
        <v>2768</v>
      </c>
      <c r="F2764">
        <f>HYPERLINK("http://pbs.twimg.com/media/DVw50JRW0AUanOm.jpg", "http://pbs.twimg.com/media/DVw50JRW0AUanOm.jpg")</f>
        <v/>
      </c>
      <c r="G2764" t="s"/>
      <c r="H2764" t="s"/>
      <c r="I2764" t="s"/>
      <c r="J2764" t="n">
        <v>0.7378</v>
      </c>
      <c r="K2764" t="n">
        <v>0.08</v>
      </c>
      <c r="L2764" t="n">
        <v>0.659</v>
      </c>
      <c r="M2764" t="n">
        <v>0.261</v>
      </c>
    </row>
    <row r="2765" spans="1:13">
      <c r="A2765" s="1">
        <f>HYPERLINK("http://www.twitter.com/NathanBLawrence/status/962786590924849152", "962786590924849152")</f>
        <v/>
      </c>
      <c r="B2765" s="2" t="n">
        <v>43142.85630787037</v>
      </c>
      <c r="C2765" t="n">
        <v>0</v>
      </c>
      <c r="D2765" t="n">
        <v>1731</v>
      </c>
      <c r="E2765" t="s">
        <v>2769</v>
      </c>
      <c r="F2765">
        <f>HYPERLINK("http://pbs.twimg.com/media/DVyAuWxVMAEXKoJ.jpg", "http://pbs.twimg.com/media/DVyAuWxVMAEXKoJ.jpg")</f>
        <v/>
      </c>
      <c r="G2765" t="s"/>
      <c r="H2765" t="s"/>
      <c r="I2765" t="s"/>
      <c r="J2765" t="n">
        <v>0.6486</v>
      </c>
      <c r="K2765" t="n">
        <v>0</v>
      </c>
      <c r="L2765" t="n">
        <v>0.791</v>
      </c>
      <c r="M2765" t="n">
        <v>0.209</v>
      </c>
    </row>
    <row r="2766" spans="1:13">
      <c r="A2766" s="1">
        <f>HYPERLINK("http://www.twitter.com/NathanBLawrence/status/962786148312522752", "962786148312522752")</f>
        <v/>
      </c>
      <c r="B2766" s="2" t="n">
        <v>43142.8550925926</v>
      </c>
      <c r="C2766" t="n">
        <v>0</v>
      </c>
      <c r="D2766" t="n">
        <v>21</v>
      </c>
      <c r="E2766" t="s">
        <v>2770</v>
      </c>
      <c r="F2766">
        <f>HYPERLINK("http://pbs.twimg.com/media/DVx_QLtXcAAOhUp.jpg", "http://pbs.twimg.com/media/DVx_QLtXcAAOhUp.jpg")</f>
        <v/>
      </c>
      <c r="G2766" t="s"/>
      <c r="H2766" t="s"/>
      <c r="I2766" t="s"/>
      <c r="J2766" t="n">
        <v>0.5859</v>
      </c>
      <c r="K2766" t="n">
        <v>0</v>
      </c>
      <c r="L2766" t="n">
        <v>0.798</v>
      </c>
      <c r="M2766" t="n">
        <v>0.202</v>
      </c>
    </row>
    <row r="2767" spans="1:13">
      <c r="A2767" s="1">
        <f>HYPERLINK("http://www.twitter.com/NathanBLawrence/status/962786030192480256", "962786030192480256")</f>
        <v/>
      </c>
      <c r="B2767" s="2" t="n">
        <v>43142.85475694444</v>
      </c>
      <c r="C2767" t="n">
        <v>0</v>
      </c>
      <c r="D2767" t="n">
        <v>23551</v>
      </c>
      <c r="E2767" t="s">
        <v>2771</v>
      </c>
      <c r="F2767" t="s"/>
      <c r="G2767" t="s"/>
      <c r="H2767" t="s"/>
      <c r="I2767" t="s"/>
      <c r="J2767" t="n">
        <v>0.8062</v>
      </c>
      <c r="K2767" t="n">
        <v>0</v>
      </c>
      <c r="L2767" t="n">
        <v>0.712</v>
      </c>
      <c r="M2767" t="n">
        <v>0.288</v>
      </c>
    </row>
    <row r="2768" spans="1:13">
      <c r="A2768" s="1">
        <f>HYPERLINK("http://www.twitter.com/NathanBLawrence/status/962618923198775296", "962618923198775296")</f>
        <v/>
      </c>
      <c r="B2768" s="2" t="n">
        <v>43142.39363425926</v>
      </c>
      <c r="C2768" t="n">
        <v>6</v>
      </c>
      <c r="D2768" t="n">
        <v>6</v>
      </c>
      <c r="E2768" t="s">
        <v>2772</v>
      </c>
      <c r="F2768" t="s"/>
      <c r="G2768" t="s"/>
      <c r="H2768" t="s"/>
      <c r="I2768" t="s"/>
      <c r="J2768" t="n">
        <v>0.6369</v>
      </c>
      <c r="K2768" t="n">
        <v>0</v>
      </c>
      <c r="L2768" t="n">
        <v>0.488</v>
      </c>
      <c r="M2768" t="n">
        <v>0.512</v>
      </c>
    </row>
    <row r="2769" spans="1:13">
      <c r="A2769" s="1">
        <f>HYPERLINK("http://www.twitter.com/NathanBLawrence/status/962618606914740226", "962618606914740226")</f>
        <v/>
      </c>
      <c r="B2769" s="2" t="n">
        <v>43142.3927662037</v>
      </c>
      <c r="C2769" t="n">
        <v>0</v>
      </c>
      <c r="D2769" t="n">
        <v>590</v>
      </c>
      <c r="E2769" t="s">
        <v>2773</v>
      </c>
      <c r="F2769">
        <f>HYPERLINK("http://pbs.twimg.com/media/DVtAMEJW4AAE3Mh.jpg", "http://pbs.twimg.com/media/DVtAMEJW4AAE3Mh.jpg")</f>
        <v/>
      </c>
      <c r="G2769" t="s"/>
      <c r="H2769" t="s"/>
      <c r="I2769" t="s"/>
      <c r="J2769" t="n">
        <v>-0.296</v>
      </c>
      <c r="K2769" t="n">
        <v>0.355</v>
      </c>
      <c r="L2769" t="n">
        <v>0.645</v>
      </c>
      <c r="M2769" t="n">
        <v>0</v>
      </c>
    </row>
    <row r="2770" spans="1:13">
      <c r="A2770" s="1">
        <f>HYPERLINK("http://www.twitter.com/NathanBLawrence/status/962618293746978816", "962618293746978816")</f>
        <v/>
      </c>
      <c r="B2770" s="2" t="n">
        <v>43142.39189814815</v>
      </c>
      <c r="C2770" t="n">
        <v>0</v>
      </c>
      <c r="D2770" t="n">
        <v>726</v>
      </c>
      <c r="E2770" t="s">
        <v>2774</v>
      </c>
      <c r="F2770" t="s"/>
      <c r="G2770" t="s"/>
      <c r="H2770" t="s"/>
      <c r="I2770" t="s"/>
      <c r="J2770" t="n">
        <v>0.2023</v>
      </c>
      <c r="K2770" t="n">
        <v>0</v>
      </c>
      <c r="L2770" t="n">
        <v>0.904</v>
      </c>
      <c r="M2770" t="n">
        <v>0.096</v>
      </c>
    </row>
    <row r="2771" spans="1:13">
      <c r="A2771" s="1">
        <f>HYPERLINK("http://www.twitter.com/NathanBLawrence/status/962617925612875776", "962617925612875776")</f>
        <v/>
      </c>
      <c r="B2771" s="2" t="n">
        <v>43142.39087962963</v>
      </c>
      <c r="C2771" t="n">
        <v>6</v>
      </c>
      <c r="D2771" t="n">
        <v>1</v>
      </c>
      <c r="E2771" t="s">
        <v>2775</v>
      </c>
      <c r="F2771" t="s"/>
      <c r="G2771" t="s"/>
      <c r="H2771" t="s"/>
      <c r="I2771" t="s"/>
      <c r="J2771" t="n">
        <v>0.6369</v>
      </c>
      <c r="K2771" t="n">
        <v>0</v>
      </c>
      <c r="L2771" t="n">
        <v>0.323</v>
      </c>
      <c r="M2771" t="n">
        <v>0.677</v>
      </c>
    </row>
    <row r="2772" spans="1:13">
      <c r="A2772" s="1">
        <f>HYPERLINK("http://www.twitter.com/NathanBLawrence/status/962617396618932224", "962617396618932224")</f>
        <v/>
      </c>
      <c r="B2772" s="2" t="n">
        <v>43142.3894212963</v>
      </c>
      <c r="C2772" t="n">
        <v>55</v>
      </c>
      <c r="D2772" t="n">
        <v>39</v>
      </c>
      <c r="E2772" t="s">
        <v>2776</v>
      </c>
      <c r="F2772">
        <f>HYPERLINK("http://pbs.twimg.com/media/DVvnXV9VwAA81Ag.jpg", "http://pbs.twimg.com/media/DVvnXV9VwAA81Ag.jpg")</f>
        <v/>
      </c>
      <c r="G2772" t="s"/>
      <c r="H2772" t="s"/>
      <c r="I2772" t="s"/>
      <c r="J2772" t="n">
        <v>0</v>
      </c>
      <c r="K2772" t="n">
        <v>0</v>
      </c>
      <c r="L2772" t="n">
        <v>1</v>
      </c>
      <c r="M2772" t="n">
        <v>0</v>
      </c>
    </row>
    <row r="2773" spans="1:13">
      <c r="A2773" s="1">
        <f>HYPERLINK("http://www.twitter.com/NathanBLawrence/status/962617224216199168", "962617224216199168")</f>
        <v/>
      </c>
      <c r="B2773" s="2" t="n">
        <v>43142.38894675926</v>
      </c>
      <c r="C2773" t="n">
        <v>24</v>
      </c>
      <c r="D2773" t="n">
        <v>14</v>
      </c>
      <c r="E2773" t="s">
        <v>2777</v>
      </c>
      <c r="F2773">
        <f>HYPERLINK("http://pbs.twimg.com/media/DVvnO8BVQAAe80b.jpg", "http://pbs.twimg.com/media/DVvnO8BVQAAe80b.jpg")</f>
        <v/>
      </c>
      <c r="G2773" t="s"/>
      <c r="H2773" t="s"/>
      <c r="I2773" t="s"/>
      <c r="J2773" t="n">
        <v>0</v>
      </c>
      <c r="K2773" t="n">
        <v>0</v>
      </c>
      <c r="L2773" t="n">
        <v>1</v>
      </c>
      <c r="M2773" t="n">
        <v>0</v>
      </c>
    </row>
    <row r="2774" spans="1:13">
      <c r="A2774" s="1">
        <f>HYPERLINK("http://www.twitter.com/NathanBLawrence/status/962617056603488256", "962617056603488256")</f>
        <v/>
      </c>
      <c r="B2774" s="2" t="n">
        <v>43142.3884837963</v>
      </c>
      <c r="C2774" t="n">
        <v>140</v>
      </c>
      <c r="D2774" t="n">
        <v>60</v>
      </c>
      <c r="E2774" t="s">
        <v>2778</v>
      </c>
      <c r="F2774">
        <f>HYPERLINK("http://pbs.twimg.com/media/DVvm0nNUQAAGP7L.jpg", "http://pbs.twimg.com/media/DVvm0nNUQAAGP7L.jpg")</f>
        <v/>
      </c>
      <c r="G2774" t="s"/>
      <c r="H2774" t="s"/>
      <c r="I2774" t="s"/>
      <c r="J2774" t="n">
        <v>0.5719</v>
      </c>
      <c r="K2774" t="n">
        <v>0</v>
      </c>
      <c r="L2774" t="n">
        <v>0.764</v>
      </c>
      <c r="M2774" t="n">
        <v>0.236</v>
      </c>
    </row>
    <row r="2775" spans="1:13">
      <c r="A2775" s="1">
        <f>HYPERLINK("http://www.twitter.com/NathanBLawrence/status/962558117899718657", "962558117899718657")</f>
        <v/>
      </c>
      <c r="B2775" s="2" t="n">
        <v>43142.22584490741</v>
      </c>
      <c r="C2775" t="n">
        <v>0</v>
      </c>
      <c r="D2775" t="n">
        <v>315</v>
      </c>
      <c r="E2775" t="s">
        <v>2779</v>
      </c>
      <c r="F2775" t="s"/>
      <c r="G2775" t="s"/>
      <c r="H2775" t="s"/>
      <c r="I2775" t="s"/>
      <c r="J2775" t="n">
        <v>0</v>
      </c>
      <c r="K2775" t="n">
        <v>0</v>
      </c>
      <c r="L2775" t="n">
        <v>1</v>
      </c>
      <c r="M2775" t="n">
        <v>0</v>
      </c>
    </row>
    <row r="2776" spans="1:13">
      <c r="A2776" s="1">
        <f>HYPERLINK("http://www.twitter.com/NathanBLawrence/status/962558071129063424", "962558071129063424")</f>
        <v/>
      </c>
      <c r="B2776" s="2" t="n">
        <v>43142.22571759259</v>
      </c>
      <c r="C2776" t="n">
        <v>0</v>
      </c>
      <c r="D2776" t="n">
        <v>3421</v>
      </c>
      <c r="E2776" t="s">
        <v>2780</v>
      </c>
      <c r="F2776">
        <f>HYPERLINK("https://video.twimg.com/amplify_video/960590476750606336/vid/1280x720/9KC2rTsaYiOpNP3o.mp4", "https://video.twimg.com/amplify_video/960590476750606336/vid/1280x720/9KC2rTsaYiOpNP3o.mp4")</f>
        <v/>
      </c>
      <c r="G2776" t="s"/>
      <c r="H2776" t="s"/>
      <c r="I2776" t="s"/>
      <c r="J2776" t="n">
        <v>0</v>
      </c>
      <c r="K2776" t="n">
        <v>0</v>
      </c>
      <c r="L2776" t="n">
        <v>1</v>
      </c>
      <c r="M2776" t="n">
        <v>0</v>
      </c>
    </row>
    <row r="2777" spans="1:13">
      <c r="A2777" s="1">
        <f>HYPERLINK("http://www.twitter.com/NathanBLawrence/status/962557966384750592", "962557966384750592")</f>
        <v/>
      </c>
      <c r="B2777" s="2" t="n">
        <v>43142.22542824074</v>
      </c>
      <c r="C2777" t="n">
        <v>88</v>
      </c>
      <c r="D2777" t="n">
        <v>38</v>
      </c>
      <c r="E2777" t="s">
        <v>2781</v>
      </c>
      <c r="F2777" t="s"/>
      <c r="G2777" t="s"/>
      <c r="H2777" t="s"/>
      <c r="I2777" t="s"/>
      <c r="J2777" t="n">
        <v>-0.4184</v>
      </c>
      <c r="K2777" t="n">
        <v>0.351</v>
      </c>
      <c r="L2777" t="n">
        <v>0.649</v>
      </c>
      <c r="M2777" t="n">
        <v>0</v>
      </c>
    </row>
    <row r="2778" spans="1:13">
      <c r="A2778" s="1">
        <f>HYPERLINK("http://www.twitter.com/NathanBLawrence/status/962482914075144193", "962482914075144193")</f>
        <v/>
      </c>
      <c r="B2778" s="2" t="n">
        <v>43142.01832175926</v>
      </c>
      <c r="C2778" t="n">
        <v>8</v>
      </c>
      <c r="D2778" t="n">
        <v>8</v>
      </c>
      <c r="E2778" t="s">
        <v>2782</v>
      </c>
      <c r="F2778" t="s"/>
      <c r="G2778" t="s"/>
      <c r="H2778" t="s"/>
      <c r="I2778" t="s"/>
      <c r="J2778" t="n">
        <v>0</v>
      </c>
      <c r="K2778" t="n">
        <v>0</v>
      </c>
      <c r="L2778" t="n">
        <v>1</v>
      </c>
      <c r="M2778" t="n">
        <v>0</v>
      </c>
    </row>
    <row r="2779" spans="1:13">
      <c r="A2779" s="1">
        <f>HYPERLINK("http://www.twitter.com/NathanBLawrence/status/962366590099505152", "962366590099505152")</f>
        <v/>
      </c>
      <c r="B2779" s="2" t="n">
        <v>43141.69732638889</v>
      </c>
      <c r="C2779" t="n">
        <v>0</v>
      </c>
      <c r="D2779" t="n">
        <v>414</v>
      </c>
      <c r="E2779" t="s">
        <v>2783</v>
      </c>
      <c r="F2779" t="s"/>
      <c r="G2779" t="s"/>
      <c r="H2779" t="s"/>
      <c r="I2779" t="s"/>
      <c r="J2779" t="n">
        <v>0</v>
      </c>
      <c r="K2779" t="n">
        <v>0</v>
      </c>
      <c r="L2779" t="n">
        <v>1</v>
      </c>
      <c r="M2779" t="n">
        <v>0</v>
      </c>
    </row>
    <row r="2780" spans="1:13">
      <c r="A2780" s="1">
        <f>HYPERLINK("http://www.twitter.com/NathanBLawrence/status/962366521786826753", "962366521786826753")</f>
        <v/>
      </c>
      <c r="B2780" s="2" t="n">
        <v>43141.6971412037</v>
      </c>
      <c r="C2780" t="n">
        <v>0</v>
      </c>
      <c r="D2780" t="n">
        <v>36042</v>
      </c>
      <c r="E2780" t="s">
        <v>2784</v>
      </c>
      <c r="F2780" t="s"/>
      <c r="G2780" t="s"/>
      <c r="H2780" t="s"/>
      <c r="I2780" t="s"/>
      <c r="J2780" t="n">
        <v>-0.5423</v>
      </c>
      <c r="K2780" t="n">
        <v>0.216</v>
      </c>
      <c r="L2780" t="n">
        <v>0.6870000000000001</v>
      </c>
      <c r="M2780" t="n">
        <v>0.096</v>
      </c>
    </row>
    <row r="2781" spans="1:13">
      <c r="A2781" s="1">
        <f>HYPERLINK("http://www.twitter.com/NathanBLawrence/status/962215707780964352", "962215707780964352")</f>
        <v/>
      </c>
      <c r="B2781" s="2" t="n">
        <v>43141.28097222222</v>
      </c>
      <c r="C2781" t="n">
        <v>0</v>
      </c>
      <c r="D2781" t="n">
        <v>20</v>
      </c>
      <c r="E2781" t="s">
        <v>2785</v>
      </c>
      <c r="F2781">
        <f>HYPERLINK("http://pbs.twimg.com/media/DVpzIkeV4AEulmJ.jpg", "http://pbs.twimg.com/media/DVpzIkeV4AEulmJ.jpg")</f>
        <v/>
      </c>
      <c r="G2781" t="s"/>
      <c r="H2781" t="s"/>
      <c r="I2781" t="s"/>
      <c r="J2781" t="n">
        <v>0.836</v>
      </c>
      <c r="K2781" t="n">
        <v>0</v>
      </c>
      <c r="L2781" t="n">
        <v>0.669</v>
      </c>
      <c r="M2781" t="n">
        <v>0.331</v>
      </c>
    </row>
    <row r="2782" spans="1:13">
      <c r="A2782" s="1">
        <f>HYPERLINK("http://www.twitter.com/NathanBLawrence/status/962209766306021377", "962209766306021377")</f>
        <v/>
      </c>
      <c r="B2782" s="2" t="n">
        <v>43141.26457175926</v>
      </c>
      <c r="C2782" t="n">
        <v>73</v>
      </c>
      <c r="D2782" t="n">
        <v>20</v>
      </c>
      <c r="E2782" t="s">
        <v>2786</v>
      </c>
      <c r="F2782">
        <f>HYPERLINK("http://pbs.twimg.com/media/DVpzIkeV4AEulmJ.jpg", "http://pbs.twimg.com/media/DVpzIkeV4AEulmJ.jpg")</f>
        <v/>
      </c>
      <c r="G2782" t="s"/>
      <c r="H2782" t="s"/>
      <c r="I2782" t="s"/>
      <c r="J2782" t="n">
        <v>0.966</v>
      </c>
      <c r="K2782" t="n">
        <v>0</v>
      </c>
      <c r="L2782" t="n">
        <v>0.637</v>
      </c>
      <c r="M2782" t="n">
        <v>0.363</v>
      </c>
    </row>
    <row r="2783" spans="1:13">
      <c r="A2783" s="1">
        <f>HYPERLINK("http://www.twitter.com/NathanBLawrence/status/962207830462705665", "962207830462705665")</f>
        <v/>
      </c>
      <c r="B2783" s="2" t="n">
        <v>43141.25923611111</v>
      </c>
      <c r="C2783" t="n">
        <v>0</v>
      </c>
      <c r="D2783" t="n">
        <v>506</v>
      </c>
      <c r="E2783" t="s">
        <v>2787</v>
      </c>
      <c r="F2783">
        <f>HYPERLINK("http://pbs.twimg.com/media/DVlpvD-U0AAhqS6.jpg", "http://pbs.twimg.com/media/DVlpvD-U0AAhqS6.jpg")</f>
        <v/>
      </c>
      <c r="G2783" t="s"/>
      <c r="H2783" t="s"/>
      <c r="I2783" t="s"/>
      <c r="J2783" t="n">
        <v>0</v>
      </c>
      <c r="K2783" t="n">
        <v>0</v>
      </c>
      <c r="L2783" t="n">
        <v>1</v>
      </c>
      <c r="M2783" t="n">
        <v>0</v>
      </c>
    </row>
    <row r="2784" spans="1:13">
      <c r="A2784" s="1">
        <f>HYPERLINK("http://www.twitter.com/NathanBLawrence/status/962207684085731328", "962207684085731328")</f>
        <v/>
      </c>
      <c r="B2784" s="2" t="n">
        <v>43141.25883101852</v>
      </c>
      <c r="C2784" t="n">
        <v>0</v>
      </c>
      <c r="D2784" t="n">
        <v>34</v>
      </c>
      <c r="E2784" t="s">
        <v>2788</v>
      </c>
      <c r="F2784">
        <f>HYPERLINK("http://pbs.twimg.com/media/DVpxUUhU0AAMUVS.jpg", "http://pbs.twimg.com/media/DVpxUUhU0AAMUVS.jpg")</f>
        <v/>
      </c>
      <c r="G2784" t="s"/>
      <c r="H2784" t="s"/>
      <c r="I2784" t="s"/>
      <c r="J2784" t="n">
        <v>0</v>
      </c>
      <c r="K2784" t="n">
        <v>0</v>
      </c>
      <c r="L2784" t="n">
        <v>1</v>
      </c>
      <c r="M2784" t="n">
        <v>0</v>
      </c>
    </row>
    <row r="2785" spans="1:13">
      <c r="A2785" s="1">
        <f>HYPERLINK("http://www.twitter.com/NathanBLawrence/status/962207032173502464", "962207032173502464")</f>
        <v/>
      </c>
      <c r="B2785" s="2" t="n">
        <v>43141.25703703704</v>
      </c>
      <c r="C2785" t="n">
        <v>0</v>
      </c>
      <c r="D2785" t="n">
        <v>400</v>
      </c>
      <c r="E2785" t="s">
        <v>2789</v>
      </c>
      <c r="F2785">
        <f>HYPERLINK("http://pbs.twimg.com/media/DVHozRRVAAA_IGp.jpg", "http://pbs.twimg.com/media/DVHozRRVAAA_IGp.jpg")</f>
        <v/>
      </c>
      <c r="G2785" t="s"/>
      <c r="H2785" t="s"/>
      <c r="I2785" t="s"/>
      <c r="J2785" t="n">
        <v>-0.7712</v>
      </c>
      <c r="K2785" t="n">
        <v>0.26</v>
      </c>
      <c r="L2785" t="n">
        <v>0.74</v>
      </c>
      <c r="M2785" t="n">
        <v>0</v>
      </c>
    </row>
    <row r="2786" spans="1:13">
      <c r="A2786" s="1">
        <f>HYPERLINK("http://www.twitter.com/NathanBLawrence/status/962180322245754880", "962180322245754880")</f>
        <v/>
      </c>
      <c r="B2786" s="2" t="n">
        <v>43141.18332175926</v>
      </c>
      <c r="C2786" t="n">
        <v>0</v>
      </c>
      <c r="D2786" t="n">
        <v>204</v>
      </c>
      <c r="E2786" t="s">
        <v>2790</v>
      </c>
      <c r="F2786">
        <f>HYPERLINK("http://pbs.twimg.com/media/DVeV6wdVQAAcRot.jpg", "http://pbs.twimg.com/media/DVeV6wdVQAAcRot.jpg")</f>
        <v/>
      </c>
      <c r="G2786" t="s"/>
      <c r="H2786" t="s"/>
      <c r="I2786" t="s"/>
      <c r="J2786" t="n">
        <v>0.3182</v>
      </c>
      <c r="K2786" t="n">
        <v>0</v>
      </c>
      <c r="L2786" t="n">
        <v>0.859</v>
      </c>
      <c r="M2786" t="n">
        <v>0.141</v>
      </c>
    </row>
    <row r="2787" spans="1:13">
      <c r="A2787" s="1">
        <f>HYPERLINK("http://www.twitter.com/NathanBLawrence/status/962180175550009344", "962180175550009344")</f>
        <v/>
      </c>
      <c r="B2787" s="2" t="n">
        <v>43141.18291666666</v>
      </c>
      <c r="C2787" t="n">
        <v>0</v>
      </c>
      <c r="D2787" t="n">
        <v>120</v>
      </c>
      <c r="E2787" t="s">
        <v>2791</v>
      </c>
      <c r="F2787">
        <f>HYPERLINK("http://pbs.twimg.com/media/DVkPX_GVQAASrnn.jpg", "http://pbs.twimg.com/media/DVkPX_GVQAASrnn.jpg")</f>
        <v/>
      </c>
      <c r="G2787" t="s"/>
      <c r="H2787" t="s"/>
      <c r="I2787" t="s"/>
      <c r="J2787" t="n">
        <v>0</v>
      </c>
      <c r="K2787" t="n">
        <v>0</v>
      </c>
      <c r="L2787" t="n">
        <v>1</v>
      </c>
      <c r="M2787" t="n">
        <v>0</v>
      </c>
    </row>
    <row r="2788" spans="1:13">
      <c r="A2788" s="1">
        <f>HYPERLINK("http://www.twitter.com/NathanBLawrence/status/962179685613322240", "962179685613322240")</f>
        <v/>
      </c>
      <c r="B2788" s="2" t="n">
        <v>43141.18157407407</v>
      </c>
      <c r="C2788" t="n">
        <v>0</v>
      </c>
      <c r="D2788" t="n">
        <v>65</v>
      </c>
      <c r="E2788" t="s">
        <v>2792</v>
      </c>
      <c r="F2788">
        <f>HYPERLINK("http://pbs.twimg.com/media/DM6bVA0X4AAGQpj.jpg", "http://pbs.twimg.com/media/DM6bVA0X4AAGQpj.jpg")</f>
        <v/>
      </c>
      <c r="G2788" t="s"/>
      <c r="H2788" t="s"/>
      <c r="I2788" t="s"/>
      <c r="J2788" t="n">
        <v>0</v>
      </c>
      <c r="K2788" t="n">
        <v>0</v>
      </c>
      <c r="L2788" t="n">
        <v>1</v>
      </c>
      <c r="M2788" t="n">
        <v>0</v>
      </c>
    </row>
    <row r="2789" spans="1:13">
      <c r="A2789" s="1">
        <f>HYPERLINK("http://www.twitter.com/NathanBLawrence/status/962145652158296069", "962145652158296069")</f>
        <v/>
      </c>
      <c r="B2789" s="2" t="n">
        <v>43141.08765046296</v>
      </c>
      <c r="C2789" t="n">
        <v>0</v>
      </c>
      <c r="D2789" t="n">
        <v>44</v>
      </c>
      <c r="E2789" t="s">
        <v>2793</v>
      </c>
      <c r="F2789">
        <f>HYPERLINK("http://pbs.twimg.com/media/DVng9U2UMAA_tDh.jpg", "http://pbs.twimg.com/media/DVng9U2UMAA_tDh.jpg")</f>
        <v/>
      </c>
      <c r="G2789" t="s"/>
      <c r="H2789" t="s"/>
      <c r="I2789" t="s"/>
      <c r="J2789" t="n">
        <v>0.5355</v>
      </c>
      <c r="K2789" t="n">
        <v>0</v>
      </c>
      <c r="L2789" t="n">
        <v>0.859</v>
      </c>
      <c r="M2789" t="n">
        <v>0.141</v>
      </c>
    </row>
    <row r="2790" spans="1:13">
      <c r="A2790" s="1">
        <f>HYPERLINK("http://www.twitter.com/NathanBLawrence/status/962145558637953024", "962145558637953024")</f>
        <v/>
      </c>
      <c r="B2790" s="2" t="n">
        <v>43141.08739583333</v>
      </c>
      <c r="C2790" t="n">
        <v>0</v>
      </c>
      <c r="D2790" t="n">
        <v>4</v>
      </c>
      <c r="E2790" t="s">
        <v>2794</v>
      </c>
      <c r="F2790" t="s"/>
      <c r="G2790" t="s"/>
      <c r="H2790" t="s"/>
      <c r="I2790" t="s"/>
      <c r="J2790" t="n">
        <v>0</v>
      </c>
      <c r="K2790" t="n">
        <v>0</v>
      </c>
      <c r="L2790" t="n">
        <v>1</v>
      </c>
      <c r="M2790" t="n">
        <v>0</v>
      </c>
    </row>
    <row r="2791" spans="1:13">
      <c r="A2791" s="1">
        <f>HYPERLINK("http://www.twitter.com/NathanBLawrence/status/962138794177671168", "962138794177671168")</f>
        <v/>
      </c>
      <c r="B2791" s="2" t="n">
        <v>43141.06872685185</v>
      </c>
      <c r="C2791" t="n">
        <v>8</v>
      </c>
      <c r="D2791" t="n">
        <v>7</v>
      </c>
      <c r="E2791" t="s">
        <v>2795</v>
      </c>
      <c r="F2791" t="s"/>
      <c r="G2791" t="s"/>
      <c r="H2791" t="s"/>
      <c r="I2791" t="s"/>
      <c r="J2791" t="n">
        <v>-0.6289</v>
      </c>
      <c r="K2791" t="n">
        <v>0.805</v>
      </c>
      <c r="L2791" t="n">
        <v>0.195</v>
      </c>
      <c r="M2791" t="n">
        <v>0</v>
      </c>
    </row>
    <row r="2792" spans="1:13">
      <c r="A2792" s="1">
        <f>HYPERLINK("http://www.twitter.com/NathanBLawrence/status/962138705170350080", "962138705170350080")</f>
        <v/>
      </c>
      <c r="B2792" s="2" t="n">
        <v>43141.0684837963</v>
      </c>
      <c r="C2792" t="n">
        <v>6</v>
      </c>
      <c r="D2792" t="n">
        <v>9</v>
      </c>
      <c r="E2792" t="s">
        <v>2796</v>
      </c>
      <c r="F2792" t="s"/>
      <c r="G2792" t="s"/>
      <c r="H2792" t="s"/>
      <c r="I2792" t="s"/>
      <c r="J2792" t="n">
        <v>0</v>
      </c>
      <c r="K2792" t="n">
        <v>0</v>
      </c>
      <c r="L2792" t="n">
        <v>1</v>
      </c>
      <c r="M2792" t="n">
        <v>0</v>
      </c>
    </row>
    <row r="2793" spans="1:13">
      <c r="A2793" s="1">
        <f>HYPERLINK("http://www.twitter.com/NathanBLawrence/status/962138425661972481", "962138425661972481")</f>
        <v/>
      </c>
      <c r="B2793" s="2" t="n">
        <v>43141.06771990741</v>
      </c>
      <c r="C2793" t="n">
        <v>0</v>
      </c>
      <c r="D2793" t="n">
        <v>276</v>
      </c>
      <c r="E2793" t="s">
        <v>2797</v>
      </c>
      <c r="F2793" t="s"/>
      <c r="G2793" t="s"/>
      <c r="H2793" t="s"/>
      <c r="I2793" t="s"/>
      <c r="J2793" t="n">
        <v>0.34</v>
      </c>
      <c r="K2793" t="n">
        <v>0</v>
      </c>
      <c r="L2793" t="n">
        <v>0.902</v>
      </c>
      <c r="M2793" t="n">
        <v>0.098</v>
      </c>
    </row>
    <row r="2794" spans="1:13">
      <c r="A2794" s="1">
        <f>HYPERLINK("http://www.twitter.com/NathanBLawrence/status/962137651997388800", "962137651997388800")</f>
        <v/>
      </c>
      <c r="B2794" s="2" t="n">
        <v>43141.0655787037</v>
      </c>
      <c r="C2794" t="n">
        <v>0</v>
      </c>
      <c r="D2794" t="n">
        <v>129</v>
      </c>
      <c r="E2794" t="s">
        <v>2798</v>
      </c>
      <c r="F2794">
        <f>HYPERLINK("http://pbs.twimg.com/media/DVofyjPX4AI4IV6.jpg", "http://pbs.twimg.com/media/DVofyjPX4AI4IV6.jpg")</f>
        <v/>
      </c>
      <c r="G2794" t="s"/>
      <c r="H2794" t="s"/>
      <c r="I2794" t="s"/>
      <c r="J2794" t="n">
        <v>0</v>
      </c>
      <c r="K2794" t="n">
        <v>0</v>
      </c>
      <c r="L2794" t="n">
        <v>1</v>
      </c>
      <c r="M2794" t="n">
        <v>0</v>
      </c>
    </row>
    <row r="2795" spans="1:13">
      <c r="A2795" s="1">
        <f>HYPERLINK("http://www.twitter.com/NathanBLawrence/status/962024860749766656", "962024860749766656")</f>
        <v/>
      </c>
      <c r="B2795" s="2" t="n">
        <v>43140.75434027778</v>
      </c>
      <c r="C2795" t="n">
        <v>0</v>
      </c>
      <c r="D2795" t="n">
        <v>653</v>
      </c>
      <c r="E2795" t="s">
        <v>2799</v>
      </c>
      <c r="F2795">
        <f>HYPERLINK("http://pbs.twimg.com/media/DVm_bndVAAAuGGe.jpg", "http://pbs.twimg.com/media/DVm_bndVAAAuGGe.jpg")</f>
        <v/>
      </c>
      <c r="G2795" t="s"/>
      <c r="H2795" t="s"/>
      <c r="I2795" t="s"/>
      <c r="J2795" t="n">
        <v>-0.2732</v>
      </c>
      <c r="K2795" t="n">
        <v>0.128</v>
      </c>
      <c r="L2795" t="n">
        <v>0.793</v>
      </c>
      <c r="M2795" t="n">
        <v>0.079</v>
      </c>
    </row>
    <row r="2796" spans="1:13">
      <c r="A2796" s="1">
        <f>HYPERLINK("http://www.twitter.com/NathanBLawrence/status/961746726867542016", "961746726867542016")</f>
        <v/>
      </c>
      <c r="B2796" s="2" t="n">
        <v>43139.9868287037</v>
      </c>
      <c r="C2796" t="n">
        <v>13</v>
      </c>
      <c r="D2796" t="n">
        <v>9</v>
      </c>
      <c r="E2796" t="s">
        <v>2800</v>
      </c>
      <c r="F2796" t="s"/>
      <c r="G2796" t="s"/>
      <c r="H2796" t="s"/>
      <c r="I2796" t="s"/>
      <c r="J2796" t="n">
        <v>0</v>
      </c>
      <c r="K2796" t="n">
        <v>0</v>
      </c>
      <c r="L2796" t="n">
        <v>1</v>
      </c>
      <c r="M2796" t="n">
        <v>0</v>
      </c>
    </row>
    <row r="2797" spans="1:13">
      <c r="A2797" s="1">
        <f>HYPERLINK("http://www.twitter.com/NathanBLawrence/status/961713776117493760", "961713776117493760")</f>
        <v/>
      </c>
      <c r="B2797" s="2" t="n">
        <v>43139.89590277777</v>
      </c>
      <c r="C2797" t="n">
        <v>0</v>
      </c>
      <c r="D2797" t="n">
        <v>194</v>
      </c>
      <c r="E2797" t="s">
        <v>2801</v>
      </c>
      <c r="F2797" t="s"/>
      <c r="G2797" t="s"/>
      <c r="H2797" t="s"/>
      <c r="I2797" t="s"/>
      <c r="J2797" t="n">
        <v>0</v>
      </c>
      <c r="K2797" t="n">
        <v>0</v>
      </c>
      <c r="L2797" t="n">
        <v>1</v>
      </c>
      <c r="M2797" t="n">
        <v>0</v>
      </c>
    </row>
    <row r="2798" spans="1:13">
      <c r="A2798" s="1">
        <f>HYPERLINK("http://www.twitter.com/NathanBLawrence/status/961713512421646336", "961713512421646336")</f>
        <v/>
      </c>
      <c r="B2798" s="2" t="n">
        <v>43139.89517361111</v>
      </c>
      <c r="C2798" t="n">
        <v>0</v>
      </c>
      <c r="D2798" t="n">
        <v>2</v>
      </c>
      <c r="E2798" t="s">
        <v>2802</v>
      </c>
      <c r="F2798" t="s"/>
      <c r="G2798" t="s"/>
      <c r="H2798" t="s"/>
      <c r="I2798" t="s"/>
      <c r="J2798" t="n">
        <v>0.6335</v>
      </c>
      <c r="K2798" t="n">
        <v>0</v>
      </c>
      <c r="L2798" t="n">
        <v>0.834</v>
      </c>
      <c r="M2798" t="n">
        <v>0.166</v>
      </c>
    </row>
    <row r="2799" spans="1:13">
      <c r="A2799" s="1">
        <f>HYPERLINK("http://www.twitter.com/NathanBLawrence/status/961712470980157440", "961712470980157440")</f>
        <v/>
      </c>
      <c r="B2799" s="2" t="n">
        <v>43139.89230324074</v>
      </c>
      <c r="C2799" t="n">
        <v>0</v>
      </c>
      <c r="D2799" t="n">
        <v>1883</v>
      </c>
      <c r="E2799" t="s">
        <v>2803</v>
      </c>
      <c r="F2799">
        <f>HYPERLINK("https://video.twimg.com/ext_tw_video/961599994972090368/pu/vid/870x720/9i9BaIaRzXC096El.mp4", "https://video.twimg.com/ext_tw_video/961599994972090368/pu/vid/870x720/9i9BaIaRzXC096El.mp4")</f>
        <v/>
      </c>
      <c r="G2799" t="s"/>
      <c r="H2799" t="s"/>
      <c r="I2799" t="s"/>
      <c r="J2799" t="n">
        <v>-0.3597</v>
      </c>
      <c r="K2799" t="n">
        <v>0.161</v>
      </c>
      <c r="L2799" t="n">
        <v>0.839</v>
      </c>
      <c r="M2799" t="n">
        <v>0</v>
      </c>
    </row>
    <row r="2800" spans="1:13">
      <c r="A2800" s="1">
        <f>HYPERLINK("http://www.twitter.com/NathanBLawrence/status/961707429648986112", "961707429648986112")</f>
        <v/>
      </c>
      <c r="B2800" s="2" t="n">
        <v>43139.8783912037</v>
      </c>
      <c r="C2800" t="n">
        <v>0</v>
      </c>
      <c r="D2800" t="n">
        <v>232</v>
      </c>
      <c r="E2800" t="s">
        <v>2804</v>
      </c>
      <c r="F2800" t="s"/>
      <c r="G2800" t="s"/>
      <c r="H2800" t="s"/>
      <c r="I2800" t="s"/>
      <c r="J2800" t="n">
        <v>0</v>
      </c>
      <c r="K2800" t="n">
        <v>0</v>
      </c>
      <c r="L2800" t="n">
        <v>1</v>
      </c>
      <c r="M2800" t="n">
        <v>0</v>
      </c>
    </row>
    <row r="2801" spans="1:13">
      <c r="A2801" s="1">
        <f>HYPERLINK("http://www.twitter.com/NathanBLawrence/status/961706778340728832", "961706778340728832")</f>
        <v/>
      </c>
      <c r="B2801" s="2" t="n">
        <v>43139.87659722222</v>
      </c>
      <c r="C2801" t="n">
        <v>0</v>
      </c>
      <c r="D2801" t="n">
        <v>2304</v>
      </c>
      <c r="E2801" t="s">
        <v>2805</v>
      </c>
      <c r="F2801" t="s"/>
      <c r="G2801" t="s"/>
      <c r="H2801" t="s"/>
      <c r="I2801" t="s"/>
      <c r="J2801" t="n">
        <v>0.4767</v>
      </c>
      <c r="K2801" t="n">
        <v>0.14</v>
      </c>
      <c r="L2801" t="n">
        <v>0.609</v>
      </c>
      <c r="M2801" t="n">
        <v>0.251</v>
      </c>
    </row>
    <row r="2802" spans="1:13">
      <c r="A2802" s="1">
        <f>HYPERLINK("http://www.twitter.com/NathanBLawrence/status/961663824091754496", "961663824091754496")</f>
        <v/>
      </c>
      <c r="B2802" s="2" t="n">
        <v>43139.75806712963</v>
      </c>
      <c r="C2802" t="n">
        <v>0</v>
      </c>
      <c r="D2802" t="n">
        <v>744</v>
      </c>
      <c r="E2802" t="s">
        <v>2806</v>
      </c>
      <c r="F2802">
        <f>HYPERLINK("http://pbs.twimg.com/media/DVdfudkVMAAgke3.jpg", "http://pbs.twimg.com/media/DVdfudkVMAAgke3.jpg")</f>
        <v/>
      </c>
      <c r="G2802" t="s"/>
      <c r="H2802" t="s"/>
      <c r="I2802" t="s"/>
      <c r="J2802" t="n">
        <v>-0.2023</v>
      </c>
      <c r="K2802" t="n">
        <v>0.126</v>
      </c>
      <c r="L2802" t="n">
        <v>0.778</v>
      </c>
      <c r="M2802" t="n">
        <v>0.096</v>
      </c>
    </row>
    <row r="2803" spans="1:13">
      <c r="A2803" s="1">
        <f>HYPERLINK("http://www.twitter.com/NathanBLawrence/status/961663778684219393", "961663778684219393")</f>
        <v/>
      </c>
      <c r="B2803" s="2" t="n">
        <v>43139.75793981482</v>
      </c>
      <c r="C2803" t="n">
        <v>0</v>
      </c>
      <c r="D2803" t="n">
        <v>68</v>
      </c>
      <c r="E2803" t="s">
        <v>2807</v>
      </c>
      <c r="F2803">
        <f>HYPERLINK("http://pbs.twimg.com/media/DVhuDocW0AEuGip.jpg", "http://pbs.twimg.com/media/DVhuDocW0AEuGip.jpg")</f>
        <v/>
      </c>
      <c r="G2803" t="s"/>
      <c r="H2803" t="s"/>
      <c r="I2803" t="s"/>
      <c r="J2803" t="n">
        <v>0</v>
      </c>
      <c r="K2803" t="n">
        <v>0</v>
      </c>
      <c r="L2803" t="n">
        <v>1</v>
      </c>
      <c r="M2803" t="n">
        <v>0</v>
      </c>
    </row>
    <row r="2804" spans="1:13">
      <c r="A2804" s="1">
        <f>HYPERLINK("http://www.twitter.com/NathanBLawrence/status/961663665287045120", "961663665287045120")</f>
        <v/>
      </c>
      <c r="B2804" s="2" t="n">
        <v>43139.75762731482</v>
      </c>
      <c r="C2804" t="n">
        <v>0</v>
      </c>
      <c r="D2804" t="n">
        <v>490</v>
      </c>
      <c r="E2804" t="s">
        <v>2808</v>
      </c>
      <c r="F2804" t="s"/>
      <c r="G2804" t="s"/>
      <c r="H2804" t="s"/>
      <c r="I2804" t="s"/>
      <c r="J2804" t="n">
        <v>0.4588</v>
      </c>
      <c r="K2804" t="n">
        <v>0</v>
      </c>
      <c r="L2804" t="n">
        <v>0.857</v>
      </c>
      <c r="M2804" t="n">
        <v>0.143</v>
      </c>
    </row>
    <row r="2805" spans="1:13">
      <c r="A2805" s="1">
        <f>HYPERLINK("http://www.twitter.com/NathanBLawrence/status/961662849926946816", "961662849926946816")</f>
        <v/>
      </c>
      <c r="B2805" s="2" t="n">
        <v>43139.75537037037</v>
      </c>
      <c r="C2805" t="n">
        <v>0</v>
      </c>
      <c r="D2805" t="n">
        <v>993</v>
      </c>
      <c r="E2805" t="s">
        <v>2809</v>
      </c>
      <c r="F2805" t="s"/>
      <c r="G2805" t="s"/>
      <c r="H2805" t="s"/>
      <c r="I2805" t="s"/>
      <c r="J2805" t="n">
        <v>-0.2732</v>
      </c>
      <c r="K2805" t="n">
        <v>0.207</v>
      </c>
      <c r="L2805" t="n">
        <v>0.664</v>
      </c>
      <c r="M2805" t="n">
        <v>0.129</v>
      </c>
    </row>
    <row r="2806" spans="1:13">
      <c r="A2806" s="1">
        <f>HYPERLINK("http://www.twitter.com/NathanBLawrence/status/961662784609005568", "961662784609005568")</f>
        <v/>
      </c>
      <c r="B2806" s="2" t="n">
        <v>43139.75519675926</v>
      </c>
      <c r="C2806" t="n">
        <v>0</v>
      </c>
      <c r="D2806" t="n">
        <v>28827</v>
      </c>
      <c r="E2806" t="s">
        <v>2810</v>
      </c>
      <c r="F2806">
        <f>HYPERLINK("https://video.twimg.com/ext_tw_video/961648764116140032/pu/vid/1280x720/YbkYv8r4-mjfmIXC.mp4", "https://video.twimg.com/ext_tw_video/961648764116140032/pu/vid/1280x720/YbkYv8r4-mjfmIXC.mp4")</f>
        <v/>
      </c>
      <c r="G2806" t="s"/>
      <c r="H2806" t="s"/>
      <c r="I2806" t="s"/>
      <c r="J2806" t="n">
        <v>0.4278</v>
      </c>
      <c r="K2806" t="n">
        <v>0</v>
      </c>
      <c r="L2806" t="n">
        <v>0.876</v>
      </c>
      <c r="M2806" t="n">
        <v>0.124</v>
      </c>
    </row>
    <row r="2807" spans="1:13">
      <c r="A2807" s="1">
        <f>HYPERLINK("http://www.twitter.com/NathanBLawrence/status/961647851766870016", "961647851766870016")</f>
        <v/>
      </c>
      <c r="B2807" s="2" t="n">
        <v>43139.71399305556</v>
      </c>
      <c r="C2807" t="n">
        <v>0</v>
      </c>
      <c r="D2807" t="n">
        <v>3117</v>
      </c>
      <c r="E2807" t="s">
        <v>2811</v>
      </c>
      <c r="F2807" t="s"/>
      <c r="G2807" t="s"/>
      <c r="H2807" t="s"/>
      <c r="I2807" t="s"/>
      <c r="J2807" t="n">
        <v>0.296</v>
      </c>
      <c r="K2807" t="n">
        <v>0</v>
      </c>
      <c r="L2807" t="n">
        <v>0.891</v>
      </c>
      <c r="M2807" t="n">
        <v>0.109</v>
      </c>
    </row>
    <row r="2808" spans="1:13">
      <c r="A2808" s="1">
        <f>HYPERLINK("http://www.twitter.com/NathanBLawrence/status/961647617380835328", "961647617380835328")</f>
        <v/>
      </c>
      <c r="B2808" s="2" t="n">
        <v>43139.71334490741</v>
      </c>
      <c r="C2808" t="n">
        <v>0</v>
      </c>
      <c r="D2808" t="n">
        <v>230</v>
      </c>
      <c r="E2808" t="s">
        <v>2812</v>
      </c>
      <c r="F2808" t="s"/>
      <c r="G2808" t="s"/>
      <c r="H2808" t="s"/>
      <c r="I2808" t="s"/>
      <c r="J2808" t="n">
        <v>0</v>
      </c>
      <c r="K2808" t="n">
        <v>0</v>
      </c>
      <c r="L2808" t="n">
        <v>1</v>
      </c>
      <c r="M2808" t="n">
        <v>0</v>
      </c>
    </row>
    <row r="2809" spans="1:13">
      <c r="A2809" s="1">
        <f>HYPERLINK("http://www.twitter.com/NathanBLawrence/status/961646343704911872", "961646343704911872")</f>
        <v/>
      </c>
      <c r="B2809" s="2" t="n">
        <v>43139.70982638889</v>
      </c>
      <c r="C2809" t="n">
        <v>0</v>
      </c>
      <c r="D2809" t="n">
        <v>1508</v>
      </c>
      <c r="E2809" t="s">
        <v>2813</v>
      </c>
      <c r="F2809">
        <f>HYPERLINK("http://pbs.twimg.com/media/DVezFs6X4AAihvY.jpg", "http://pbs.twimg.com/media/DVezFs6X4AAihvY.jpg")</f>
        <v/>
      </c>
      <c r="G2809" t="s"/>
      <c r="H2809" t="s"/>
      <c r="I2809" t="s"/>
      <c r="J2809" t="n">
        <v>0.3612</v>
      </c>
      <c r="K2809" t="n">
        <v>0</v>
      </c>
      <c r="L2809" t="n">
        <v>0.898</v>
      </c>
      <c r="M2809" t="n">
        <v>0.102</v>
      </c>
    </row>
    <row r="2810" spans="1:13">
      <c r="A2810" s="1">
        <f>HYPERLINK("http://www.twitter.com/NathanBLawrence/status/961646190180708357", "961646190180708357")</f>
        <v/>
      </c>
      <c r="B2810" s="2" t="n">
        <v>43139.70939814814</v>
      </c>
      <c r="C2810" t="n">
        <v>0</v>
      </c>
      <c r="D2810" t="n">
        <v>13</v>
      </c>
      <c r="E2810" t="s">
        <v>2814</v>
      </c>
      <c r="F2810" t="s"/>
      <c r="G2810" t="s"/>
      <c r="H2810" t="s"/>
      <c r="I2810" t="s"/>
      <c r="J2810" t="n">
        <v>-0.296</v>
      </c>
      <c r="K2810" t="n">
        <v>0.115</v>
      </c>
      <c r="L2810" t="n">
        <v>0.885</v>
      </c>
      <c r="M2810" t="n">
        <v>0</v>
      </c>
    </row>
    <row r="2811" spans="1:13">
      <c r="A2811" s="1">
        <f>HYPERLINK("http://www.twitter.com/NathanBLawrence/status/961645652877893632", "961645652877893632")</f>
        <v/>
      </c>
      <c r="B2811" s="2" t="n">
        <v>43139.70791666667</v>
      </c>
      <c r="C2811" t="n">
        <v>0</v>
      </c>
      <c r="D2811" t="n">
        <v>10633</v>
      </c>
      <c r="E2811" t="s">
        <v>2815</v>
      </c>
      <c r="F2811" t="s"/>
      <c r="G2811" t="s"/>
      <c r="H2811" t="s"/>
      <c r="I2811" t="s"/>
      <c r="J2811" t="n">
        <v>0</v>
      </c>
      <c r="K2811" t="n">
        <v>0</v>
      </c>
      <c r="L2811" t="n">
        <v>1</v>
      </c>
      <c r="M2811" t="n">
        <v>0</v>
      </c>
    </row>
    <row r="2812" spans="1:13">
      <c r="A2812" s="1">
        <f>HYPERLINK("http://www.twitter.com/NathanBLawrence/status/961645031370080256", "961645031370080256")</f>
        <v/>
      </c>
      <c r="B2812" s="2" t="n">
        <v>43139.7062037037</v>
      </c>
      <c r="C2812" t="n">
        <v>0</v>
      </c>
      <c r="D2812" t="n">
        <v>17331</v>
      </c>
      <c r="E2812" t="s">
        <v>2816</v>
      </c>
      <c r="F2812" t="s"/>
      <c r="G2812" t="s"/>
      <c r="H2812" t="s"/>
      <c r="I2812" t="s"/>
      <c r="J2812" t="n">
        <v>0.6249</v>
      </c>
      <c r="K2812" t="n">
        <v>0</v>
      </c>
      <c r="L2812" t="n">
        <v>0.83</v>
      </c>
      <c r="M2812" t="n">
        <v>0.17</v>
      </c>
    </row>
    <row r="2813" spans="1:13">
      <c r="A2813" s="1">
        <f>HYPERLINK("http://www.twitter.com/NathanBLawrence/status/961642605531377664", "961642605531377664")</f>
        <v/>
      </c>
      <c r="B2813" s="2" t="n">
        <v>43139.69951388889</v>
      </c>
      <c r="C2813" t="n">
        <v>0</v>
      </c>
      <c r="D2813" t="n">
        <v>81</v>
      </c>
      <c r="E2813" t="s">
        <v>2817</v>
      </c>
      <c r="F2813" t="s"/>
      <c r="G2813" t="s"/>
      <c r="H2813" t="s"/>
      <c r="I2813" t="s"/>
      <c r="J2813" t="n">
        <v>0.5499000000000001</v>
      </c>
      <c r="K2813" t="n">
        <v>0.065</v>
      </c>
      <c r="L2813" t="n">
        <v>0.776</v>
      </c>
      <c r="M2813" t="n">
        <v>0.159</v>
      </c>
    </row>
    <row r="2814" spans="1:13">
      <c r="A2814" s="1">
        <f>HYPERLINK("http://www.twitter.com/NathanBLawrence/status/961642501051265024", "961642501051265024")</f>
        <v/>
      </c>
      <c r="B2814" s="2" t="n">
        <v>43139.69922453703</v>
      </c>
      <c r="C2814" t="n">
        <v>0</v>
      </c>
      <c r="D2814" t="n">
        <v>463</v>
      </c>
      <c r="E2814" t="s">
        <v>2818</v>
      </c>
      <c r="F2814" t="s"/>
      <c r="G2814" t="s"/>
      <c r="H2814" t="s"/>
      <c r="I2814" t="s"/>
      <c r="J2814" t="n">
        <v>-0.7351</v>
      </c>
      <c r="K2814" t="n">
        <v>0.237</v>
      </c>
      <c r="L2814" t="n">
        <v>0.763</v>
      </c>
      <c r="M2814" t="n">
        <v>0</v>
      </c>
    </row>
    <row r="2815" spans="1:13">
      <c r="A2815" s="1">
        <f>HYPERLINK("http://www.twitter.com/NathanBLawrence/status/961639402152734720", "961639402152734720")</f>
        <v/>
      </c>
      <c r="B2815" s="2" t="n">
        <v>43139.6906712963</v>
      </c>
      <c r="C2815" t="n">
        <v>31</v>
      </c>
      <c r="D2815" t="n">
        <v>16</v>
      </c>
      <c r="E2815" t="s">
        <v>2819</v>
      </c>
      <c r="F2815" t="s"/>
      <c r="G2815" t="s"/>
      <c r="H2815" t="s"/>
      <c r="I2815" t="s"/>
      <c r="J2815" t="n">
        <v>-0.6351</v>
      </c>
      <c r="K2815" t="n">
        <v>0.25</v>
      </c>
      <c r="L2815" t="n">
        <v>0.653</v>
      </c>
      <c r="M2815" t="n">
        <v>0.098</v>
      </c>
    </row>
    <row r="2816" spans="1:13">
      <c r="A2816" s="1">
        <f>HYPERLINK("http://www.twitter.com/NathanBLawrence/status/961638533176868865", "961638533176868865")</f>
        <v/>
      </c>
      <c r="B2816" s="2" t="n">
        <v>43139.68827546296</v>
      </c>
      <c r="C2816" t="n">
        <v>0</v>
      </c>
      <c r="D2816" t="n">
        <v>144</v>
      </c>
      <c r="E2816" t="s">
        <v>2820</v>
      </c>
      <c r="F2816" t="s"/>
      <c r="G2816" t="s"/>
      <c r="H2816" t="s"/>
      <c r="I2816" t="s"/>
      <c r="J2816" t="n">
        <v>-0.2144</v>
      </c>
      <c r="K2816" t="n">
        <v>0.066</v>
      </c>
      <c r="L2816" t="n">
        <v>0.9340000000000001</v>
      </c>
      <c r="M2816" t="n">
        <v>0</v>
      </c>
    </row>
    <row r="2817" spans="1:13">
      <c r="A2817" s="1">
        <f>HYPERLINK("http://www.twitter.com/NathanBLawrence/status/961638326162747392", "961638326162747392")</f>
        <v/>
      </c>
      <c r="B2817" s="2" t="n">
        <v>43139.68769675926</v>
      </c>
      <c r="C2817" t="n">
        <v>35</v>
      </c>
      <c r="D2817" t="n">
        <v>25</v>
      </c>
      <c r="E2817" t="s">
        <v>2821</v>
      </c>
      <c r="F2817" t="s"/>
      <c r="G2817" t="s"/>
      <c r="H2817" t="s"/>
      <c r="I2817" t="s"/>
      <c r="J2817" t="n">
        <v>0.4898</v>
      </c>
      <c r="K2817" t="n">
        <v>0.08500000000000001</v>
      </c>
      <c r="L2817" t="n">
        <v>0.732</v>
      </c>
      <c r="M2817" t="n">
        <v>0.182</v>
      </c>
    </row>
    <row r="2818" spans="1:13">
      <c r="A2818" s="1">
        <f>HYPERLINK("http://www.twitter.com/NathanBLawrence/status/961637310684004353", "961637310684004353")</f>
        <v/>
      </c>
      <c r="B2818" s="2" t="n">
        <v>43139.68489583334</v>
      </c>
      <c r="C2818" t="n">
        <v>0</v>
      </c>
      <c r="D2818" t="n">
        <v>102</v>
      </c>
      <c r="E2818" t="s">
        <v>2822</v>
      </c>
      <c r="F2818">
        <f>HYPERLINK("http://pbs.twimg.com/media/DVhp13XXkAE-x1e.jpg", "http://pbs.twimg.com/media/DVhp13XXkAE-x1e.jpg")</f>
        <v/>
      </c>
      <c r="G2818" t="s"/>
      <c r="H2818" t="s"/>
      <c r="I2818" t="s"/>
      <c r="J2818" t="n">
        <v>0</v>
      </c>
      <c r="K2818" t="n">
        <v>0</v>
      </c>
      <c r="L2818" t="n">
        <v>1</v>
      </c>
      <c r="M2818" t="n">
        <v>0</v>
      </c>
    </row>
    <row r="2819" spans="1:13">
      <c r="A2819" s="1">
        <f>HYPERLINK("http://www.twitter.com/NathanBLawrence/status/961634899772846080", "961634899772846080")</f>
        <v/>
      </c>
      <c r="B2819" s="2" t="n">
        <v>43139.67825231481</v>
      </c>
      <c r="C2819" t="n">
        <v>0</v>
      </c>
      <c r="D2819" t="n">
        <v>5476</v>
      </c>
      <c r="E2819" t="s">
        <v>2823</v>
      </c>
      <c r="F2819" t="s"/>
      <c r="G2819" t="s"/>
      <c r="H2819" t="s"/>
      <c r="I2819" t="s"/>
      <c r="J2819" t="n">
        <v>-0.9697</v>
      </c>
      <c r="K2819" t="n">
        <v>0.576</v>
      </c>
      <c r="L2819" t="n">
        <v>0.424</v>
      </c>
      <c r="M2819" t="n">
        <v>0</v>
      </c>
    </row>
    <row r="2820" spans="1:13">
      <c r="A2820" s="1">
        <f>HYPERLINK("http://www.twitter.com/NathanBLawrence/status/961634715542302720", "961634715542302720")</f>
        <v/>
      </c>
      <c r="B2820" s="2" t="n">
        <v>43139.67774305555</v>
      </c>
      <c r="C2820" t="n">
        <v>36</v>
      </c>
      <c r="D2820" t="n">
        <v>16</v>
      </c>
      <c r="E2820" t="s">
        <v>2824</v>
      </c>
      <c r="F2820" t="s"/>
      <c r="G2820" t="s"/>
      <c r="H2820" t="s"/>
      <c r="I2820" t="s"/>
      <c r="J2820" t="n">
        <v>-0.8777</v>
      </c>
      <c r="K2820" t="n">
        <v>0.335</v>
      </c>
      <c r="L2820" t="n">
        <v>0.665</v>
      </c>
      <c r="M2820" t="n">
        <v>0</v>
      </c>
    </row>
    <row r="2821" spans="1:13">
      <c r="A2821" s="1">
        <f>HYPERLINK("http://www.twitter.com/NathanBLawrence/status/961634047737778183", "961634047737778183")</f>
        <v/>
      </c>
      <c r="B2821" s="2" t="n">
        <v>43139.6758912037</v>
      </c>
      <c r="C2821" t="n">
        <v>0</v>
      </c>
      <c r="D2821" t="n">
        <v>683</v>
      </c>
      <c r="E2821" t="s">
        <v>2825</v>
      </c>
      <c r="F2821">
        <f>HYPERLINK("http://pbs.twimg.com/media/DVeJIPHUQAAiZB3.jpg", "http://pbs.twimg.com/media/DVeJIPHUQAAiZB3.jpg")</f>
        <v/>
      </c>
      <c r="G2821" t="s"/>
      <c r="H2821" t="s"/>
      <c r="I2821" t="s"/>
      <c r="J2821" t="n">
        <v>0.4926</v>
      </c>
      <c r="K2821" t="n">
        <v>0</v>
      </c>
      <c r="L2821" t="n">
        <v>0.84</v>
      </c>
      <c r="M2821" t="n">
        <v>0.16</v>
      </c>
    </row>
    <row r="2822" spans="1:13">
      <c r="A2822" s="1">
        <f>HYPERLINK("http://www.twitter.com/NathanBLawrence/status/961633624377274368", "961633624377274368")</f>
        <v/>
      </c>
      <c r="B2822" s="2" t="n">
        <v>43139.67472222223</v>
      </c>
      <c r="C2822" t="n">
        <v>0</v>
      </c>
      <c r="D2822" t="n">
        <v>206</v>
      </c>
      <c r="E2822" t="s">
        <v>2826</v>
      </c>
      <c r="F2822" t="s"/>
      <c r="G2822" t="s"/>
      <c r="H2822" t="s"/>
      <c r="I2822" t="s"/>
      <c r="J2822" t="n">
        <v>0.4939</v>
      </c>
      <c r="K2822" t="n">
        <v>0</v>
      </c>
      <c r="L2822" t="n">
        <v>0.826</v>
      </c>
      <c r="M2822" t="n">
        <v>0.174</v>
      </c>
    </row>
    <row r="2823" spans="1:13">
      <c r="A2823" s="1">
        <f>HYPERLINK("http://www.twitter.com/NathanBLawrence/status/961633540495429632", "961633540495429632")</f>
        <v/>
      </c>
      <c r="B2823" s="2" t="n">
        <v>43139.67449074074</v>
      </c>
      <c r="C2823" t="n">
        <v>0</v>
      </c>
      <c r="D2823" t="n">
        <v>6023</v>
      </c>
      <c r="E2823" t="s">
        <v>2827</v>
      </c>
      <c r="F2823" t="s"/>
      <c r="G2823" t="s"/>
      <c r="H2823" t="s"/>
      <c r="I2823" t="s"/>
      <c r="J2823" t="n">
        <v>-0.6705</v>
      </c>
      <c r="K2823" t="n">
        <v>0.234</v>
      </c>
      <c r="L2823" t="n">
        <v>0.766</v>
      </c>
      <c r="M2823" t="n">
        <v>0</v>
      </c>
    </row>
    <row r="2824" spans="1:13">
      <c r="A2824" s="1">
        <f>HYPERLINK("http://www.twitter.com/NathanBLawrence/status/961631828422488065", "961631828422488065")</f>
        <v/>
      </c>
      <c r="B2824" s="2" t="n">
        <v>43139.66976851852</v>
      </c>
      <c r="C2824" t="n">
        <v>0</v>
      </c>
      <c r="D2824" t="n">
        <v>106</v>
      </c>
      <c r="E2824" t="s">
        <v>2828</v>
      </c>
      <c r="F2824" t="s"/>
      <c r="G2824" t="s"/>
      <c r="H2824" t="s"/>
      <c r="I2824" t="s"/>
      <c r="J2824" t="n">
        <v>0</v>
      </c>
      <c r="K2824" t="n">
        <v>0</v>
      </c>
      <c r="L2824" t="n">
        <v>1</v>
      </c>
      <c r="M2824" t="n">
        <v>0</v>
      </c>
    </row>
    <row r="2825" spans="1:13">
      <c r="A2825" s="1">
        <f>HYPERLINK("http://www.twitter.com/NathanBLawrence/status/961631262011109376", "961631262011109376")</f>
        <v/>
      </c>
      <c r="B2825" s="2" t="n">
        <v>43139.66820601852</v>
      </c>
      <c r="C2825" t="n">
        <v>0</v>
      </c>
      <c r="D2825" t="n">
        <v>389</v>
      </c>
      <c r="E2825" t="s">
        <v>2829</v>
      </c>
      <c r="F2825" t="s"/>
      <c r="G2825" t="s"/>
      <c r="H2825" t="s"/>
      <c r="I2825" t="s"/>
      <c r="J2825" t="n">
        <v>0</v>
      </c>
      <c r="K2825" t="n">
        <v>0</v>
      </c>
      <c r="L2825" t="n">
        <v>1</v>
      </c>
      <c r="M2825" t="n">
        <v>0</v>
      </c>
    </row>
    <row r="2826" spans="1:13">
      <c r="A2826" s="1">
        <f>HYPERLINK("http://www.twitter.com/NathanBLawrence/status/961631159003136001", "961631159003136001")</f>
        <v/>
      </c>
      <c r="B2826" s="2" t="n">
        <v>43139.66792824074</v>
      </c>
      <c r="C2826" t="n">
        <v>0</v>
      </c>
      <c r="D2826" t="n">
        <v>10622</v>
      </c>
      <c r="E2826" t="s">
        <v>2830</v>
      </c>
      <c r="F2826" t="s"/>
      <c r="G2826" t="s"/>
      <c r="H2826" t="s"/>
      <c r="I2826" t="s"/>
      <c r="J2826" t="n">
        <v>-0.6124000000000001</v>
      </c>
      <c r="K2826" t="n">
        <v>0.208</v>
      </c>
      <c r="L2826" t="n">
        <v>0.792</v>
      </c>
      <c r="M2826" t="n">
        <v>0</v>
      </c>
    </row>
    <row r="2827" spans="1:13">
      <c r="A2827" s="1">
        <f>HYPERLINK("http://www.twitter.com/NathanBLawrence/status/961630992715755520", "961630992715755520")</f>
        <v/>
      </c>
      <c r="B2827" s="2" t="n">
        <v>43139.66746527778</v>
      </c>
      <c r="C2827" t="n">
        <v>0</v>
      </c>
      <c r="D2827" t="n">
        <v>729</v>
      </c>
      <c r="E2827" t="s">
        <v>2831</v>
      </c>
      <c r="F2827">
        <f>HYPERLINK("https://video.twimg.com/ext_tw_video/961607415618826240/pu/vid/1280x720/hAzILVDx6w596lWv.mp4", "https://video.twimg.com/ext_tw_video/961607415618826240/pu/vid/1280x720/hAzILVDx6w596lWv.mp4")</f>
        <v/>
      </c>
      <c r="G2827" t="s"/>
      <c r="H2827" t="s"/>
      <c r="I2827" t="s"/>
      <c r="J2827" t="n">
        <v>0.6369</v>
      </c>
      <c r="K2827" t="n">
        <v>0</v>
      </c>
      <c r="L2827" t="n">
        <v>0.776</v>
      </c>
      <c r="M2827" t="n">
        <v>0.224</v>
      </c>
    </row>
    <row r="2828" spans="1:13">
      <c r="A2828" s="1">
        <f>HYPERLINK("http://www.twitter.com/NathanBLawrence/status/961630872414838784", "961630872414838784")</f>
        <v/>
      </c>
      <c r="B2828" s="2" t="n">
        <v>43139.66712962963</v>
      </c>
      <c r="C2828" t="n">
        <v>0</v>
      </c>
      <c r="D2828" t="n">
        <v>22544</v>
      </c>
      <c r="E2828" t="s">
        <v>2832</v>
      </c>
      <c r="F2828" t="s"/>
      <c r="G2828" t="s"/>
      <c r="H2828" t="s"/>
      <c r="I2828" t="s"/>
      <c r="J2828" t="n">
        <v>0.7625999999999999</v>
      </c>
      <c r="K2828" t="n">
        <v>0.104</v>
      </c>
      <c r="L2828" t="n">
        <v>0.571</v>
      </c>
      <c r="M2828" t="n">
        <v>0.325</v>
      </c>
    </row>
    <row r="2829" spans="1:13">
      <c r="A2829" s="1">
        <f>HYPERLINK("http://www.twitter.com/NathanBLawrence/status/961630741556703232", "961630741556703232")</f>
        <v/>
      </c>
      <c r="B2829" s="2" t="n">
        <v>43139.66677083333</v>
      </c>
      <c r="C2829" t="n">
        <v>0</v>
      </c>
      <c r="D2829" t="n">
        <v>1402</v>
      </c>
      <c r="E2829" t="s">
        <v>2833</v>
      </c>
      <c r="F2829" t="s"/>
      <c r="G2829" t="s"/>
      <c r="H2829" t="s"/>
      <c r="I2829" t="s"/>
      <c r="J2829" t="n">
        <v>0.6124000000000001</v>
      </c>
      <c r="K2829" t="n">
        <v>0</v>
      </c>
      <c r="L2829" t="n">
        <v>0.783</v>
      </c>
      <c r="M2829" t="n">
        <v>0.217</v>
      </c>
    </row>
    <row r="2830" spans="1:13">
      <c r="A2830" s="1">
        <f>HYPERLINK("http://www.twitter.com/NathanBLawrence/status/961630686812631040", "961630686812631040")</f>
        <v/>
      </c>
      <c r="B2830" s="2" t="n">
        <v>43139.66662037037</v>
      </c>
      <c r="C2830" t="n">
        <v>0</v>
      </c>
      <c r="D2830" t="n">
        <v>314</v>
      </c>
      <c r="E2830" t="s">
        <v>2834</v>
      </c>
      <c r="F2830">
        <f>HYPERLINK("https://video.twimg.com/amplify_video/961295237791465472/vid/1280x720/XbcMY5qFTLIL7kun.mp4", "https://video.twimg.com/amplify_video/961295237791465472/vid/1280x720/XbcMY5qFTLIL7kun.mp4")</f>
        <v/>
      </c>
      <c r="G2830" t="s"/>
      <c r="H2830" t="s"/>
      <c r="I2830" t="s"/>
      <c r="J2830" t="n">
        <v>-0.3885</v>
      </c>
      <c r="K2830" t="n">
        <v>0.145</v>
      </c>
      <c r="L2830" t="n">
        <v>0.791</v>
      </c>
      <c r="M2830" t="n">
        <v>0.064</v>
      </c>
    </row>
    <row r="2831" spans="1:13">
      <c r="A2831" s="1">
        <f>HYPERLINK("http://www.twitter.com/NathanBLawrence/status/961630599306911744", "961630599306911744")</f>
        <v/>
      </c>
      <c r="B2831" s="2" t="n">
        <v>43139.66637731482</v>
      </c>
      <c r="C2831" t="n">
        <v>0</v>
      </c>
      <c r="D2831" t="n">
        <v>312</v>
      </c>
      <c r="E2831" t="s">
        <v>2835</v>
      </c>
      <c r="F2831">
        <f>HYPERLINK("http://pbs.twimg.com/media/DVhkdJWU8AAHLxO.jpg", "http://pbs.twimg.com/media/DVhkdJWU8AAHLxO.jpg")</f>
        <v/>
      </c>
      <c r="G2831" t="s"/>
      <c r="H2831" t="s"/>
      <c r="I2831" t="s"/>
      <c r="J2831" t="n">
        <v>-0.4003</v>
      </c>
      <c r="K2831" t="n">
        <v>0.212</v>
      </c>
      <c r="L2831" t="n">
        <v>0.672</v>
      </c>
      <c r="M2831" t="n">
        <v>0.117</v>
      </c>
    </row>
    <row r="2832" spans="1:13">
      <c r="A2832" s="1">
        <f>HYPERLINK("http://www.twitter.com/NathanBLawrence/status/961630430926524417", "961630430926524417")</f>
        <v/>
      </c>
      <c r="B2832" s="2" t="n">
        <v>43139.66591435186</v>
      </c>
      <c r="C2832" t="n">
        <v>7</v>
      </c>
      <c r="D2832" t="n">
        <v>1</v>
      </c>
      <c r="E2832" t="s">
        <v>2836</v>
      </c>
      <c r="F2832" t="s"/>
      <c r="G2832" t="s"/>
      <c r="H2832" t="s"/>
      <c r="I2832" t="s"/>
      <c r="J2832" t="n">
        <v>-0.75</v>
      </c>
      <c r="K2832" t="n">
        <v>0.477</v>
      </c>
      <c r="L2832" t="n">
        <v>0.523</v>
      </c>
      <c r="M2832" t="n">
        <v>0</v>
      </c>
    </row>
    <row r="2833" spans="1:13">
      <c r="A2833" s="1">
        <f>HYPERLINK("http://www.twitter.com/NathanBLawrence/status/961629702606659584", "961629702606659584")</f>
        <v/>
      </c>
      <c r="B2833" s="2" t="n">
        <v>43139.66390046296</v>
      </c>
      <c r="C2833" t="n">
        <v>92</v>
      </c>
      <c r="D2833" t="n">
        <v>57</v>
      </c>
      <c r="E2833" t="s">
        <v>2837</v>
      </c>
      <c r="F2833" t="s"/>
      <c r="G2833" t="s"/>
      <c r="H2833" t="s"/>
      <c r="I2833" t="s"/>
      <c r="J2833" t="n">
        <v>-0.2695</v>
      </c>
      <c r="K2833" t="n">
        <v>0.123</v>
      </c>
      <c r="L2833" t="n">
        <v>0.697</v>
      </c>
      <c r="M2833" t="n">
        <v>0.179</v>
      </c>
    </row>
    <row r="2834" spans="1:13">
      <c r="A2834" s="1">
        <f>HYPERLINK("http://www.twitter.com/NathanBLawrence/status/961628809257615360", "961628809257615360")</f>
        <v/>
      </c>
      <c r="B2834" s="2" t="n">
        <v>43139.66143518518</v>
      </c>
      <c r="C2834" t="n">
        <v>0</v>
      </c>
      <c r="D2834" t="n">
        <v>131</v>
      </c>
      <c r="E2834" t="s">
        <v>2838</v>
      </c>
      <c r="F2834">
        <f>HYPERLINK("http://pbs.twimg.com/media/DVf07nPX0AArxTn.jpg", "http://pbs.twimg.com/media/DVf07nPX0AArxTn.jpg")</f>
        <v/>
      </c>
      <c r="G2834" t="s"/>
      <c r="H2834" t="s"/>
      <c r="I2834" t="s"/>
      <c r="J2834" t="n">
        <v>0.4767</v>
      </c>
      <c r="K2834" t="n">
        <v>0</v>
      </c>
      <c r="L2834" t="n">
        <v>0.86</v>
      </c>
      <c r="M2834" t="n">
        <v>0.14</v>
      </c>
    </row>
    <row r="2835" spans="1:13">
      <c r="A2835" s="1">
        <f>HYPERLINK("http://www.twitter.com/NathanBLawrence/status/961628671671808000", "961628671671808000")</f>
        <v/>
      </c>
      <c r="B2835" s="2" t="n">
        <v>43139.66106481481</v>
      </c>
      <c r="C2835" t="n">
        <v>0</v>
      </c>
      <c r="D2835" t="n">
        <v>173</v>
      </c>
      <c r="E2835" t="s">
        <v>2839</v>
      </c>
      <c r="F2835">
        <f>HYPERLINK("http://pbs.twimg.com/media/DVZU43FV4AATiG6.jpg", "http://pbs.twimg.com/media/DVZU43FV4AATiG6.jpg")</f>
        <v/>
      </c>
      <c r="G2835" t="s"/>
      <c r="H2835" t="s"/>
      <c r="I2835" t="s"/>
      <c r="J2835" t="n">
        <v>0.4767</v>
      </c>
      <c r="K2835" t="n">
        <v>0</v>
      </c>
      <c r="L2835" t="n">
        <v>0.871</v>
      </c>
      <c r="M2835" t="n">
        <v>0.129</v>
      </c>
    </row>
    <row r="2836" spans="1:13">
      <c r="A2836" s="1">
        <f>HYPERLINK("http://www.twitter.com/NathanBLawrence/status/961627461535481856", "961627461535481856")</f>
        <v/>
      </c>
      <c r="B2836" s="2" t="n">
        <v>43139.65771990741</v>
      </c>
      <c r="C2836" t="n">
        <v>0</v>
      </c>
      <c r="D2836" t="n">
        <v>413</v>
      </c>
      <c r="E2836" t="s">
        <v>2840</v>
      </c>
      <c r="F2836">
        <f>HYPERLINK("http://pbs.twimg.com/media/DVhiS33X4AYJNpy.jpg", "http://pbs.twimg.com/media/DVhiS33X4AYJNpy.jpg")</f>
        <v/>
      </c>
      <c r="G2836" t="s"/>
      <c r="H2836" t="s"/>
      <c r="I2836" t="s"/>
      <c r="J2836" t="n">
        <v>0</v>
      </c>
      <c r="K2836" t="n">
        <v>0</v>
      </c>
      <c r="L2836" t="n">
        <v>1</v>
      </c>
      <c r="M2836" t="n">
        <v>0</v>
      </c>
    </row>
    <row r="2837" spans="1:13">
      <c r="A2837" s="1">
        <f>HYPERLINK("http://www.twitter.com/NathanBLawrence/status/961627284250624000", "961627284250624000")</f>
        <v/>
      </c>
      <c r="B2837" s="2" t="n">
        <v>43139.65723379629</v>
      </c>
      <c r="C2837" t="n">
        <v>0</v>
      </c>
      <c r="D2837" t="n">
        <v>4</v>
      </c>
      <c r="E2837" t="s">
        <v>2841</v>
      </c>
      <c r="F2837">
        <f>HYPERLINK("http://pbs.twimg.com/media/DVdhJaUUMAA7hnz.jpg", "http://pbs.twimg.com/media/DVdhJaUUMAA7hnz.jpg")</f>
        <v/>
      </c>
      <c r="G2837" t="s"/>
      <c r="H2837" t="s"/>
      <c r="I2837" t="s"/>
      <c r="J2837" t="n">
        <v>0</v>
      </c>
      <c r="K2837" t="n">
        <v>0</v>
      </c>
      <c r="L2837" t="n">
        <v>1</v>
      </c>
      <c r="M2837" t="n">
        <v>0</v>
      </c>
    </row>
    <row r="2838" spans="1:13">
      <c r="A2838" s="1">
        <f>HYPERLINK("http://www.twitter.com/NathanBLawrence/status/961627147604393985", "961627147604393985")</f>
        <v/>
      </c>
      <c r="B2838" s="2" t="n">
        <v>43139.65685185185</v>
      </c>
      <c r="C2838" t="n">
        <v>0</v>
      </c>
      <c r="D2838" t="n">
        <v>1129</v>
      </c>
      <c r="E2838" t="s">
        <v>2842</v>
      </c>
      <c r="F2838">
        <f>HYPERLINK("http://pbs.twimg.com/media/DVZyU_uX4AA0uU2.jpg", "http://pbs.twimg.com/media/DVZyU_uX4AA0uU2.jpg")</f>
        <v/>
      </c>
      <c r="G2838" t="s"/>
      <c r="H2838" t="s"/>
      <c r="I2838" t="s"/>
      <c r="J2838" t="n">
        <v>0.6808</v>
      </c>
      <c r="K2838" t="n">
        <v>0</v>
      </c>
      <c r="L2838" t="n">
        <v>0.752</v>
      </c>
      <c r="M2838" t="n">
        <v>0.248</v>
      </c>
    </row>
    <row r="2839" spans="1:13">
      <c r="A2839" s="1">
        <f>HYPERLINK("http://www.twitter.com/NathanBLawrence/status/961626756787585025", "961626756787585025")</f>
        <v/>
      </c>
      <c r="B2839" s="2" t="n">
        <v>43139.65577546296</v>
      </c>
      <c r="C2839" t="n">
        <v>0</v>
      </c>
      <c r="D2839" t="n">
        <v>38150</v>
      </c>
      <c r="E2839" t="s">
        <v>2843</v>
      </c>
      <c r="F2839" t="s"/>
      <c r="G2839" t="s"/>
      <c r="H2839" t="s"/>
      <c r="I2839" t="s"/>
      <c r="J2839" t="n">
        <v>0</v>
      </c>
      <c r="K2839" t="n">
        <v>0</v>
      </c>
      <c r="L2839" t="n">
        <v>1</v>
      </c>
      <c r="M2839" t="n">
        <v>0</v>
      </c>
    </row>
    <row r="2840" spans="1:13">
      <c r="A2840" s="1">
        <f>HYPERLINK("http://www.twitter.com/NathanBLawrence/status/961626718204084224", "961626718204084224")</f>
        <v/>
      </c>
      <c r="B2840" s="2" t="n">
        <v>43139.6556712963</v>
      </c>
      <c r="C2840" t="n">
        <v>0</v>
      </c>
      <c r="D2840" t="n">
        <v>106</v>
      </c>
      <c r="E2840" t="s">
        <v>2844</v>
      </c>
      <c r="F2840">
        <f>HYPERLINK("http://pbs.twimg.com/media/DVcBhQLWAAAcpEu.jpg", "http://pbs.twimg.com/media/DVcBhQLWAAAcpEu.jpg")</f>
        <v/>
      </c>
      <c r="G2840" t="s"/>
      <c r="H2840" t="s"/>
      <c r="I2840" t="s"/>
      <c r="J2840" t="n">
        <v>-0.3818</v>
      </c>
      <c r="K2840" t="n">
        <v>0.106</v>
      </c>
      <c r="L2840" t="n">
        <v>0.894</v>
      </c>
      <c r="M2840" t="n">
        <v>0</v>
      </c>
    </row>
    <row r="2841" spans="1:13">
      <c r="A2841" s="1">
        <f>HYPERLINK("http://www.twitter.com/NathanBLawrence/status/961545176471580673", "961545176471580673")</f>
        <v/>
      </c>
      <c r="B2841" s="2" t="n">
        <v>43139.43065972222</v>
      </c>
      <c r="C2841" t="n">
        <v>14</v>
      </c>
      <c r="D2841" t="n">
        <v>12</v>
      </c>
      <c r="E2841" t="s">
        <v>2845</v>
      </c>
      <c r="F2841" t="s"/>
      <c r="G2841" t="s"/>
      <c r="H2841" t="s"/>
      <c r="I2841" t="s"/>
      <c r="J2841" t="n">
        <v>0.9183</v>
      </c>
      <c r="K2841" t="n">
        <v>0</v>
      </c>
      <c r="L2841" t="n">
        <v>0.35</v>
      </c>
      <c r="M2841" t="n">
        <v>0.65</v>
      </c>
    </row>
    <row r="2842" spans="1:13">
      <c r="A2842" s="1">
        <f>HYPERLINK("http://www.twitter.com/NathanBLawrence/status/961536649971736576", "961536649971736576")</f>
        <v/>
      </c>
      <c r="B2842" s="2" t="n">
        <v>43139.40712962963</v>
      </c>
      <c r="C2842" t="n">
        <v>0</v>
      </c>
      <c r="D2842" t="n">
        <v>12</v>
      </c>
      <c r="E2842" t="s">
        <v>2846</v>
      </c>
      <c r="F2842">
        <f>HYPERLINK("http://pbs.twimg.com/media/DVf7P5KV4AAud8p.jpg", "http://pbs.twimg.com/media/DVf7P5KV4AAud8p.jpg")</f>
        <v/>
      </c>
      <c r="G2842">
        <f>HYPERLINK("http://pbs.twimg.com/media/DVf7UPWVQAEyccG.jpg", "http://pbs.twimg.com/media/DVf7UPWVQAEyccG.jpg")</f>
        <v/>
      </c>
      <c r="H2842">
        <f>HYPERLINK("http://pbs.twimg.com/media/DVf7ZzrVMAAAVCk.jpg", "http://pbs.twimg.com/media/DVf7ZzrVMAAAVCk.jpg")</f>
        <v/>
      </c>
      <c r="I2842">
        <f>HYPERLINK("http://pbs.twimg.com/media/DVf7b6uU8AEmRBc.jpg", "http://pbs.twimg.com/media/DVf7b6uU8AEmRBc.jpg")</f>
        <v/>
      </c>
      <c r="J2842" t="n">
        <v>-0.3612</v>
      </c>
      <c r="K2842" t="n">
        <v>0.326</v>
      </c>
      <c r="L2842" t="n">
        <v>0.444</v>
      </c>
      <c r="M2842" t="n">
        <v>0.23</v>
      </c>
    </row>
    <row r="2843" spans="1:13">
      <c r="A2843" s="1">
        <f>HYPERLINK("http://www.twitter.com/NathanBLawrence/status/961536583018008576", "961536583018008576")</f>
        <v/>
      </c>
      <c r="B2843" s="2" t="n">
        <v>43139.40694444445</v>
      </c>
      <c r="C2843" t="n">
        <v>5</v>
      </c>
      <c r="D2843" t="n">
        <v>1</v>
      </c>
      <c r="E2843" t="s">
        <v>2847</v>
      </c>
      <c r="F2843" t="s"/>
      <c r="G2843" t="s"/>
      <c r="H2843" t="s"/>
      <c r="I2843" t="s"/>
      <c r="J2843" t="n">
        <v>0</v>
      </c>
      <c r="K2843" t="n">
        <v>0</v>
      </c>
      <c r="L2843" t="n">
        <v>1</v>
      </c>
      <c r="M2843" t="n">
        <v>0</v>
      </c>
    </row>
    <row r="2844" spans="1:13">
      <c r="A2844" s="1">
        <f>HYPERLINK("http://www.twitter.com/NathanBLawrence/status/961536208546414593", "961536208546414593")</f>
        <v/>
      </c>
      <c r="B2844" s="2" t="n">
        <v>43139.40591435185</v>
      </c>
      <c r="C2844" t="n">
        <v>0</v>
      </c>
      <c r="D2844" t="n">
        <v>116</v>
      </c>
      <c r="E2844" t="s">
        <v>2848</v>
      </c>
      <c r="F2844">
        <f>HYPERLINK("http://pbs.twimg.com/media/DVgKZ5LU0AE79qi.jpg", "http://pbs.twimg.com/media/DVgKZ5LU0AE79qi.jpg")</f>
        <v/>
      </c>
      <c r="G2844" t="s"/>
      <c r="H2844" t="s"/>
      <c r="I2844" t="s"/>
      <c r="J2844" t="n">
        <v>0.5859</v>
      </c>
      <c r="K2844" t="n">
        <v>0</v>
      </c>
      <c r="L2844" t="n">
        <v>0.759</v>
      </c>
      <c r="M2844" t="n">
        <v>0.241</v>
      </c>
    </row>
    <row r="2845" spans="1:13">
      <c r="A2845" s="1">
        <f>HYPERLINK("http://www.twitter.com/NathanBLawrence/status/961536049645109249", "961536049645109249")</f>
        <v/>
      </c>
      <c r="B2845" s="2" t="n">
        <v>43139.40547453704</v>
      </c>
      <c r="C2845" t="n">
        <v>0</v>
      </c>
      <c r="D2845" t="n">
        <v>74</v>
      </c>
      <c r="E2845" t="s">
        <v>2849</v>
      </c>
      <c r="F2845">
        <f>HYPERLINK("http://pbs.twimg.com/media/DVgM_-wW4AAl6hD.jpg", "http://pbs.twimg.com/media/DVgM_-wW4AAl6hD.jpg")</f>
        <v/>
      </c>
      <c r="G2845" t="s"/>
      <c r="H2845" t="s"/>
      <c r="I2845" t="s"/>
      <c r="J2845" t="n">
        <v>0</v>
      </c>
      <c r="K2845" t="n">
        <v>0</v>
      </c>
      <c r="L2845" t="n">
        <v>1</v>
      </c>
      <c r="M2845" t="n">
        <v>0</v>
      </c>
    </row>
    <row r="2846" spans="1:13">
      <c r="A2846" s="1">
        <f>HYPERLINK("http://www.twitter.com/NathanBLawrence/status/961535990580965382", "961535990580965382")</f>
        <v/>
      </c>
      <c r="B2846" s="2" t="n">
        <v>43139.4053125</v>
      </c>
      <c r="C2846" t="n">
        <v>0</v>
      </c>
      <c r="D2846" t="n">
        <v>78</v>
      </c>
      <c r="E2846" t="s">
        <v>2850</v>
      </c>
      <c r="F2846">
        <f>HYPERLINK("http://pbs.twimg.com/media/DVf4pydVoAAWOb_.jpg", "http://pbs.twimg.com/media/DVf4pydVoAAWOb_.jpg")</f>
        <v/>
      </c>
      <c r="G2846" t="s"/>
      <c r="H2846" t="s"/>
      <c r="I2846" t="s"/>
      <c r="J2846" t="n">
        <v>0.743</v>
      </c>
      <c r="K2846" t="n">
        <v>0</v>
      </c>
      <c r="L2846" t="n">
        <v>0.588</v>
      </c>
      <c r="M2846" t="n">
        <v>0.412</v>
      </c>
    </row>
    <row r="2847" spans="1:13">
      <c r="A2847" s="1">
        <f>HYPERLINK("http://www.twitter.com/NathanBLawrence/status/961535866245017600", "961535866245017600")</f>
        <v/>
      </c>
      <c r="B2847" s="2" t="n">
        <v>43139.40496527778</v>
      </c>
      <c r="C2847" t="n">
        <v>0</v>
      </c>
      <c r="D2847" t="n">
        <v>40</v>
      </c>
      <c r="E2847" t="s">
        <v>2851</v>
      </c>
      <c r="F2847" t="s"/>
      <c r="G2847" t="s"/>
      <c r="H2847" t="s"/>
      <c r="I2847" t="s"/>
      <c r="J2847" t="n">
        <v>0.908</v>
      </c>
      <c r="K2847" t="n">
        <v>0</v>
      </c>
      <c r="L2847" t="n">
        <v>0.605</v>
      </c>
      <c r="M2847" t="n">
        <v>0.395</v>
      </c>
    </row>
    <row r="2848" spans="1:13">
      <c r="A2848" s="1">
        <f>HYPERLINK("http://www.twitter.com/NathanBLawrence/status/961510006154674182", "961510006154674182")</f>
        <v/>
      </c>
      <c r="B2848" s="2" t="n">
        <v>43139.33361111111</v>
      </c>
      <c r="C2848" t="n">
        <v>12</v>
      </c>
      <c r="D2848" t="n">
        <v>2</v>
      </c>
      <c r="E2848" t="s">
        <v>2852</v>
      </c>
      <c r="F2848" t="s"/>
      <c r="G2848" t="s"/>
      <c r="H2848" t="s"/>
      <c r="I2848" t="s"/>
      <c r="J2848" t="n">
        <v>0.5684</v>
      </c>
      <c r="K2848" t="n">
        <v>0.165</v>
      </c>
      <c r="L2848" t="n">
        <v>0.503</v>
      </c>
      <c r="M2848" t="n">
        <v>0.333</v>
      </c>
    </row>
    <row r="2849" spans="1:13">
      <c r="A2849" s="1">
        <f>HYPERLINK("http://www.twitter.com/NathanBLawrence/status/961473550971383813", "961473550971383813")</f>
        <v/>
      </c>
      <c r="B2849" s="2" t="n">
        <v>43139.23300925926</v>
      </c>
      <c r="C2849" t="n">
        <v>0</v>
      </c>
      <c r="D2849" t="n">
        <v>3544</v>
      </c>
      <c r="E2849" t="s">
        <v>2853</v>
      </c>
      <c r="F2849">
        <f>HYPERLINK("http://pbs.twimg.com/media/DVevqjjXUAYHzT2.jpg", "http://pbs.twimg.com/media/DVevqjjXUAYHzT2.jpg")</f>
        <v/>
      </c>
      <c r="G2849" t="s"/>
      <c r="H2849" t="s"/>
      <c r="I2849" t="s"/>
      <c r="J2849" t="n">
        <v>0.5719</v>
      </c>
      <c r="K2849" t="n">
        <v>0</v>
      </c>
      <c r="L2849" t="n">
        <v>0.844</v>
      </c>
      <c r="M2849" t="n">
        <v>0.156</v>
      </c>
    </row>
    <row r="2850" spans="1:13">
      <c r="A2850" s="1">
        <f>HYPERLINK("http://www.twitter.com/NathanBLawrence/status/961473469815771141", "961473469815771141")</f>
        <v/>
      </c>
      <c r="B2850" s="2" t="n">
        <v>43139.23278935185</v>
      </c>
      <c r="C2850" t="n">
        <v>0</v>
      </c>
      <c r="D2850" t="n">
        <v>27</v>
      </c>
      <c r="E2850" t="s">
        <v>2854</v>
      </c>
      <c r="F2850" t="s"/>
      <c r="G2850" t="s"/>
      <c r="H2850" t="s"/>
      <c r="I2850" t="s"/>
      <c r="J2850" t="n">
        <v>-0.6351</v>
      </c>
      <c r="K2850" t="n">
        <v>0.295</v>
      </c>
      <c r="L2850" t="n">
        <v>0.705</v>
      </c>
      <c r="M2850" t="n">
        <v>0</v>
      </c>
    </row>
    <row r="2851" spans="1:13">
      <c r="A2851" s="1">
        <f>HYPERLINK("http://www.twitter.com/NathanBLawrence/status/961473260771667969", "961473260771667969")</f>
        <v/>
      </c>
      <c r="B2851" s="2" t="n">
        <v>43139.23221064815</v>
      </c>
      <c r="C2851" t="n">
        <v>0</v>
      </c>
      <c r="D2851" t="n">
        <v>2009</v>
      </c>
      <c r="E2851" t="s">
        <v>2855</v>
      </c>
      <c r="F2851">
        <f>HYPERLINK("https://video.twimg.com/ext_tw_video/961428856547823616/pu/vid/1280x720/aG9pMrLZECGyW-e6.mp4", "https://video.twimg.com/ext_tw_video/961428856547823616/pu/vid/1280x720/aG9pMrLZECGyW-e6.mp4")</f>
        <v/>
      </c>
      <c r="G2851" t="s"/>
      <c r="H2851" t="s"/>
      <c r="I2851" t="s"/>
      <c r="J2851" t="n">
        <v>0</v>
      </c>
      <c r="K2851" t="n">
        <v>0</v>
      </c>
      <c r="L2851" t="n">
        <v>1</v>
      </c>
      <c r="M2851" t="n">
        <v>0</v>
      </c>
    </row>
    <row r="2852" spans="1:13">
      <c r="A2852" s="1">
        <f>HYPERLINK("http://www.twitter.com/NathanBLawrence/status/961473230098776064", "961473230098776064")</f>
        <v/>
      </c>
      <c r="B2852" s="2" t="n">
        <v>43139.23212962963</v>
      </c>
      <c r="C2852" t="n">
        <v>0</v>
      </c>
      <c r="D2852" t="n">
        <v>4266</v>
      </c>
      <c r="E2852" t="s">
        <v>2856</v>
      </c>
      <c r="F2852">
        <f>HYPERLINK("https://video.twimg.com/amplify_video/959504920347947008/vid/480x480/ODWHdBzhN661ALC-.mp4", "https://video.twimg.com/amplify_video/959504920347947008/vid/480x480/ODWHdBzhN661ALC-.mp4")</f>
        <v/>
      </c>
      <c r="G2852" t="s"/>
      <c r="H2852" t="s"/>
      <c r="I2852" t="s"/>
      <c r="J2852" t="n">
        <v>0.2023</v>
      </c>
      <c r="K2852" t="n">
        <v>0</v>
      </c>
      <c r="L2852" t="n">
        <v>0.913</v>
      </c>
      <c r="M2852" t="n">
        <v>0.08699999999999999</v>
      </c>
    </row>
    <row r="2853" spans="1:13">
      <c r="A2853" s="1">
        <f>HYPERLINK("http://www.twitter.com/NathanBLawrence/status/961472509227880449", "961472509227880449")</f>
        <v/>
      </c>
      <c r="B2853" s="2" t="n">
        <v>43139.23013888889</v>
      </c>
      <c r="C2853" t="n">
        <v>0</v>
      </c>
      <c r="D2853" t="n">
        <v>3243</v>
      </c>
      <c r="E2853" t="s">
        <v>2857</v>
      </c>
      <c r="F2853">
        <f>HYPERLINK("http://pbs.twimg.com/media/DREvFG0WsAAo9KH.jpg", "http://pbs.twimg.com/media/DREvFG0WsAAo9KH.jpg")</f>
        <v/>
      </c>
      <c r="G2853" t="s"/>
      <c r="H2853" t="s"/>
      <c r="I2853" t="s"/>
      <c r="J2853" t="n">
        <v>0</v>
      </c>
      <c r="K2853" t="n">
        <v>0</v>
      </c>
      <c r="L2853" t="n">
        <v>1</v>
      </c>
      <c r="M2853" t="n">
        <v>0</v>
      </c>
    </row>
    <row r="2854" spans="1:13">
      <c r="A2854" s="1">
        <f>HYPERLINK("http://www.twitter.com/NathanBLawrence/status/961472447311564800", "961472447311564800")</f>
        <v/>
      </c>
      <c r="B2854" s="2" t="n">
        <v>43139.22996527778</v>
      </c>
      <c r="C2854" t="n">
        <v>0</v>
      </c>
      <c r="D2854" t="n">
        <v>45</v>
      </c>
      <c r="E2854" t="s">
        <v>2858</v>
      </c>
      <c r="F2854">
        <f>HYPERLINK("http://pbs.twimg.com/media/DUajVk8W4AYM0xg.jpg", "http://pbs.twimg.com/media/DUajVk8W4AYM0xg.jpg")</f>
        <v/>
      </c>
      <c r="G2854" t="s"/>
      <c r="H2854" t="s"/>
      <c r="I2854" t="s"/>
      <c r="J2854" t="n">
        <v>0.4404</v>
      </c>
      <c r="K2854" t="n">
        <v>0</v>
      </c>
      <c r="L2854" t="n">
        <v>0.861</v>
      </c>
      <c r="M2854" t="n">
        <v>0.139</v>
      </c>
    </row>
    <row r="2855" spans="1:13">
      <c r="A2855" s="1">
        <f>HYPERLINK("http://www.twitter.com/NathanBLawrence/status/961472418299617281", "961472418299617281")</f>
        <v/>
      </c>
      <c r="B2855" s="2" t="n">
        <v>43139.22988425926</v>
      </c>
      <c r="C2855" t="n">
        <v>0</v>
      </c>
      <c r="D2855" t="n">
        <v>60</v>
      </c>
      <c r="E2855" t="s">
        <v>2859</v>
      </c>
      <c r="F2855">
        <f>HYPERLINK("http://pbs.twimg.com/media/DUadVglUQAEALo7.jpg", "http://pbs.twimg.com/media/DUadVglUQAEALo7.jpg")</f>
        <v/>
      </c>
      <c r="G2855" t="s"/>
      <c r="H2855" t="s"/>
      <c r="I2855" t="s"/>
      <c r="J2855" t="n">
        <v>0</v>
      </c>
      <c r="K2855" t="n">
        <v>0</v>
      </c>
      <c r="L2855" t="n">
        <v>1</v>
      </c>
      <c r="M2855" t="n">
        <v>0</v>
      </c>
    </row>
    <row r="2856" spans="1:13">
      <c r="A2856" s="1">
        <f>HYPERLINK("http://www.twitter.com/NathanBLawrence/status/961472139533590528", "961472139533590528")</f>
        <v/>
      </c>
      <c r="B2856" s="2" t="n">
        <v>43139.22912037037</v>
      </c>
      <c r="C2856" t="n">
        <v>0</v>
      </c>
      <c r="D2856" t="n">
        <v>118</v>
      </c>
      <c r="E2856" t="s">
        <v>2860</v>
      </c>
      <c r="F2856">
        <f>HYPERLINK("https://video.twimg.com/amplify_video/956693623231393797/vid/1280x720/zi-RnB5bsVArnGwL.mp4", "https://video.twimg.com/amplify_video/956693623231393797/vid/1280x720/zi-RnB5bsVArnGwL.mp4")</f>
        <v/>
      </c>
      <c r="G2856" t="s"/>
      <c r="H2856" t="s"/>
      <c r="I2856" t="s"/>
      <c r="J2856" t="n">
        <v>-0.296</v>
      </c>
      <c r="K2856" t="n">
        <v>0.104</v>
      </c>
      <c r="L2856" t="n">
        <v>0.896</v>
      </c>
      <c r="M2856" t="n">
        <v>0</v>
      </c>
    </row>
    <row r="2857" spans="1:13">
      <c r="A2857" s="1">
        <f>HYPERLINK("http://www.twitter.com/NathanBLawrence/status/961471888940679168", "961471888940679168")</f>
        <v/>
      </c>
      <c r="B2857" s="2" t="n">
        <v>43139.22842592592</v>
      </c>
      <c r="C2857" t="n">
        <v>0</v>
      </c>
      <c r="D2857" t="n">
        <v>13</v>
      </c>
      <c r="E2857" t="s">
        <v>2861</v>
      </c>
      <c r="F2857" t="s"/>
      <c r="G2857" t="s"/>
      <c r="H2857" t="s"/>
      <c r="I2857" t="s"/>
      <c r="J2857" t="n">
        <v>0</v>
      </c>
      <c r="K2857" t="n">
        <v>0</v>
      </c>
      <c r="L2857" t="n">
        <v>1</v>
      </c>
      <c r="M2857" t="n">
        <v>0</v>
      </c>
    </row>
    <row r="2858" spans="1:13">
      <c r="A2858" s="1">
        <f>HYPERLINK("http://www.twitter.com/NathanBLawrence/status/961471505031839744", "961471505031839744")</f>
        <v/>
      </c>
      <c r="B2858" s="2" t="n">
        <v>43139.22736111111</v>
      </c>
      <c r="C2858" t="n">
        <v>0</v>
      </c>
      <c r="D2858" t="n">
        <v>73</v>
      </c>
      <c r="E2858" t="s">
        <v>2862</v>
      </c>
      <c r="F2858">
        <f>HYPERLINK("http://pbs.twimg.com/media/DU2GeTnXUAcvMao.jpg", "http://pbs.twimg.com/media/DU2GeTnXUAcvMao.jpg")</f>
        <v/>
      </c>
      <c r="G2858" t="s"/>
      <c r="H2858" t="s"/>
      <c r="I2858" t="s"/>
      <c r="J2858" t="n">
        <v>-0.3818</v>
      </c>
      <c r="K2858" t="n">
        <v>0.11</v>
      </c>
      <c r="L2858" t="n">
        <v>0.89</v>
      </c>
      <c r="M2858" t="n">
        <v>0</v>
      </c>
    </row>
    <row r="2859" spans="1:13">
      <c r="A2859" s="1">
        <f>HYPERLINK("http://www.twitter.com/NathanBLawrence/status/961471330481668096", "961471330481668096")</f>
        <v/>
      </c>
      <c r="B2859" s="2" t="n">
        <v>43139.22688657408</v>
      </c>
      <c r="C2859" t="n">
        <v>0</v>
      </c>
      <c r="D2859" t="n">
        <v>12060</v>
      </c>
      <c r="E2859" t="s">
        <v>2863</v>
      </c>
      <c r="F2859">
        <f>HYPERLINK("http://pbs.twimg.com/media/DU4oTONWAAMzzuv.jpg", "http://pbs.twimg.com/media/DU4oTONWAAMzzuv.jpg")</f>
        <v/>
      </c>
      <c r="G2859" t="s"/>
      <c r="H2859" t="s"/>
      <c r="I2859" t="s"/>
      <c r="J2859" t="n">
        <v>0.4939</v>
      </c>
      <c r="K2859" t="n">
        <v>0.041</v>
      </c>
      <c r="L2859" t="n">
        <v>0.845</v>
      </c>
      <c r="M2859" t="n">
        <v>0.115</v>
      </c>
    </row>
    <row r="2860" spans="1:13">
      <c r="A2860" s="1">
        <f>HYPERLINK("http://www.twitter.com/NathanBLawrence/status/961468545933615104", "961468545933615104")</f>
        <v/>
      </c>
      <c r="B2860" s="2" t="n">
        <v>43139.21920138889</v>
      </c>
      <c r="C2860" t="n">
        <v>0</v>
      </c>
      <c r="D2860" t="n">
        <v>40</v>
      </c>
      <c r="E2860" t="s">
        <v>2864</v>
      </c>
      <c r="F2860">
        <f>HYPERLINK("https://video.twimg.com/ext_tw_video/958959744827383809/pu/vid/480x480/jGQDZ3n9y_qVdRlU.mp4", "https://video.twimg.com/ext_tw_video/958959744827383809/pu/vid/480x480/jGQDZ3n9y_qVdRlU.mp4")</f>
        <v/>
      </c>
      <c r="G2860" t="s"/>
      <c r="H2860" t="s"/>
      <c r="I2860" t="s"/>
      <c r="J2860" t="n">
        <v>0.5106000000000001</v>
      </c>
      <c r="K2860" t="n">
        <v>0.075</v>
      </c>
      <c r="L2860" t="n">
        <v>0.705</v>
      </c>
      <c r="M2860" t="n">
        <v>0.22</v>
      </c>
    </row>
    <row r="2861" spans="1:13">
      <c r="A2861" s="1">
        <f>HYPERLINK("http://www.twitter.com/NathanBLawrence/status/961468406871474176", "961468406871474176")</f>
        <v/>
      </c>
      <c r="B2861" s="2" t="n">
        <v>43139.21881944445</v>
      </c>
      <c r="C2861" t="n">
        <v>0</v>
      </c>
      <c r="D2861" t="n">
        <v>3745</v>
      </c>
      <c r="E2861" t="s">
        <v>2865</v>
      </c>
      <c r="F2861">
        <f>HYPERLINK("http://pbs.twimg.com/media/DU4eDQoUMAA0XNY.jpg", "http://pbs.twimg.com/media/DU4eDQoUMAA0XNY.jpg")</f>
        <v/>
      </c>
      <c r="G2861" t="s"/>
      <c r="H2861" t="s"/>
      <c r="I2861" t="s"/>
      <c r="J2861" t="n">
        <v>0</v>
      </c>
      <c r="K2861" t="n">
        <v>0</v>
      </c>
      <c r="L2861" t="n">
        <v>1</v>
      </c>
      <c r="M2861" t="n">
        <v>0</v>
      </c>
    </row>
    <row r="2862" spans="1:13">
      <c r="A2862" s="1">
        <f>HYPERLINK("http://www.twitter.com/NathanBLawrence/status/961468244371521541", "961468244371521541")</f>
        <v/>
      </c>
      <c r="B2862" s="2" t="n">
        <v>43139.21836805555</v>
      </c>
      <c r="C2862" t="n">
        <v>0</v>
      </c>
      <c r="D2862" t="n">
        <v>995</v>
      </c>
      <c r="E2862" t="s">
        <v>2866</v>
      </c>
      <c r="F2862">
        <f>HYPERLINK("http://pbs.twimg.com/media/DVAsXtRVMAEnTma.jpg", "http://pbs.twimg.com/media/DVAsXtRVMAEnTma.jpg")</f>
        <v/>
      </c>
      <c r="G2862" t="s"/>
      <c r="H2862" t="s"/>
      <c r="I2862" t="s"/>
      <c r="J2862" t="n">
        <v>0</v>
      </c>
      <c r="K2862" t="n">
        <v>0</v>
      </c>
      <c r="L2862" t="n">
        <v>1</v>
      </c>
      <c r="M2862" t="n">
        <v>0</v>
      </c>
    </row>
    <row r="2863" spans="1:13">
      <c r="A2863" s="1">
        <f>HYPERLINK("http://www.twitter.com/NathanBLawrence/status/961468112066396162", "961468112066396162")</f>
        <v/>
      </c>
      <c r="B2863" s="2" t="n">
        <v>43139.21799768518</v>
      </c>
      <c r="C2863" t="n">
        <v>0</v>
      </c>
      <c r="D2863" t="n">
        <v>3144</v>
      </c>
      <c r="E2863" t="s">
        <v>2867</v>
      </c>
      <c r="F2863">
        <f>HYPERLINK("http://pbs.twimg.com/media/DVC57w4XkAEi50T.jpg", "http://pbs.twimg.com/media/DVC57w4XkAEi50T.jpg")</f>
        <v/>
      </c>
      <c r="G2863" t="s"/>
      <c r="H2863" t="s"/>
      <c r="I2863" t="s"/>
      <c r="J2863" t="n">
        <v>0</v>
      </c>
      <c r="K2863" t="n">
        <v>0</v>
      </c>
      <c r="L2863" t="n">
        <v>1</v>
      </c>
      <c r="M2863" t="n">
        <v>0</v>
      </c>
    </row>
    <row r="2864" spans="1:13">
      <c r="A2864" s="1">
        <f>HYPERLINK("http://www.twitter.com/NathanBLawrence/status/961467760986304513", "961467760986304513")</f>
        <v/>
      </c>
      <c r="B2864" s="2" t="n">
        <v>43139.21703703704</v>
      </c>
      <c r="C2864" t="n">
        <v>0</v>
      </c>
      <c r="D2864" t="n">
        <v>27</v>
      </c>
      <c r="E2864" t="s">
        <v>2868</v>
      </c>
      <c r="F2864">
        <f>HYPERLINK("http://pbs.twimg.com/media/DVDOT-5UMAExwNA.jpg", "http://pbs.twimg.com/media/DVDOT-5UMAExwNA.jpg")</f>
        <v/>
      </c>
      <c r="G2864" t="s"/>
      <c r="H2864" t="s"/>
      <c r="I2864" t="s"/>
      <c r="J2864" t="n">
        <v>0</v>
      </c>
      <c r="K2864" t="n">
        <v>0</v>
      </c>
      <c r="L2864" t="n">
        <v>1</v>
      </c>
      <c r="M2864" t="n">
        <v>0</v>
      </c>
    </row>
    <row r="2865" spans="1:13">
      <c r="A2865" s="1">
        <f>HYPERLINK("http://www.twitter.com/NathanBLawrence/status/961467672599830528", "961467672599830528")</f>
        <v/>
      </c>
      <c r="B2865" s="2" t="n">
        <v>43139.21679398148</v>
      </c>
      <c r="C2865" t="n">
        <v>0</v>
      </c>
      <c r="D2865" t="n">
        <v>2259</v>
      </c>
      <c r="E2865" t="s">
        <v>2869</v>
      </c>
      <c r="F2865">
        <f>HYPERLINK("http://pbs.twimg.com/media/DVEDpqNVQAAyOmm.jpg", "http://pbs.twimg.com/media/DVEDpqNVQAAyOmm.jpg")</f>
        <v/>
      </c>
      <c r="G2865" t="s"/>
      <c r="H2865" t="s"/>
      <c r="I2865" t="s"/>
      <c r="J2865" t="n">
        <v>0</v>
      </c>
      <c r="K2865" t="n">
        <v>0</v>
      </c>
      <c r="L2865" t="n">
        <v>1</v>
      </c>
      <c r="M2865" t="n">
        <v>0</v>
      </c>
    </row>
    <row r="2866" spans="1:13">
      <c r="A2866" s="1">
        <f>HYPERLINK("http://www.twitter.com/NathanBLawrence/status/961467308915924992", "961467308915924992")</f>
        <v/>
      </c>
      <c r="B2866" s="2" t="n">
        <v>43139.21578703704</v>
      </c>
      <c r="C2866" t="n">
        <v>0</v>
      </c>
      <c r="D2866" t="n">
        <v>4107</v>
      </c>
      <c r="E2866" t="s">
        <v>2870</v>
      </c>
      <c r="F2866">
        <f>HYPERLINK("http://pbs.twimg.com/media/DU7B_TKV4AEYkSY.jpg", "http://pbs.twimg.com/media/DU7B_TKV4AEYkSY.jpg")</f>
        <v/>
      </c>
      <c r="G2866" t="s"/>
      <c r="H2866" t="s"/>
      <c r="I2866" t="s"/>
      <c r="J2866" t="n">
        <v>0.5994</v>
      </c>
      <c r="K2866" t="n">
        <v>0.08400000000000001</v>
      </c>
      <c r="L2866" t="n">
        <v>0.702</v>
      </c>
      <c r="M2866" t="n">
        <v>0.214</v>
      </c>
    </row>
    <row r="2867" spans="1:13">
      <c r="A2867" s="1">
        <f>HYPERLINK("http://www.twitter.com/NathanBLawrence/status/961467166884118528", "961467166884118528")</f>
        <v/>
      </c>
      <c r="B2867" s="2" t="n">
        <v>43139.21539351852</v>
      </c>
      <c r="C2867" t="n">
        <v>0</v>
      </c>
      <c r="D2867" t="n">
        <v>1188</v>
      </c>
      <c r="E2867" t="s">
        <v>2871</v>
      </c>
      <c r="F2867">
        <f>HYPERLINK("http://pbs.twimg.com/media/DVTfaAxVAAAubAB.jpg", "http://pbs.twimg.com/media/DVTfaAxVAAAubAB.jpg")</f>
        <v/>
      </c>
      <c r="G2867" t="s"/>
      <c r="H2867" t="s"/>
      <c r="I2867" t="s"/>
      <c r="J2867" t="n">
        <v>0</v>
      </c>
      <c r="K2867" t="n">
        <v>0</v>
      </c>
      <c r="L2867" t="n">
        <v>1</v>
      </c>
      <c r="M2867" t="n">
        <v>0</v>
      </c>
    </row>
    <row r="2868" spans="1:13">
      <c r="A2868" s="1">
        <f>HYPERLINK("http://www.twitter.com/NathanBLawrence/status/961467065323241472", "961467065323241472")</f>
        <v/>
      </c>
      <c r="B2868" s="2" t="n">
        <v>43139.21511574074</v>
      </c>
      <c r="C2868" t="n">
        <v>0</v>
      </c>
      <c r="D2868" t="n">
        <v>1259</v>
      </c>
      <c r="E2868" t="s">
        <v>2872</v>
      </c>
      <c r="F2868">
        <f>HYPERLINK("http://pbs.twimg.com/media/DVUcWSpUMAA5CW2.jpg", "http://pbs.twimg.com/media/DVUcWSpUMAA5CW2.jpg")</f>
        <v/>
      </c>
      <c r="G2868" t="s"/>
      <c r="H2868" t="s"/>
      <c r="I2868" t="s"/>
      <c r="J2868" t="n">
        <v>0</v>
      </c>
      <c r="K2868" t="n">
        <v>0</v>
      </c>
      <c r="L2868" t="n">
        <v>1</v>
      </c>
      <c r="M2868" t="n">
        <v>0</v>
      </c>
    </row>
    <row r="2869" spans="1:13">
      <c r="A2869" s="1">
        <f>HYPERLINK("http://www.twitter.com/NathanBLawrence/status/961466911652421632", "961466911652421632")</f>
        <v/>
      </c>
      <c r="B2869" s="2" t="n">
        <v>43139.2146875</v>
      </c>
      <c r="C2869" t="n">
        <v>61</v>
      </c>
      <c r="D2869" t="n">
        <v>27</v>
      </c>
      <c r="E2869" t="s">
        <v>2873</v>
      </c>
      <c r="F2869" t="s"/>
      <c r="G2869" t="s"/>
      <c r="H2869" t="s"/>
      <c r="I2869" t="s"/>
      <c r="J2869" t="n">
        <v>-0.6351</v>
      </c>
      <c r="K2869" t="n">
        <v>0.343</v>
      </c>
      <c r="L2869" t="n">
        <v>0.657</v>
      </c>
      <c r="M2869" t="n">
        <v>0</v>
      </c>
    </row>
    <row r="2870" spans="1:13">
      <c r="A2870" s="1">
        <f>HYPERLINK("http://www.twitter.com/NathanBLawrence/status/961466543946153984", "961466543946153984")</f>
        <v/>
      </c>
      <c r="B2870" s="2" t="n">
        <v>43139.21366898148</v>
      </c>
      <c r="C2870" t="n">
        <v>0</v>
      </c>
      <c r="D2870" t="n">
        <v>22</v>
      </c>
      <c r="E2870" t="s">
        <v>2874</v>
      </c>
      <c r="F2870">
        <f>HYPERLINK("http://pbs.twimg.com/media/DVX805DV4AAvZ6H.jpg", "http://pbs.twimg.com/media/DVX805DV4AAvZ6H.jpg")</f>
        <v/>
      </c>
      <c r="G2870" t="s"/>
      <c r="H2870" t="s"/>
      <c r="I2870" t="s"/>
      <c r="J2870" t="n">
        <v>0</v>
      </c>
      <c r="K2870" t="n">
        <v>0</v>
      </c>
      <c r="L2870" t="n">
        <v>1</v>
      </c>
      <c r="M2870" t="n">
        <v>0</v>
      </c>
    </row>
    <row r="2871" spans="1:13">
      <c r="A2871" s="1">
        <f>HYPERLINK("http://www.twitter.com/NathanBLawrence/status/961466479488131072", "961466479488131072")</f>
        <v/>
      </c>
      <c r="B2871" s="2" t="n">
        <v>43139.21349537037</v>
      </c>
      <c r="C2871" t="n">
        <v>19</v>
      </c>
      <c r="D2871" t="n">
        <v>11</v>
      </c>
      <c r="E2871" t="s">
        <v>2875</v>
      </c>
      <c r="F2871" t="s"/>
      <c r="G2871" t="s"/>
      <c r="H2871" t="s"/>
      <c r="I2871" t="s"/>
      <c r="J2871" t="n">
        <v>-0.5266999999999999</v>
      </c>
      <c r="K2871" t="n">
        <v>0.207</v>
      </c>
      <c r="L2871" t="n">
        <v>0.793</v>
      </c>
      <c r="M2871" t="n">
        <v>0</v>
      </c>
    </row>
    <row r="2872" spans="1:13">
      <c r="A2872" s="1">
        <f>HYPERLINK("http://www.twitter.com/NathanBLawrence/status/961465815294918657", "961465815294918657")</f>
        <v/>
      </c>
      <c r="B2872" s="2" t="n">
        <v>43139.21166666667</v>
      </c>
      <c r="C2872" t="n">
        <v>0</v>
      </c>
      <c r="D2872" t="n">
        <v>7</v>
      </c>
      <c r="E2872" t="s">
        <v>2876</v>
      </c>
      <c r="F2872">
        <f>HYPERLINK("http://pbs.twimg.com/media/DVZvtSDXcAAGiQt.jpg", "http://pbs.twimg.com/media/DVZvtSDXcAAGiQt.jpg")</f>
        <v/>
      </c>
      <c r="G2872" t="s"/>
      <c r="H2872" t="s"/>
      <c r="I2872" t="s"/>
      <c r="J2872" t="n">
        <v>0.7096</v>
      </c>
      <c r="K2872" t="n">
        <v>0</v>
      </c>
      <c r="L2872" t="n">
        <v>0.704</v>
      </c>
      <c r="M2872" t="n">
        <v>0.296</v>
      </c>
    </row>
    <row r="2873" spans="1:13">
      <c r="A2873" s="1">
        <f>HYPERLINK("http://www.twitter.com/NathanBLawrence/status/961465769925033984", "961465769925033984")</f>
        <v/>
      </c>
      <c r="B2873" s="2" t="n">
        <v>43139.21153935185</v>
      </c>
      <c r="C2873" t="n">
        <v>0</v>
      </c>
      <c r="D2873" t="n">
        <v>55</v>
      </c>
      <c r="E2873" t="s">
        <v>2877</v>
      </c>
      <c r="F2873">
        <f>HYPERLINK("http://pbs.twimg.com/media/DVb8zryU0AAZL82.jpg", "http://pbs.twimg.com/media/DVb8zryU0AAZL82.jpg")</f>
        <v/>
      </c>
      <c r="G2873" t="s"/>
      <c r="H2873" t="s"/>
      <c r="I2873" t="s"/>
      <c r="J2873" t="n">
        <v>0</v>
      </c>
      <c r="K2873" t="n">
        <v>0</v>
      </c>
      <c r="L2873" t="n">
        <v>1</v>
      </c>
      <c r="M2873" t="n">
        <v>0</v>
      </c>
    </row>
    <row r="2874" spans="1:13">
      <c r="A2874" s="1">
        <f>HYPERLINK("http://www.twitter.com/NathanBLawrence/status/961465728766365696", "961465728766365696")</f>
        <v/>
      </c>
      <c r="B2874" s="2" t="n">
        <v>43139.21142361111</v>
      </c>
      <c r="C2874" t="n">
        <v>0</v>
      </c>
      <c r="D2874" t="n">
        <v>130</v>
      </c>
      <c r="E2874" t="s">
        <v>2878</v>
      </c>
      <c r="F2874">
        <f>HYPERLINK("http://pbs.twimg.com/media/DVcH5rqVoAEDA3D.jpg", "http://pbs.twimg.com/media/DVcH5rqVoAEDA3D.jpg")</f>
        <v/>
      </c>
      <c r="G2874" t="s"/>
      <c r="H2874" t="s"/>
      <c r="I2874" t="s"/>
      <c r="J2874" t="n">
        <v>-0.8442</v>
      </c>
      <c r="K2874" t="n">
        <v>0.269</v>
      </c>
      <c r="L2874" t="n">
        <v>0.731</v>
      </c>
      <c r="M2874" t="n">
        <v>0</v>
      </c>
    </row>
    <row r="2875" spans="1:13">
      <c r="A2875" s="1">
        <f>HYPERLINK("http://www.twitter.com/NathanBLawrence/status/961465541637545986", "961465541637545986")</f>
        <v/>
      </c>
      <c r="B2875" s="2" t="n">
        <v>43139.21090277778</v>
      </c>
      <c r="C2875" t="n">
        <v>0</v>
      </c>
      <c r="D2875" t="n">
        <v>331</v>
      </c>
      <c r="E2875" t="s">
        <v>2879</v>
      </c>
      <c r="F2875">
        <f>HYPERLINK("https://video.twimg.com/ext_tw_video/961359706508877825/pu/vid/240x180/IejPvqpmrU5EtEE6.mp4", "https://video.twimg.com/ext_tw_video/961359706508877825/pu/vid/240x180/IejPvqpmrU5EtEE6.mp4")</f>
        <v/>
      </c>
      <c r="G2875" t="s"/>
      <c r="H2875" t="s"/>
      <c r="I2875" t="s"/>
      <c r="J2875" t="n">
        <v>-0.0572</v>
      </c>
      <c r="K2875" t="n">
        <v>0.08</v>
      </c>
      <c r="L2875" t="n">
        <v>0.92</v>
      </c>
      <c r="M2875" t="n">
        <v>0</v>
      </c>
    </row>
    <row r="2876" spans="1:13">
      <c r="A2876" s="1">
        <f>HYPERLINK("http://www.twitter.com/NathanBLawrence/status/961465482413981696", "961465482413981696")</f>
        <v/>
      </c>
      <c r="B2876" s="2" t="n">
        <v>43139.21074074074</v>
      </c>
      <c r="C2876" t="n">
        <v>0</v>
      </c>
      <c r="D2876" t="n">
        <v>20</v>
      </c>
      <c r="E2876" t="s">
        <v>2880</v>
      </c>
      <c r="F2876">
        <f>HYPERLINK("http://pbs.twimg.com/media/DVelBtjX0AEBboq.jpg", "http://pbs.twimg.com/media/DVelBtjX0AEBboq.jpg")</f>
        <v/>
      </c>
      <c r="G2876" t="s"/>
      <c r="H2876" t="s"/>
      <c r="I2876" t="s"/>
      <c r="J2876" t="n">
        <v>0</v>
      </c>
      <c r="K2876" t="n">
        <v>0</v>
      </c>
      <c r="L2876" t="n">
        <v>1</v>
      </c>
      <c r="M2876" t="n">
        <v>0</v>
      </c>
    </row>
    <row r="2877" spans="1:13">
      <c r="A2877" s="1">
        <f>HYPERLINK("http://www.twitter.com/NathanBLawrence/status/961465425266540544", "961465425266540544")</f>
        <v/>
      </c>
      <c r="B2877" s="2" t="n">
        <v>43139.21059027778</v>
      </c>
      <c r="C2877" t="n">
        <v>0</v>
      </c>
      <c r="D2877" t="n">
        <v>12</v>
      </c>
      <c r="E2877" t="s">
        <v>2881</v>
      </c>
      <c r="F2877">
        <f>HYPERLINK("http://pbs.twimg.com/media/DVfEbNMUQAAwab9.jpg", "http://pbs.twimg.com/media/DVfEbNMUQAAwab9.jpg")</f>
        <v/>
      </c>
      <c r="G2877" t="s"/>
      <c r="H2877" t="s"/>
      <c r="I2877" t="s"/>
      <c r="J2877" t="n">
        <v>0</v>
      </c>
      <c r="K2877" t="n">
        <v>0</v>
      </c>
      <c r="L2877" t="n">
        <v>1</v>
      </c>
      <c r="M2877" t="n">
        <v>0</v>
      </c>
    </row>
    <row r="2878" spans="1:13">
      <c r="A2878" s="1">
        <f>HYPERLINK("http://www.twitter.com/NathanBLawrence/status/961465320245358593", "961465320245358593")</f>
        <v/>
      </c>
      <c r="B2878" s="2" t="n">
        <v>43139.21030092592</v>
      </c>
      <c r="C2878" t="n">
        <v>0</v>
      </c>
      <c r="D2878" t="n">
        <v>45</v>
      </c>
      <c r="E2878" t="s">
        <v>2882</v>
      </c>
      <c r="F2878">
        <f>HYPERLINK("http://pbs.twimg.com/media/DG1MQ8wUMAADGD4.jpg", "http://pbs.twimg.com/media/DG1MQ8wUMAADGD4.jpg")</f>
        <v/>
      </c>
      <c r="G2878" t="s"/>
      <c r="H2878" t="s"/>
      <c r="I2878" t="s"/>
      <c r="J2878" t="n">
        <v>0</v>
      </c>
      <c r="K2878" t="n">
        <v>0</v>
      </c>
      <c r="L2878" t="n">
        <v>1</v>
      </c>
      <c r="M2878" t="n">
        <v>0</v>
      </c>
    </row>
    <row r="2879" spans="1:13">
      <c r="A2879" s="1">
        <f>HYPERLINK("http://www.twitter.com/NathanBLawrence/status/961464490515611648", "961464490515611648")</f>
        <v/>
      </c>
      <c r="B2879" s="2" t="n">
        <v>43139.20800925926</v>
      </c>
      <c r="C2879" t="n">
        <v>0</v>
      </c>
      <c r="D2879" t="n">
        <v>12</v>
      </c>
      <c r="E2879" t="s">
        <v>2883</v>
      </c>
      <c r="F2879">
        <f>HYPERLINK("http://pbs.twimg.com/media/DVXQCOUVAAEnTBm.jpg", "http://pbs.twimg.com/media/DVXQCOUVAAEnTBm.jpg")</f>
        <v/>
      </c>
      <c r="G2879" t="s"/>
      <c r="H2879" t="s"/>
      <c r="I2879" t="s"/>
      <c r="J2879" t="n">
        <v>0</v>
      </c>
      <c r="K2879" t="n">
        <v>0</v>
      </c>
      <c r="L2879" t="n">
        <v>1</v>
      </c>
      <c r="M2879" t="n">
        <v>0</v>
      </c>
    </row>
    <row r="2880" spans="1:13">
      <c r="A2880" s="1">
        <f>HYPERLINK("http://www.twitter.com/NathanBLawrence/status/961464229285961728", "961464229285961728")</f>
        <v/>
      </c>
      <c r="B2880" s="2" t="n">
        <v>43139.20729166667</v>
      </c>
      <c r="C2880" t="n">
        <v>0</v>
      </c>
      <c r="D2880" t="n">
        <v>10</v>
      </c>
      <c r="E2880" t="s">
        <v>2884</v>
      </c>
      <c r="F2880">
        <f>HYPERLINK("http://pbs.twimg.com/media/DVdcRfFVwAAsOwu.jpg", "http://pbs.twimg.com/media/DVdcRfFVwAAsOwu.jpg")</f>
        <v/>
      </c>
      <c r="G2880" t="s"/>
      <c r="H2880" t="s"/>
      <c r="I2880" t="s"/>
      <c r="J2880" t="n">
        <v>0</v>
      </c>
      <c r="K2880" t="n">
        <v>0</v>
      </c>
      <c r="L2880" t="n">
        <v>1</v>
      </c>
      <c r="M2880" t="n">
        <v>0</v>
      </c>
    </row>
    <row r="2881" spans="1:13">
      <c r="A2881" s="1">
        <f>HYPERLINK("http://www.twitter.com/NathanBLawrence/status/961445128521920513", "961445128521920513")</f>
        <v/>
      </c>
      <c r="B2881" s="2" t="n">
        <v>43139.15458333334</v>
      </c>
      <c r="C2881" t="n">
        <v>0</v>
      </c>
      <c r="D2881" t="n">
        <v>595</v>
      </c>
      <c r="E2881" t="s">
        <v>2885</v>
      </c>
      <c r="F2881">
        <f>HYPERLINK("http://pbs.twimg.com/media/DVeVN3qUQAA1P8A.jpg", "http://pbs.twimg.com/media/DVeVN3qUQAA1P8A.jpg")</f>
        <v/>
      </c>
      <c r="G2881" t="s"/>
      <c r="H2881" t="s"/>
      <c r="I2881" t="s"/>
      <c r="J2881" t="n">
        <v>-0.7466</v>
      </c>
      <c r="K2881" t="n">
        <v>0.289</v>
      </c>
      <c r="L2881" t="n">
        <v>0.632</v>
      </c>
      <c r="M2881" t="n">
        <v>0.078</v>
      </c>
    </row>
    <row r="2882" spans="1:13">
      <c r="A2882" s="1">
        <f>HYPERLINK("http://www.twitter.com/NathanBLawrence/status/961439218722418688", "961439218722418688")</f>
        <v/>
      </c>
      <c r="B2882" s="2" t="n">
        <v>43139.13827546296</v>
      </c>
      <c r="C2882" t="n">
        <v>12</v>
      </c>
      <c r="D2882" t="n">
        <v>10</v>
      </c>
      <c r="E2882" t="s">
        <v>2886</v>
      </c>
      <c r="F2882" t="s"/>
      <c r="G2882" t="s"/>
      <c r="H2882" t="s"/>
      <c r="I2882" t="s"/>
      <c r="J2882" t="n">
        <v>0</v>
      </c>
      <c r="K2882" t="n">
        <v>0</v>
      </c>
      <c r="L2882" t="n">
        <v>1</v>
      </c>
      <c r="M2882" t="n">
        <v>0</v>
      </c>
    </row>
    <row r="2883" spans="1:13">
      <c r="A2883" s="1">
        <f>HYPERLINK("http://www.twitter.com/NathanBLawrence/status/961438707755528192", "961438707755528192")</f>
        <v/>
      </c>
      <c r="B2883" s="2" t="n">
        <v>43139.13686342593</v>
      </c>
      <c r="C2883" t="n">
        <v>3</v>
      </c>
      <c r="D2883" t="n">
        <v>1</v>
      </c>
      <c r="E2883" t="s">
        <v>2887</v>
      </c>
      <c r="F2883" t="s"/>
      <c r="G2883" t="s"/>
      <c r="H2883" t="s"/>
      <c r="I2883" t="s"/>
      <c r="J2883" t="n">
        <v>0</v>
      </c>
      <c r="K2883" t="n">
        <v>0</v>
      </c>
      <c r="L2883" t="n">
        <v>1</v>
      </c>
      <c r="M2883" t="n">
        <v>0</v>
      </c>
    </row>
    <row r="2884" spans="1:13">
      <c r="A2884" s="1">
        <f>HYPERLINK("http://www.twitter.com/NathanBLawrence/status/961344392517713920", "961344392517713920")</f>
        <v/>
      </c>
      <c r="B2884" s="2" t="n">
        <v>43138.87659722222</v>
      </c>
      <c r="C2884" t="n">
        <v>0</v>
      </c>
      <c r="D2884" t="n">
        <v>2073</v>
      </c>
      <c r="E2884" t="s">
        <v>2888</v>
      </c>
      <c r="F2884" t="s"/>
      <c r="G2884" t="s"/>
      <c r="H2884" t="s"/>
      <c r="I2884" t="s"/>
      <c r="J2884" t="n">
        <v>0</v>
      </c>
      <c r="K2884" t="n">
        <v>0</v>
      </c>
      <c r="L2884" t="n">
        <v>1</v>
      </c>
      <c r="M2884" t="n">
        <v>0</v>
      </c>
    </row>
    <row r="2885" spans="1:13">
      <c r="A2885" s="1">
        <f>HYPERLINK("http://www.twitter.com/NathanBLawrence/status/961344161625419776", "961344161625419776")</f>
        <v/>
      </c>
      <c r="B2885" s="2" t="n">
        <v>43138.87596064815</v>
      </c>
      <c r="C2885" t="n">
        <v>0</v>
      </c>
      <c r="D2885" t="n">
        <v>21340</v>
      </c>
      <c r="E2885" t="s">
        <v>2889</v>
      </c>
      <c r="F2885" t="s"/>
      <c r="G2885" t="s"/>
      <c r="H2885" t="s"/>
      <c r="I2885" t="s"/>
      <c r="J2885" t="n">
        <v>0.7003</v>
      </c>
      <c r="K2885" t="n">
        <v>0</v>
      </c>
      <c r="L2885" t="n">
        <v>0.799</v>
      </c>
      <c r="M2885" t="n">
        <v>0.201</v>
      </c>
    </row>
    <row r="2886" spans="1:13">
      <c r="A2886" s="1">
        <f>HYPERLINK("http://www.twitter.com/NathanBLawrence/status/961343174705688576", "961343174705688576")</f>
        <v/>
      </c>
      <c r="B2886" s="2" t="n">
        <v>43138.87324074074</v>
      </c>
      <c r="C2886" t="n">
        <v>0</v>
      </c>
      <c r="D2886" t="n">
        <v>894</v>
      </c>
      <c r="E2886" t="s">
        <v>2890</v>
      </c>
      <c r="F2886" t="s"/>
      <c r="G2886" t="s"/>
      <c r="H2886" t="s"/>
      <c r="I2886" t="s"/>
      <c r="J2886" t="n">
        <v>0.1935</v>
      </c>
      <c r="K2886" t="n">
        <v>0.136</v>
      </c>
      <c r="L2886" t="n">
        <v>0.699</v>
      </c>
      <c r="M2886" t="n">
        <v>0.164</v>
      </c>
    </row>
    <row r="2887" spans="1:13">
      <c r="A2887" s="1">
        <f>HYPERLINK("http://www.twitter.com/NathanBLawrence/status/961311388932059136", "961311388932059136")</f>
        <v/>
      </c>
      <c r="B2887" s="2" t="n">
        <v>43138.7855324074</v>
      </c>
      <c r="C2887" t="n">
        <v>0</v>
      </c>
      <c r="D2887" t="n">
        <v>13</v>
      </c>
      <c r="E2887" t="s">
        <v>2891</v>
      </c>
      <c r="F2887">
        <f>HYPERLINK("http://pbs.twimg.com/media/DVaOAowWsAAjwIO.jpg", "http://pbs.twimg.com/media/DVaOAowWsAAjwIO.jpg")</f>
        <v/>
      </c>
      <c r="G2887" t="s"/>
      <c r="H2887" t="s"/>
      <c r="I2887" t="s"/>
      <c r="J2887" t="n">
        <v>0.3182</v>
      </c>
      <c r="K2887" t="n">
        <v>0</v>
      </c>
      <c r="L2887" t="n">
        <v>0.796</v>
      </c>
      <c r="M2887" t="n">
        <v>0.204</v>
      </c>
    </row>
    <row r="2888" spans="1:13">
      <c r="A2888" s="1">
        <f>HYPERLINK("http://www.twitter.com/NathanBLawrence/status/961311250981384192", "961311250981384192")</f>
        <v/>
      </c>
      <c r="B2888" s="2" t="n">
        <v>43138.78515046297</v>
      </c>
      <c r="C2888" t="n">
        <v>0</v>
      </c>
      <c r="D2888" t="n">
        <v>15</v>
      </c>
      <c r="E2888" t="s">
        <v>2892</v>
      </c>
      <c r="F2888">
        <f>HYPERLINK("http://pbs.twimg.com/media/DVXVbnYUQAAcAY6.jpg", "http://pbs.twimg.com/media/DVXVbnYUQAAcAY6.jpg")</f>
        <v/>
      </c>
      <c r="G2888" t="s"/>
      <c r="H2888" t="s"/>
      <c r="I2888" t="s"/>
      <c r="J2888" t="n">
        <v>-0.4466</v>
      </c>
      <c r="K2888" t="n">
        <v>0.166</v>
      </c>
      <c r="L2888" t="n">
        <v>0.744</v>
      </c>
      <c r="M2888" t="n">
        <v>0.09</v>
      </c>
    </row>
    <row r="2889" spans="1:13">
      <c r="A2889" s="1">
        <f>HYPERLINK("http://www.twitter.com/NathanBLawrence/status/961311171960860672", "961311171960860672")</f>
        <v/>
      </c>
      <c r="B2889" s="2" t="n">
        <v>43138.78493055556</v>
      </c>
      <c r="C2889" t="n">
        <v>0</v>
      </c>
      <c r="D2889" t="n">
        <v>21</v>
      </c>
      <c r="E2889" t="s">
        <v>2893</v>
      </c>
      <c r="F2889">
        <f>HYPERLINK("http://pbs.twimg.com/media/DVYQAHHWkAA8Qgc.jpg", "http://pbs.twimg.com/media/DVYQAHHWkAA8Qgc.jpg")</f>
        <v/>
      </c>
      <c r="G2889" t="s"/>
      <c r="H2889" t="s"/>
      <c r="I2889" t="s"/>
      <c r="J2889" t="n">
        <v>0</v>
      </c>
      <c r="K2889" t="n">
        <v>0</v>
      </c>
      <c r="L2889" t="n">
        <v>1</v>
      </c>
      <c r="M2889" t="n">
        <v>0</v>
      </c>
    </row>
    <row r="2890" spans="1:13">
      <c r="A2890" s="1">
        <f>HYPERLINK("http://www.twitter.com/NathanBLawrence/status/961310928431034368", "961310928431034368")</f>
        <v/>
      </c>
      <c r="B2890" s="2" t="n">
        <v>43138.78425925926</v>
      </c>
      <c r="C2890" t="n">
        <v>7</v>
      </c>
      <c r="D2890" t="n">
        <v>3</v>
      </c>
      <c r="E2890" t="s">
        <v>2894</v>
      </c>
      <c r="F2890" t="s"/>
      <c r="G2890" t="s"/>
      <c r="H2890" t="s"/>
      <c r="I2890" t="s"/>
      <c r="J2890" t="n">
        <v>0.3802</v>
      </c>
      <c r="K2890" t="n">
        <v>0</v>
      </c>
      <c r="L2890" t="n">
        <v>0.8090000000000001</v>
      </c>
      <c r="M2890" t="n">
        <v>0.191</v>
      </c>
    </row>
    <row r="2891" spans="1:13">
      <c r="A2891" s="1">
        <f>HYPERLINK("http://www.twitter.com/NathanBLawrence/status/961310007449894912", "961310007449894912")</f>
        <v/>
      </c>
      <c r="B2891" s="2" t="n">
        <v>43138.78171296296</v>
      </c>
      <c r="C2891" t="n">
        <v>0</v>
      </c>
      <c r="D2891" t="n">
        <v>1468</v>
      </c>
      <c r="E2891" t="s">
        <v>2895</v>
      </c>
      <c r="F2891" t="s"/>
      <c r="G2891" t="s"/>
      <c r="H2891" t="s"/>
      <c r="I2891" t="s"/>
      <c r="J2891" t="n">
        <v>-0.1027</v>
      </c>
      <c r="K2891" t="n">
        <v>0.154</v>
      </c>
      <c r="L2891" t="n">
        <v>0.708</v>
      </c>
      <c r="M2891" t="n">
        <v>0.137</v>
      </c>
    </row>
    <row r="2892" spans="1:13">
      <c r="A2892" s="1">
        <f>HYPERLINK("http://www.twitter.com/NathanBLawrence/status/961186257895243777", "961186257895243777")</f>
        <v/>
      </c>
      <c r="B2892" s="2" t="n">
        <v>43138.44023148148</v>
      </c>
      <c r="C2892" t="n">
        <v>0</v>
      </c>
      <c r="D2892" t="n">
        <v>410</v>
      </c>
      <c r="E2892" t="s">
        <v>2896</v>
      </c>
      <c r="F2892">
        <f>HYPERLINK("http://pbs.twimg.com/media/DVJNN0mVwAAvQEm.jpg", "http://pbs.twimg.com/media/DVJNN0mVwAAvQEm.jpg")</f>
        <v/>
      </c>
      <c r="G2892" t="s"/>
      <c r="H2892" t="s"/>
      <c r="I2892" t="s"/>
      <c r="J2892" t="n">
        <v>0</v>
      </c>
      <c r="K2892" t="n">
        <v>0</v>
      </c>
      <c r="L2892" t="n">
        <v>1</v>
      </c>
      <c r="M2892" t="n">
        <v>0</v>
      </c>
    </row>
    <row r="2893" spans="1:13">
      <c r="A2893" s="1">
        <f>HYPERLINK("http://www.twitter.com/NathanBLawrence/status/961186062428094465", "961186062428094465")</f>
        <v/>
      </c>
      <c r="B2893" s="2" t="n">
        <v>43138.4396875</v>
      </c>
      <c r="C2893" t="n">
        <v>0</v>
      </c>
      <c r="D2893" t="n">
        <v>40</v>
      </c>
      <c r="E2893" t="s">
        <v>2897</v>
      </c>
      <c r="F2893">
        <f>HYPERLINK("http://pbs.twimg.com/media/DVWiZP_UMAIS2A6.jpg", "http://pbs.twimg.com/media/DVWiZP_UMAIS2A6.jpg")</f>
        <v/>
      </c>
      <c r="G2893" t="s"/>
      <c r="H2893" t="s"/>
      <c r="I2893" t="s"/>
      <c r="J2893" t="n">
        <v>-0.5411</v>
      </c>
      <c r="K2893" t="n">
        <v>0.241</v>
      </c>
      <c r="L2893" t="n">
        <v>0.759</v>
      </c>
      <c r="M2893" t="n">
        <v>0</v>
      </c>
    </row>
    <row r="2894" spans="1:13">
      <c r="A2894" s="1">
        <f>HYPERLINK("http://www.twitter.com/NathanBLawrence/status/961185867107741697", "961185867107741697")</f>
        <v/>
      </c>
      <c r="B2894" s="2" t="n">
        <v>43138.43915509259</v>
      </c>
      <c r="C2894" t="n">
        <v>0</v>
      </c>
      <c r="D2894" t="n">
        <v>83</v>
      </c>
      <c r="E2894" t="s">
        <v>2898</v>
      </c>
      <c r="F2894">
        <f>HYPERLINK("http://pbs.twimg.com/media/DVbRI1ZW4AA2MgY.jpg", "http://pbs.twimg.com/media/DVbRI1ZW4AA2MgY.jpg")</f>
        <v/>
      </c>
      <c r="G2894" t="s"/>
      <c r="H2894" t="s"/>
      <c r="I2894" t="s"/>
      <c r="J2894" t="n">
        <v>0</v>
      </c>
      <c r="K2894" t="n">
        <v>0</v>
      </c>
      <c r="L2894" t="n">
        <v>1</v>
      </c>
      <c r="M2894" t="n">
        <v>0</v>
      </c>
    </row>
    <row r="2895" spans="1:13">
      <c r="A2895" s="1">
        <f>HYPERLINK("http://www.twitter.com/NathanBLawrence/status/961185428945616896", "961185428945616896")</f>
        <v/>
      </c>
      <c r="B2895" s="2" t="n">
        <v>43138.43793981482</v>
      </c>
      <c r="C2895" t="n">
        <v>14</v>
      </c>
      <c r="D2895" t="n">
        <v>7</v>
      </c>
      <c r="E2895" t="s">
        <v>2899</v>
      </c>
      <c r="F2895" t="s"/>
      <c r="G2895" t="s"/>
      <c r="H2895" t="s"/>
      <c r="I2895" t="s"/>
      <c r="J2895" t="n">
        <v>-0.623</v>
      </c>
      <c r="K2895" t="n">
        <v>0.239</v>
      </c>
      <c r="L2895" t="n">
        <v>0.761</v>
      </c>
      <c r="M2895" t="n">
        <v>0</v>
      </c>
    </row>
    <row r="2896" spans="1:13">
      <c r="A2896" s="1">
        <f>HYPERLINK("http://www.twitter.com/NathanBLawrence/status/961168855161749505", "961168855161749505")</f>
        <v/>
      </c>
      <c r="B2896" s="2" t="n">
        <v>43138.39221064815</v>
      </c>
      <c r="C2896" t="n">
        <v>0</v>
      </c>
      <c r="D2896" t="n">
        <v>1714</v>
      </c>
      <c r="E2896" t="s">
        <v>2900</v>
      </c>
      <c r="F2896" t="s"/>
      <c r="G2896" t="s"/>
      <c r="H2896" t="s"/>
      <c r="I2896" t="s"/>
      <c r="J2896" t="n">
        <v>0</v>
      </c>
      <c r="K2896" t="n">
        <v>0</v>
      </c>
      <c r="L2896" t="n">
        <v>1</v>
      </c>
      <c r="M2896" t="n">
        <v>0</v>
      </c>
    </row>
    <row r="2897" spans="1:13">
      <c r="A2897" s="1">
        <f>HYPERLINK("http://www.twitter.com/NathanBLawrence/status/961168505750958082", "961168505750958082")</f>
        <v/>
      </c>
      <c r="B2897" s="2" t="n">
        <v>43138.39125</v>
      </c>
      <c r="C2897" t="n">
        <v>0</v>
      </c>
      <c r="D2897" t="n">
        <v>84</v>
      </c>
      <c r="E2897" t="s">
        <v>2901</v>
      </c>
      <c r="F2897">
        <f>HYPERLINK("http://pbs.twimg.com/media/DVaD2G_WsAEcoaq.jpg", "http://pbs.twimg.com/media/DVaD2G_WsAEcoaq.jpg")</f>
        <v/>
      </c>
      <c r="G2897" t="s"/>
      <c r="H2897" t="s"/>
      <c r="I2897" t="s"/>
      <c r="J2897" t="n">
        <v>0</v>
      </c>
      <c r="K2897" t="n">
        <v>0</v>
      </c>
      <c r="L2897" t="n">
        <v>1</v>
      </c>
      <c r="M2897" t="n">
        <v>0</v>
      </c>
    </row>
    <row r="2898" spans="1:13">
      <c r="A2898" s="1">
        <f>HYPERLINK("http://www.twitter.com/NathanBLawrence/status/961142239836721154", "961142239836721154")</f>
        <v/>
      </c>
      <c r="B2898" s="2" t="n">
        <v>43138.31876157408</v>
      </c>
      <c r="C2898" t="n">
        <v>0</v>
      </c>
      <c r="D2898" t="n">
        <v>4</v>
      </c>
      <c r="E2898" t="s">
        <v>2902</v>
      </c>
      <c r="F2898" t="s"/>
      <c r="G2898" t="s"/>
      <c r="H2898" t="s"/>
      <c r="I2898" t="s"/>
      <c r="J2898" t="n">
        <v>-0.8481</v>
      </c>
      <c r="K2898" t="n">
        <v>0.326</v>
      </c>
      <c r="L2898" t="n">
        <v>0.674</v>
      </c>
      <c r="M2898" t="n">
        <v>0</v>
      </c>
    </row>
    <row r="2899" spans="1:13">
      <c r="A2899" s="1">
        <f>HYPERLINK("http://www.twitter.com/NathanBLawrence/status/961113839214481409", "961113839214481409")</f>
        <v/>
      </c>
      <c r="B2899" s="2" t="n">
        <v>43138.24039351852</v>
      </c>
      <c r="C2899" t="n">
        <v>34</v>
      </c>
      <c r="D2899" t="n">
        <v>8</v>
      </c>
      <c r="E2899" t="s">
        <v>2903</v>
      </c>
      <c r="F2899">
        <f>HYPERLINK("http://pbs.twimg.com/media/DVaP18CWsAAEduH.jpg", "http://pbs.twimg.com/media/DVaP18CWsAAEduH.jpg")</f>
        <v/>
      </c>
      <c r="G2899" t="s"/>
      <c r="H2899" t="s"/>
      <c r="I2899" t="s"/>
      <c r="J2899" t="n">
        <v>0</v>
      </c>
      <c r="K2899" t="n">
        <v>0</v>
      </c>
      <c r="L2899" t="n">
        <v>1</v>
      </c>
      <c r="M2899" t="n">
        <v>0</v>
      </c>
    </row>
    <row r="2900" spans="1:13">
      <c r="A2900" s="1">
        <f>HYPERLINK("http://www.twitter.com/NathanBLawrence/status/961113512788615168", "961113512788615168")</f>
        <v/>
      </c>
      <c r="B2900" s="2" t="n">
        <v>43138.23949074074</v>
      </c>
      <c r="C2900" t="n">
        <v>22</v>
      </c>
      <c r="D2900" t="n">
        <v>7</v>
      </c>
      <c r="E2900" t="s">
        <v>2904</v>
      </c>
      <c r="F2900">
        <f>HYPERLINK("http://pbs.twimg.com/media/DVaPm8DWAAI0JXm.jpg", "http://pbs.twimg.com/media/DVaPm8DWAAI0JXm.jpg")</f>
        <v/>
      </c>
      <c r="G2900" t="s"/>
      <c r="H2900" t="s"/>
      <c r="I2900" t="s"/>
      <c r="J2900" t="n">
        <v>0</v>
      </c>
      <c r="K2900" t="n">
        <v>0</v>
      </c>
      <c r="L2900" t="n">
        <v>1</v>
      </c>
      <c r="M2900" t="n">
        <v>0</v>
      </c>
    </row>
    <row r="2901" spans="1:13">
      <c r="A2901" s="1">
        <f>HYPERLINK("http://www.twitter.com/NathanBLawrence/status/961112212348817408", "961112212348817408")</f>
        <v/>
      </c>
      <c r="B2901" s="2" t="n">
        <v>43138.23590277778</v>
      </c>
      <c r="C2901" t="n">
        <v>0</v>
      </c>
      <c r="D2901" t="n">
        <v>35</v>
      </c>
      <c r="E2901" t="s">
        <v>2905</v>
      </c>
      <c r="F2901">
        <f>HYPERLINK("https://video.twimg.com/amplify_video/961045859625467905/vid/1280x720/m20KcT6bKf2Zhee9.mp4", "https://video.twimg.com/amplify_video/961045859625467905/vid/1280x720/m20KcT6bKf2Zhee9.mp4")</f>
        <v/>
      </c>
      <c r="G2901" t="s"/>
      <c r="H2901" t="s"/>
      <c r="I2901" t="s"/>
      <c r="J2901" t="n">
        <v>0</v>
      </c>
      <c r="K2901" t="n">
        <v>0</v>
      </c>
      <c r="L2901" t="n">
        <v>1</v>
      </c>
      <c r="M2901" t="n">
        <v>0</v>
      </c>
    </row>
    <row r="2902" spans="1:13">
      <c r="A2902" s="1">
        <f>HYPERLINK("http://www.twitter.com/NathanBLawrence/status/961111898832941056", "961111898832941056")</f>
        <v/>
      </c>
      <c r="B2902" s="2" t="n">
        <v>43138.23503472222</v>
      </c>
      <c r="C2902" t="n">
        <v>23</v>
      </c>
      <c r="D2902" t="n">
        <v>13</v>
      </c>
      <c r="E2902" t="s">
        <v>2906</v>
      </c>
      <c r="F2902">
        <f>HYPERLINK("http://pbs.twimg.com/media/DVaOAowWsAAjwIO.jpg", "http://pbs.twimg.com/media/DVaOAowWsAAjwIO.jpg")</f>
        <v/>
      </c>
      <c r="G2902" t="s"/>
      <c r="H2902" t="s"/>
      <c r="I2902" t="s"/>
      <c r="J2902" t="n">
        <v>0.3182</v>
      </c>
      <c r="K2902" t="n">
        <v>0</v>
      </c>
      <c r="L2902" t="n">
        <v>0.753</v>
      </c>
      <c r="M2902" t="n">
        <v>0.247</v>
      </c>
    </row>
    <row r="2903" spans="1:13">
      <c r="A2903" s="1">
        <f>HYPERLINK("http://www.twitter.com/NathanBLawrence/status/961105128337092608", "961105128337092608")</f>
        <v/>
      </c>
      <c r="B2903" s="2" t="n">
        <v>43138.21635416667</v>
      </c>
      <c r="C2903" t="n">
        <v>0</v>
      </c>
      <c r="D2903" t="n">
        <v>905</v>
      </c>
      <c r="E2903" t="s">
        <v>2907</v>
      </c>
      <c r="F2903">
        <f>HYPERLINK("http://pbs.twimg.com/media/DVaHGJ_WkAAup8J.jpg", "http://pbs.twimg.com/media/DVaHGJ_WkAAup8J.jpg")</f>
        <v/>
      </c>
      <c r="G2903" t="s"/>
      <c r="H2903" t="s"/>
      <c r="I2903" t="s"/>
      <c r="J2903" t="n">
        <v>0.4404</v>
      </c>
      <c r="K2903" t="n">
        <v>0</v>
      </c>
      <c r="L2903" t="n">
        <v>0.892</v>
      </c>
      <c r="M2903" t="n">
        <v>0.108</v>
      </c>
    </row>
    <row r="2904" spans="1:13">
      <c r="A2904" s="1">
        <f>HYPERLINK("http://www.twitter.com/NathanBLawrence/status/961103345602658305", "961103345602658305")</f>
        <v/>
      </c>
      <c r="B2904" s="2" t="n">
        <v>43138.21143518519</v>
      </c>
      <c r="C2904" t="n">
        <v>16</v>
      </c>
      <c r="D2904" t="n">
        <v>6</v>
      </c>
      <c r="E2904" t="s">
        <v>2908</v>
      </c>
      <c r="F2904" t="s"/>
      <c r="G2904" t="s"/>
      <c r="H2904" t="s"/>
      <c r="I2904" t="s"/>
      <c r="J2904" t="n">
        <v>0</v>
      </c>
      <c r="K2904" t="n">
        <v>0</v>
      </c>
      <c r="L2904" t="n">
        <v>1</v>
      </c>
      <c r="M2904" t="n">
        <v>0</v>
      </c>
    </row>
    <row r="2905" spans="1:13">
      <c r="A2905" s="1">
        <f>HYPERLINK("http://www.twitter.com/NathanBLawrence/status/961101663875497984", "961101663875497984")</f>
        <v/>
      </c>
      <c r="B2905" s="2" t="n">
        <v>43138.20679398148</v>
      </c>
      <c r="C2905" t="n">
        <v>22</v>
      </c>
      <c r="D2905" t="n">
        <v>15</v>
      </c>
      <c r="E2905" t="s">
        <v>2909</v>
      </c>
      <c r="F2905" t="s"/>
      <c r="G2905" t="s"/>
      <c r="H2905" t="s"/>
      <c r="I2905" t="s"/>
      <c r="J2905" t="n">
        <v>0</v>
      </c>
      <c r="K2905" t="n">
        <v>0</v>
      </c>
      <c r="L2905" t="n">
        <v>1</v>
      </c>
      <c r="M2905" t="n">
        <v>0</v>
      </c>
    </row>
    <row r="2906" spans="1:13">
      <c r="A2906" s="1">
        <f>HYPERLINK("http://www.twitter.com/NathanBLawrence/status/961084093399093248", "961084093399093248")</f>
        <v/>
      </c>
      <c r="B2906" s="2" t="n">
        <v>43138.15831018519</v>
      </c>
      <c r="C2906" t="n">
        <v>0</v>
      </c>
      <c r="D2906" t="n">
        <v>735</v>
      </c>
      <c r="E2906" t="s">
        <v>2910</v>
      </c>
      <c r="F2906">
        <f>HYPERLINK("http://pbs.twimg.com/media/DVWO9o2WsAEu7Dx.jpg", "http://pbs.twimg.com/media/DVWO9o2WsAEu7Dx.jpg")</f>
        <v/>
      </c>
      <c r="G2906" t="s"/>
      <c r="H2906" t="s"/>
      <c r="I2906" t="s"/>
      <c r="J2906" t="n">
        <v>-0.1316</v>
      </c>
      <c r="K2906" t="n">
        <v>0.08599999999999999</v>
      </c>
      <c r="L2906" t="n">
        <v>0.914</v>
      </c>
      <c r="M2906" t="n">
        <v>0</v>
      </c>
    </row>
    <row r="2907" spans="1:13">
      <c r="A2907" s="1">
        <f>HYPERLINK("http://www.twitter.com/NathanBLawrence/status/961083350382333952", "961083350382333952")</f>
        <v/>
      </c>
      <c r="B2907" s="2" t="n">
        <v>43138.15626157408</v>
      </c>
      <c r="C2907" t="n">
        <v>0</v>
      </c>
      <c r="D2907" t="n">
        <v>452</v>
      </c>
      <c r="E2907" t="s">
        <v>2911</v>
      </c>
      <c r="F2907">
        <f>HYPERLINK("http://pbs.twimg.com/media/DTHiQk2U8AA4eFf.jpg", "http://pbs.twimg.com/media/DTHiQk2U8AA4eFf.jpg")</f>
        <v/>
      </c>
      <c r="G2907" t="s"/>
      <c r="H2907" t="s"/>
      <c r="I2907" t="s"/>
      <c r="J2907" t="n">
        <v>0</v>
      </c>
      <c r="K2907" t="n">
        <v>0</v>
      </c>
      <c r="L2907" t="n">
        <v>1</v>
      </c>
      <c r="M2907" t="n">
        <v>0</v>
      </c>
    </row>
    <row r="2908" spans="1:13">
      <c r="A2908" s="1">
        <f>HYPERLINK("http://www.twitter.com/NathanBLawrence/status/961083205347520512", "961083205347520512")</f>
        <v/>
      </c>
      <c r="B2908" s="2" t="n">
        <v>43138.15585648148</v>
      </c>
      <c r="C2908" t="n">
        <v>0</v>
      </c>
      <c r="D2908" t="n">
        <v>163</v>
      </c>
      <c r="E2908" t="s">
        <v>2912</v>
      </c>
      <c r="F2908">
        <f>HYPERLINK("http://pbs.twimg.com/media/DU_H8kPX0AIVPkJ.jpg", "http://pbs.twimg.com/media/DU_H8kPX0AIVPkJ.jpg")</f>
        <v/>
      </c>
      <c r="G2908" t="s"/>
      <c r="H2908" t="s"/>
      <c r="I2908" t="s"/>
      <c r="J2908" t="n">
        <v>0</v>
      </c>
      <c r="K2908" t="n">
        <v>0</v>
      </c>
      <c r="L2908" t="n">
        <v>1</v>
      </c>
      <c r="M2908" t="n">
        <v>0</v>
      </c>
    </row>
    <row r="2909" spans="1:13">
      <c r="A2909" s="1">
        <f>HYPERLINK("http://www.twitter.com/NathanBLawrence/status/961083048186925057", "961083048186925057")</f>
        <v/>
      </c>
      <c r="B2909" s="2" t="n">
        <v>43138.15542824074</v>
      </c>
      <c r="C2909" t="n">
        <v>0</v>
      </c>
      <c r="D2909" t="n">
        <v>273</v>
      </c>
      <c r="E2909" t="s">
        <v>2913</v>
      </c>
      <c r="F2909">
        <f>HYPERLINK("http://pbs.twimg.com/media/DVXiTfvUMAEwRXd.jpg", "http://pbs.twimg.com/media/DVXiTfvUMAEwRXd.jpg")</f>
        <v/>
      </c>
      <c r="G2909" t="s"/>
      <c r="H2909" t="s"/>
      <c r="I2909" t="s"/>
      <c r="J2909" t="n">
        <v>0.0258</v>
      </c>
      <c r="K2909" t="n">
        <v>0</v>
      </c>
      <c r="L2909" t="n">
        <v>0.954</v>
      </c>
      <c r="M2909" t="n">
        <v>0.046</v>
      </c>
    </row>
    <row r="2910" spans="1:13">
      <c r="A2910" s="1">
        <f>HYPERLINK("http://www.twitter.com/NathanBLawrence/status/961082807052206080", "961082807052206080")</f>
        <v/>
      </c>
      <c r="B2910" s="2" t="n">
        <v>43138.15475694444</v>
      </c>
      <c r="C2910" t="n">
        <v>0</v>
      </c>
      <c r="D2910" t="n">
        <v>1078</v>
      </c>
      <c r="E2910" t="s">
        <v>2914</v>
      </c>
      <c r="F2910" t="s"/>
      <c r="G2910" t="s"/>
      <c r="H2910" t="s"/>
      <c r="I2910" t="s"/>
      <c r="J2910" t="n">
        <v>-0.5423</v>
      </c>
      <c r="K2910" t="n">
        <v>0.237</v>
      </c>
      <c r="L2910" t="n">
        <v>0.661</v>
      </c>
      <c r="M2910" t="n">
        <v>0.101</v>
      </c>
    </row>
    <row r="2911" spans="1:13">
      <c r="A2911" s="1">
        <f>HYPERLINK("http://www.twitter.com/NathanBLawrence/status/961082680287768576", "961082680287768576")</f>
        <v/>
      </c>
      <c r="B2911" s="2" t="n">
        <v>43138.15440972222</v>
      </c>
      <c r="C2911" t="n">
        <v>0</v>
      </c>
      <c r="D2911" t="n">
        <v>32042</v>
      </c>
      <c r="E2911" t="s">
        <v>2915</v>
      </c>
      <c r="F2911">
        <f>HYPERLINK("http://pbs.twimg.com/media/DVZLsz7W4AAjGRw.jpg", "http://pbs.twimg.com/media/DVZLsz7W4AAjGRw.jpg")</f>
        <v/>
      </c>
      <c r="G2911" t="s"/>
      <c r="H2911" t="s"/>
      <c r="I2911" t="s"/>
      <c r="J2911" t="n">
        <v>0.8188</v>
      </c>
      <c r="K2911" t="n">
        <v>0</v>
      </c>
      <c r="L2911" t="n">
        <v>0.666</v>
      </c>
      <c r="M2911" t="n">
        <v>0.334</v>
      </c>
    </row>
    <row r="2912" spans="1:13">
      <c r="A2912" s="1">
        <f>HYPERLINK("http://www.twitter.com/NathanBLawrence/status/961082408014528512", "961082408014528512")</f>
        <v/>
      </c>
      <c r="B2912" s="2" t="n">
        <v>43138.15365740741</v>
      </c>
      <c r="C2912" t="n">
        <v>0</v>
      </c>
      <c r="D2912" t="n">
        <v>526</v>
      </c>
      <c r="E2912" t="s">
        <v>2916</v>
      </c>
      <c r="F2912">
        <f>HYPERLINK("http://pbs.twimg.com/media/DVZaUTIVoAAZz2y.jpg", "http://pbs.twimg.com/media/DVZaUTIVoAAZz2y.jpg")</f>
        <v/>
      </c>
      <c r="G2912" t="s"/>
      <c r="H2912" t="s"/>
      <c r="I2912" t="s"/>
      <c r="J2912" t="n">
        <v>0</v>
      </c>
      <c r="K2912" t="n">
        <v>0</v>
      </c>
      <c r="L2912" t="n">
        <v>1</v>
      </c>
      <c r="M2912" t="n">
        <v>0</v>
      </c>
    </row>
    <row r="2913" spans="1:13">
      <c r="A2913" s="1">
        <f>HYPERLINK("http://www.twitter.com/NathanBLawrence/status/961081043120828421", "961081043120828421")</f>
        <v/>
      </c>
      <c r="B2913" s="2" t="n">
        <v>43138.14989583333</v>
      </c>
      <c r="C2913" t="n">
        <v>0</v>
      </c>
      <c r="D2913" t="n">
        <v>1896</v>
      </c>
      <c r="E2913" t="s">
        <v>2917</v>
      </c>
      <c r="F2913">
        <f>HYPERLINK("http://pbs.twimg.com/media/DVZW4l-VQAAJD5x.jpg", "http://pbs.twimg.com/media/DVZW4l-VQAAJD5x.jpg")</f>
        <v/>
      </c>
      <c r="G2913" t="s"/>
      <c r="H2913" t="s"/>
      <c r="I2913" t="s"/>
      <c r="J2913" t="n">
        <v>0.7114</v>
      </c>
      <c r="K2913" t="n">
        <v>0</v>
      </c>
      <c r="L2913" t="n">
        <v>0.762</v>
      </c>
      <c r="M2913" t="n">
        <v>0.238</v>
      </c>
    </row>
    <row r="2914" spans="1:13">
      <c r="A2914" s="1">
        <f>HYPERLINK("http://www.twitter.com/NathanBLawrence/status/961080910807363584", "961080910807363584")</f>
        <v/>
      </c>
      <c r="B2914" s="2" t="n">
        <v>43138.14952546296</v>
      </c>
      <c r="C2914" t="n">
        <v>0</v>
      </c>
      <c r="D2914" t="n">
        <v>30761</v>
      </c>
      <c r="E2914" t="s">
        <v>2918</v>
      </c>
      <c r="F2914">
        <f>HYPERLINK("https://video.twimg.com/ext_tw_video/961073405767421952/pu/vid/720x720/xSgMI4x1hJpAimeP.mp4", "https://video.twimg.com/ext_tw_video/961073405767421952/pu/vid/720x720/xSgMI4x1hJpAimeP.mp4")</f>
        <v/>
      </c>
      <c r="G2914" t="s"/>
      <c r="H2914" t="s"/>
      <c r="I2914" t="s"/>
      <c r="J2914" t="n">
        <v>0.8270999999999999</v>
      </c>
      <c r="K2914" t="n">
        <v>0</v>
      </c>
      <c r="L2914" t="n">
        <v>0.661</v>
      </c>
      <c r="M2914" t="n">
        <v>0.339</v>
      </c>
    </row>
    <row r="2915" spans="1:13">
      <c r="A2915" s="1">
        <f>HYPERLINK("http://www.twitter.com/NathanBLawrence/status/961080433118101504", "961080433118101504")</f>
        <v/>
      </c>
      <c r="B2915" s="2" t="n">
        <v>43138.14820601852</v>
      </c>
      <c r="C2915" t="n">
        <v>232</v>
      </c>
      <c r="D2915" t="n">
        <v>173</v>
      </c>
      <c r="E2915" t="s">
        <v>2919</v>
      </c>
      <c r="F2915">
        <f>HYPERLINK("http://pbs.twimg.com/media/DVZU43FV4AATiG6.jpg", "http://pbs.twimg.com/media/DVZU43FV4AATiG6.jpg")</f>
        <v/>
      </c>
      <c r="G2915" t="s"/>
      <c r="H2915" t="s"/>
      <c r="I2915" t="s"/>
      <c r="J2915" t="n">
        <v>0.8673</v>
      </c>
      <c r="K2915" t="n">
        <v>0</v>
      </c>
      <c r="L2915" t="n">
        <v>0.792</v>
      </c>
      <c r="M2915" t="n">
        <v>0.208</v>
      </c>
    </row>
    <row r="2916" spans="1:13">
      <c r="A2916" s="1">
        <f>HYPERLINK("http://www.twitter.com/NathanBLawrence/status/960993538912567297", "960993538912567297")</f>
        <v/>
      </c>
      <c r="B2916" s="2" t="n">
        <v>43137.90842592593</v>
      </c>
      <c r="C2916" t="n">
        <v>31</v>
      </c>
      <c r="D2916" t="n">
        <v>17</v>
      </c>
      <c r="E2916" t="s">
        <v>2920</v>
      </c>
      <c r="F2916" t="s"/>
      <c r="G2916" t="s"/>
      <c r="H2916" t="s"/>
      <c r="I2916" t="s"/>
      <c r="J2916" t="n">
        <v>0.2622</v>
      </c>
      <c r="K2916" t="n">
        <v>0</v>
      </c>
      <c r="L2916" t="n">
        <v>0.945</v>
      </c>
      <c r="M2916" t="n">
        <v>0.055</v>
      </c>
    </row>
    <row r="2917" spans="1:13">
      <c r="A2917" s="1">
        <f>HYPERLINK("http://www.twitter.com/NathanBLawrence/status/960992166255329281", "960992166255329281")</f>
        <v/>
      </c>
      <c r="B2917" s="2" t="n">
        <v>43137.90464120371</v>
      </c>
      <c r="C2917" t="n">
        <v>0</v>
      </c>
      <c r="D2917" t="n">
        <v>291</v>
      </c>
      <c r="E2917" t="s">
        <v>2921</v>
      </c>
      <c r="F2917">
        <f>HYPERLINK("http://pbs.twimg.com/media/DVYOYz7U0AAFO0u.jpg", "http://pbs.twimg.com/media/DVYOYz7U0AAFO0u.jpg")</f>
        <v/>
      </c>
      <c r="G2917" t="s"/>
      <c r="H2917" t="s"/>
      <c r="I2917" t="s"/>
      <c r="J2917" t="n">
        <v>-0.6166</v>
      </c>
      <c r="K2917" t="n">
        <v>0.237</v>
      </c>
      <c r="L2917" t="n">
        <v>0.633</v>
      </c>
      <c r="M2917" t="n">
        <v>0.13</v>
      </c>
    </row>
    <row r="2918" spans="1:13">
      <c r="A2918" s="1">
        <f>HYPERLINK("http://www.twitter.com/NathanBLawrence/status/960991986273550338", "960991986273550338")</f>
        <v/>
      </c>
      <c r="B2918" s="2" t="n">
        <v>43137.90414351852</v>
      </c>
      <c r="C2918" t="n">
        <v>0</v>
      </c>
      <c r="D2918" t="n">
        <v>78</v>
      </c>
      <c r="E2918" t="s">
        <v>2922</v>
      </c>
      <c r="F2918" t="s"/>
      <c r="G2918" t="s"/>
      <c r="H2918" t="s"/>
      <c r="I2918" t="s"/>
      <c r="J2918" t="n">
        <v>-0.4404</v>
      </c>
      <c r="K2918" t="n">
        <v>0.139</v>
      </c>
      <c r="L2918" t="n">
        <v>0.861</v>
      </c>
      <c r="M2918" t="n">
        <v>0</v>
      </c>
    </row>
    <row r="2919" spans="1:13">
      <c r="A2919" s="1">
        <f>HYPERLINK("http://www.twitter.com/NathanBLawrence/status/960991850784894977", "960991850784894977")</f>
        <v/>
      </c>
      <c r="B2919" s="2" t="n">
        <v>43137.90377314815</v>
      </c>
      <c r="C2919" t="n">
        <v>0</v>
      </c>
      <c r="D2919" t="n">
        <v>1141</v>
      </c>
      <c r="E2919" t="s">
        <v>2923</v>
      </c>
      <c r="F2919" t="s"/>
      <c r="G2919" t="s"/>
      <c r="H2919" t="s"/>
      <c r="I2919" t="s"/>
      <c r="J2919" t="n">
        <v>0</v>
      </c>
      <c r="K2919" t="n">
        <v>0</v>
      </c>
      <c r="L2919" t="n">
        <v>1</v>
      </c>
      <c r="M2919" t="n">
        <v>0</v>
      </c>
    </row>
    <row r="2920" spans="1:13">
      <c r="A2920" s="1">
        <f>HYPERLINK("http://www.twitter.com/NathanBLawrence/status/960991515475550208", "960991515475550208")</f>
        <v/>
      </c>
      <c r="B2920" s="2" t="n">
        <v>43137.90284722222</v>
      </c>
      <c r="C2920" t="n">
        <v>0</v>
      </c>
      <c r="D2920" t="n">
        <v>45</v>
      </c>
      <c r="E2920" t="s">
        <v>2924</v>
      </c>
      <c r="F2920" t="s"/>
      <c r="G2920" t="s"/>
      <c r="H2920" t="s"/>
      <c r="I2920" t="s"/>
      <c r="J2920" t="n">
        <v>0.0258</v>
      </c>
      <c r="K2920" t="n">
        <v>0.092</v>
      </c>
      <c r="L2920" t="n">
        <v>0.8110000000000001</v>
      </c>
      <c r="M2920" t="n">
        <v>0.097</v>
      </c>
    </row>
    <row r="2921" spans="1:13">
      <c r="A2921" s="1">
        <f>HYPERLINK("http://www.twitter.com/NathanBLawrence/status/960991154119499776", "960991154119499776")</f>
        <v/>
      </c>
      <c r="B2921" s="2" t="n">
        <v>43137.90185185185</v>
      </c>
      <c r="C2921" t="n">
        <v>0</v>
      </c>
      <c r="D2921" t="n">
        <v>2717</v>
      </c>
      <c r="E2921" t="s">
        <v>2925</v>
      </c>
      <c r="F2921" t="s"/>
      <c r="G2921" t="s"/>
      <c r="H2921" t="s"/>
      <c r="I2921" t="s"/>
      <c r="J2921" t="n">
        <v>0.1511</v>
      </c>
      <c r="K2921" t="n">
        <v>0.07099999999999999</v>
      </c>
      <c r="L2921" t="n">
        <v>0.836</v>
      </c>
      <c r="M2921" t="n">
        <v>0.093</v>
      </c>
    </row>
    <row r="2922" spans="1:13">
      <c r="A2922" s="1">
        <f>HYPERLINK("http://www.twitter.com/NathanBLawrence/status/960990867048751104", "960990867048751104")</f>
        <v/>
      </c>
      <c r="B2922" s="2" t="n">
        <v>43137.90105324074</v>
      </c>
      <c r="C2922" t="n">
        <v>0</v>
      </c>
      <c r="D2922" t="n">
        <v>10000</v>
      </c>
      <c r="E2922" t="s">
        <v>2926</v>
      </c>
      <c r="F2922" t="s"/>
      <c r="G2922" t="s"/>
      <c r="H2922" t="s"/>
      <c r="I2922" t="s"/>
      <c r="J2922" t="n">
        <v>-0.516</v>
      </c>
      <c r="K2922" t="n">
        <v>0.143</v>
      </c>
      <c r="L2922" t="n">
        <v>0.857</v>
      </c>
      <c r="M2922" t="n">
        <v>0</v>
      </c>
    </row>
    <row r="2923" spans="1:13">
      <c r="A2923" s="1">
        <f>HYPERLINK("http://www.twitter.com/NathanBLawrence/status/960990523405213696", "960990523405213696")</f>
        <v/>
      </c>
      <c r="B2923" s="2" t="n">
        <v>43137.90010416666</v>
      </c>
      <c r="C2923" t="n">
        <v>0</v>
      </c>
      <c r="D2923" t="n">
        <v>106</v>
      </c>
      <c r="E2923" t="s">
        <v>2927</v>
      </c>
      <c r="F2923">
        <f>HYPERLINK("https://video.twimg.com/amplify_video/960961769840807942/vid/720x720/ouUSbpejvTan-yxo.mp4", "https://video.twimg.com/amplify_video/960961769840807942/vid/720x720/ouUSbpejvTan-yxo.mp4")</f>
        <v/>
      </c>
      <c r="G2923" t="s"/>
      <c r="H2923" t="s"/>
      <c r="I2923" t="s"/>
      <c r="J2923" t="n">
        <v>0.2263</v>
      </c>
      <c r="K2923" t="n">
        <v>0</v>
      </c>
      <c r="L2923" t="n">
        <v>0.913</v>
      </c>
      <c r="M2923" t="n">
        <v>0.08699999999999999</v>
      </c>
    </row>
    <row r="2924" spans="1:13">
      <c r="A2924" s="1">
        <f>HYPERLINK("http://www.twitter.com/NathanBLawrence/status/960952599917740033", "960952599917740033")</f>
        <v/>
      </c>
      <c r="B2924" s="2" t="n">
        <v>43137.79546296296</v>
      </c>
      <c r="C2924" t="n">
        <v>0</v>
      </c>
      <c r="D2924" t="n">
        <v>10140</v>
      </c>
      <c r="E2924" t="s">
        <v>2928</v>
      </c>
      <c r="F2924" t="s"/>
      <c r="G2924" t="s"/>
      <c r="H2924" t="s"/>
      <c r="I2924" t="s"/>
      <c r="J2924" t="n">
        <v>0.2789</v>
      </c>
      <c r="K2924" t="n">
        <v>0</v>
      </c>
      <c r="L2924" t="n">
        <v>0.908</v>
      </c>
      <c r="M2924" t="n">
        <v>0.092</v>
      </c>
    </row>
    <row r="2925" spans="1:13">
      <c r="A2925" s="1">
        <f>HYPERLINK("http://www.twitter.com/NathanBLawrence/status/960827805029183490", "960827805029183490")</f>
        <v/>
      </c>
      <c r="B2925" s="2" t="n">
        <v>43137.45108796296</v>
      </c>
      <c r="C2925" t="n">
        <v>0</v>
      </c>
      <c r="D2925" t="n">
        <v>362</v>
      </c>
      <c r="E2925" t="s">
        <v>2929</v>
      </c>
      <c r="F2925" t="s"/>
      <c r="G2925" t="s"/>
      <c r="H2925" t="s"/>
      <c r="I2925" t="s"/>
      <c r="J2925" t="n">
        <v>-0.7269</v>
      </c>
      <c r="K2925" t="n">
        <v>0.217</v>
      </c>
      <c r="L2925" t="n">
        <v>0.783</v>
      </c>
      <c r="M2925" t="n">
        <v>0</v>
      </c>
    </row>
    <row r="2926" spans="1:13">
      <c r="A2926" s="1">
        <f>HYPERLINK("http://www.twitter.com/NathanBLawrence/status/960827634669076482", "960827634669076482")</f>
        <v/>
      </c>
      <c r="B2926" s="2" t="n">
        <v>43137.450625</v>
      </c>
      <c r="C2926" t="n">
        <v>0</v>
      </c>
      <c r="D2926" t="n">
        <v>258</v>
      </c>
      <c r="E2926" t="s">
        <v>2930</v>
      </c>
      <c r="F2926" t="s"/>
      <c r="G2926" t="s"/>
      <c r="H2926" t="s"/>
      <c r="I2926" t="s"/>
      <c r="J2926" t="n">
        <v>0</v>
      </c>
      <c r="K2926" t="n">
        <v>0</v>
      </c>
      <c r="L2926" t="n">
        <v>1</v>
      </c>
      <c r="M2926" t="n">
        <v>0</v>
      </c>
    </row>
    <row r="2927" spans="1:13">
      <c r="A2927" s="1">
        <f>HYPERLINK("http://www.twitter.com/NathanBLawrence/status/960827314345934849", "960827314345934849")</f>
        <v/>
      </c>
      <c r="B2927" s="2" t="n">
        <v>43137.4497337963</v>
      </c>
      <c r="C2927" t="n">
        <v>0</v>
      </c>
      <c r="D2927" t="n">
        <v>29</v>
      </c>
      <c r="E2927" t="s">
        <v>2931</v>
      </c>
      <c r="F2927">
        <f>HYPERLINK("http://pbs.twimg.com/media/DVWK1sTV4AINzW0.jpg", "http://pbs.twimg.com/media/DVWK1sTV4AINzW0.jpg")</f>
        <v/>
      </c>
      <c r="G2927" t="s"/>
      <c r="H2927" t="s"/>
      <c r="I2927" t="s"/>
      <c r="J2927" t="n">
        <v>0</v>
      </c>
      <c r="K2927" t="n">
        <v>0</v>
      </c>
      <c r="L2927" t="n">
        <v>1</v>
      </c>
      <c r="M2927" t="n">
        <v>0</v>
      </c>
    </row>
    <row r="2928" spans="1:13">
      <c r="A2928" s="1">
        <f>HYPERLINK("http://www.twitter.com/NathanBLawrence/status/960826247537295360", "960826247537295360")</f>
        <v/>
      </c>
      <c r="B2928" s="2" t="n">
        <v>43137.44679398148</v>
      </c>
      <c r="C2928" t="n">
        <v>0</v>
      </c>
      <c r="D2928" t="n">
        <v>189</v>
      </c>
      <c r="E2928" t="s">
        <v>2932</v>
      </c>
      <c r="F2928">
        <f>HYPERLINK("http://pbs.twimg.com/media/DVV1q_aUQAAAxcp.jpg", "http://pbs.twimg.com/media/DVV1q_aUQAAAxcp.jpg")</f>
        <v/>
      </c>
      <c r="G2928" t="s"/>
      <c r="H2928" t="s"/>
      <c r="I2928" t="s"/>
      <c r="J2928" t="n">
        <v>0</v>
      </c>
      <c r="K2928" t="n">
        <v>0</v>
      </c>
      <c r="L2928" t="n">
        <v>1</v>
      </c>
      <c r="M2928" t="n">
        <v>0</v>
      </c>
    </row>
    <row r="2929" spans="1:13">
      <c r="A2929" s="1">
        <f>HYPERLINK("http://www.twitter.com/NathanBLawrence/status/960826173260365825", "960826173260365825")</f>
        <v/>
      </c>
      <c r="B2929" s="2" t="n">
        <v>43137.44658564815</v>
      </c>
      <c r="C2929" t="n">
        <v>0</v>
      </c>
      <c r="D2929" t="n">
        <v>391</v>
      </c>
      <c r="E2929" t="s">
        <v>2933</v>
      </c>
      <c r="F2929">
        <f>HYPERLINK("http://pbs.twimg.com/media/DVWGjxvUMAAwRaI.jpg", "http://pbs.twimg.com/media/DVWGjxvUMAAwRaI.jpg")</f>
        <v/>
      </c>
      <c r="G2929" t="s"/>
      <c r="H2929" t="s"/>
      <c r="I2929" t="s"/>
      <c r="J2929" t="n">
        <v>0</v>
      </c>
      <c r="K2929" t="n">
        <v>0</v>
      </c>
      <c r="L2929" t="n">
        <v>1</v>
      </c>
      <c r="M2929" t="n">
        <v>0</v>
      </c>
    </row>
    <row r="2930" spans="1:13">
      <c r="A2930" s="1">
        <f>HYPERLINK("http://www.twitter.com/NathanBLawrence/status/960820673106010112", "960820673106010112")</f>
        <v/>
      </c>
      <c r="B2930" s="2" t="n">
        <v>43137.43141203704</v>
      </c>
      <c r="C2930" t="n">
        <v>0</v>
      </c>
      <c r="D2930" t="n">
        <v>8302</v>
      </c>
      <c r="E2930" t="s">
        <v>2934</v>
      </c>
      <c r="F2930" t="s"/>
      <c r="G2930" t="s"/>
      <c r="H2930" t="s"/>
      <c r="I2930" t="s"/>
      <c r="J2930" t="n">
        <v>0.5106000000000001</v>
      </c>
      <c r="K2930" t="n">
        <v>0.157</v>
      </c>
      <c r="L2930" t="n">
        <v>0.605</v>
      </c>
      <c r="M2930" t="n">
        <v>0.238</v>
      </c>
    </row>
    <row r="2931" spans="1:13">
      <c r="A2931" s="1">
        <f>HYPERLINK("http://www.twitter.com/NathanBLawrence/status/960810427469869056", "960810427469869056")</f>
        <v/>
      </c>
      <c r="B2931" s="2" t="n">
        <v>43137.40313657407</v>
      </c>
      <c r="C2931" t="n">
        <v>0</v>
      </c>
      <c r="D2931" t="n">
        <v>377</v>
      </c>
      <c r="E2931" t="s">
        <v>2935</v>
      </c>
      <c r="F2931" t="s"/>
      <c r="G2931" t="s"/>
      <c r="H2931" t="s"/>
      <c r="I2931" t="s"/>
      <c r="J2931" t="n">
        <v>-0.0314</v>
      </c>
      <c r="K2931" t="n">
        <v>0.161</v>
      </c>
      <c r="L2931" t="n">
        <v>0.724</v>
      </c>
      <c r="M2931" t="n">
        <v>0.116</v>
      </c>
    </row>
    <row r="2932" spans="1:13">
      <c r="A2932" s="1">
        <f>HYPERLINK("http://www.twitter.com/NathanBLawrence/status/960809740753190914", "960809740753190914")</f>
        <v/>
      </c>
      <c r="B2932" s="2" t="n">
        <v>43137.40123842593</v>
      </c>
      <c r="C2932" t="n">
        <v>0</v>
      </c>
      <c r="D2932" t="n">
        <v>22</v>
      </c>
      <c r="E2932" t="s">
        <v>2936</v>
      </c>
      <c r="F2932">
        <f>HYPERLINK("http://pbs.twimg.com/media/DVSwEAVVwAApvHt.jpg", "http://pbs.twimg.com/media/DVSwEAVVwAApvHt.jpg")</f>
        <v/>
      </c>
      <c r="G2932">
        <f>HYPERLINK("http://pbs.twimg.com/media/DVSwEAgU8AAHP_s.jpg", "http://pbs.twimg.com/media/DVSwEAgU8AAHP_s.jpg")</f>
        <v/>
      </c>
      <c r="H2932">
        <f>HYPERLINK("http://pbs.twimg.com/media/DVSwEAwUQAE2wAX.jpg", "http://pbs.twimg.com/media/DVSwEAwUQAE2wAX.jpg")</f>
        <v/>
      </c>
      <c r="I2932">
        <f>HYPERLINK("http://pbs.twimg.com/media/DVSwEBCUQAAO1fX.jpg", "http://pbs.twimg.com/media/DVSwEBCUQAAO1fX.jpg")</f>
        <v/>
      </c>
      <c r="J2932" t="n">
        <v>0</v>
      </c>
      <c r="K2932" t="n">
        <v>0</v>
      </c>
      <c r="L2932" t="n">
        <v>1</v>
      </c>
      <c r="M2932" t="n">
        <v>0</v>
      </c>
    </row>
    <row r="2933" spans="1:13">
      <c r="A2933" s="1">
        <f>HYPERLINK("http://www.twitter.com/NathanBLawrence/status/960809402637828096", "960809402637828096")</f>
        <v/>
      </c>
      <c r="B2933" s="2" t="n">
        <v>43137.4003125</v>
      </c>
      <c r="C2933" t="n">
        <v>0</v>
      </c>
      <c r="D2933" t="n">
        <v>17</v>
      </c>
      <c r="E2933" t="s">
        <v>2937</v>
      </c>
      <c r="F2933" t="s"/>
      <c r="G2933" t="s"/>
      <c r="H2933" t="s"/>
      <c r="I2933" t="s"/>
      <c r="J2933" t="n">
        <v>-0.6908</v>
      </c>
      <c r="K2933" t="n">
        <v>0.206</v>
      </c>
      <c r="L2933" t="n">
        <v>0.794</v>
      </c>
      <c r="M2933" t="n">
        <v>0</v>
      </c>
    </row>
    <row r="2934" spans="1:13">
      <c r="A2934" s="1">
        <f>HYPERLINK("http://www.twitter.com/NathanBLawrence/status/960809238556639233", "960809238556639233")</f>
        <v/>
      </c>
      <c r="B2934" s="2" t="n">
        <v>43137.39986111111</v>
      </c>
      <c r="C2934" t="n">
        <v>0</v>
      </c>
      <c r="D2934" t="n">
        <v>98</v>
      </c>
      <c r="E2934" t="s">
        <v>2938</v>
      </c>
      <c r="F2934">
        <f>HYPERLINK("https://video.twimg.com/amplify_video/960806401231785984/vid/1280x720/A1Yk0VGrQXVG1_2X.mp4", "https://video.twimg.com/amplify_video/960806401231785984/vid/1280x720/A1Yk0VGrQXVG1_2X.mp4")</f>
        <v/>
      </c>
      <c r="G2934" t="s"/>
      <c r="H2934" t="s"/>
      <c r="I2934" t="s"/>
      <c r="J2934" t="n">
        <v>-0.6705</v>
      </c>
      <c r="K2934" t="n">
        <v>0.29</v>
      </c>
      <c r="L2934" t="n">
        <v>0.71</v>
      </c>
      <c r="M2934" t="n">
        <v>0</v>
      </c>
    </row>
    <row r="2935" spans="1:13">
      <c r="A2935" s="1">
        <f>HYPERLINK("http://www.twitter.com/NathanBLawrence/status/960808257316007936", "960808257316007936")</f>
        <v/>
      </c>
      <c r="B2935" s="2" t="n">
        <v>43137.39715277778</v>
      </c>
      <c r="C2935" t="n">
        <v>0</v>
      </c>
      <c r="D2935" t="n">
        <v>6</v>
      </c>
      <c r="E2935" t="s">
        <v>2939</v>
      </c>
      <c r="F2935">
        <f>HYPERLINK("http://pbs.twimg.com/media/DVV4OH9UMAAnI_T.jpg", "http://pbs.twimg.com/media/DVV4OH9UMAAnI_T.jpg")</f>
        <v/>
      </c>
      <c r="G2935" t="s"/>
      <c r="H2935" t="s"/>
      <c r="I2935" t="s"/>
      <c r="J2935" t="n">
        <v>0.6908</v>
      </c>
      <c r="K2935" t="n">
        <v>0</v>
      </c>
      <c r="L2935" t="n">
        <v>0.6909999999999999</v>
      </c>
      <c r="M2935" t="n">
        <v>0.309</v>
      </c>
    </row>
    <row r="2936" spans="1:13">
      <c r="A2936" s="1">
        <f>HYPERLINK("http://www.twitter.com/NathanBLawrence/status/960807291523031040", "960807291523031040")</f>
        <v/>
      </c>
      <c r="B2936" s="2" t="n">
        <v>43137.39447916667</v>
      </c>
      <c r="C2936" t="n">
        <v>0</v>
      </c>
      <c r="D2936" t="n">
        <v>45</v>
      </c>
      <c r="E2936" t="s">
        <v>2940</v>
      </c>
      <c r="F2936">
        <f>HYPERLINK("https://video.twimg.com/ext_tw_video/960805408863653893/pu/vid/1280x720/X9fjM2nNMCdZNbw8.mp4", "https://video.twimg.com/ext_tw_video/960805408863653893/pu/vid/1280x720/X9fjM2nNMCdZNbw8.mp4")</f>
        <v/>
      </c>
      <c r="G2936" t="s"/>
      <c r="H2936" t="s"/>
      <c r="I2936" t="s"/>
      <c r="J2936" t="n">
        <v>0</v>
      </c>
      <c r="K2936" t="n">
        <v>0</v>
      </c>
      <c r="L2936" t="n">
        <v>1</v>
      </c>
      <c r="M2936" t="n">
        <v>0</v>
      </c>
    </row>
    <row r="2937" spans="1:13">
      <c r="A2937" s="1">
        <f>HYPERLINK("http://www.twitter.com/NathanBLawrence/status/960806987297579009", "960806987297579009")</f>
        <v/>
      </c>
      <c r="B2937" s="2" t="n">
        <v>43137.39364583333</v>
      </c>
      <c r="C2937" t="n">
        <v>0</v>
      </c>
      <c r="D2937" t="n">
        <v>912</v>
      </c>
      <c r="E2937" t="s">
        <v>2941</v>
      </c>
      <c r="F2937" t="s"/>
      <c r="G2937" t="s"/>
      <c r="H2937" t="s"/>
      <c r="I2937" t="s"/>
      <c r="J2937" t="n">
        <v>-0.3612</v>
      </c>
      <c r="K2937" t="n">
        <v>0.102</v>
      </c>
      <c r="L2937" t="n">
        <v>0.898</v>
      </c>
      <c r="M2937" t="n">
        <v>0</v>
      </c>
    </row>
    <row r="2938" spans="1:13">
      <c r="A2938" s="1">
        <f>HYPERLINK("http://www.twitter.com/NathanBLawrence/status/960806797580709889", "960806797580709889")</f>
        <v/>
      </c>
      <c r="B2938" s="2" t="n">
        <v>43137.393125</v>
      </c>
      <c r="C2938" t="n">
        <v>0</v>
      </c>
      <c r="D2938" t="n">
        <v>10</v>
      </c>
      <c r="E2938" t="s">
        <v>2942</v>
      </c>
      <c r="F2938" t="s"/>
      <c r="G2938" t="s"/>
      <c r="H2938" t="s"/>
      <c r="I2938" t="s"/>
      <c r="J2938" t="n">
        <v>0.6369</v>
      </c>
      <c r="K2938" t="n">
        <v>0</v>
      </c>
      <c r="L2938" t="n">
        <v>0.658</v>
      </c>
      <c r="M2938" t="n">
        <v>0.342</v>
      </c>
    </row>
    <row r="2939" spans="1:13">
      <c r="A2939" s="1">
        <f>HYPERLINK("http://www.twitter.com/NathanBLawrence/status/960806639807873024", "960806639807873024")</f>
        <v/>
      </c>
      <c r="B2939" s="2" t="n">
        <v>43137.39268518519</v>
      </c>
      <c r="C2939" t="n">
        <v>0</v>
      </c>
      <c r="D2939" t="n">
        <v>1</v>
      </c>
      <c r="E2939" t="s">
        <v>2943</v>
      </c>
      <c r="F2939" t="s"/>
      <c r="G2939" t="s"/>
      <c r="H2939" t="s"/>
      <c r="I2939" t="s"/>
      <c r="J2939" t="n">
        <v>0</v>
      </c>
      <c r="K2939" t="n">
        <v>0</v>
      </c>
      <c r="L2939" t="n">
        <v>1</v>
      </c>
      <c r="M2939" t="n">
        <v>0</v>
      </c>
    </row>
    <row r="2940" spans="1:13">
      <c r="A2940" s="1">
        <f>HYPERLINK("http://www.twitter.com/NathanBLawrence/status/960806514700120064", "960806514700120064")</f>
        <v/>
      </c>
      <c r="B2940" s="2" t="n">
        <v>43137.39233796296</v>
      </c>
      <c r="C2940" t="n">
        <v>0</v>
      </c>
      <c r="D2940" t="n">
        <v>2081</v>
      </c>
      <c r="E2940" t="s">
        <v>2944</v>
      </c>
      <c r="F2940">
        <f>HYPERLINK("http://pbs.twimg.com/media/DVUPe4eVwAE5oWz.jpg", "http://pbs.twimg.com/media/DVUPe4eVwAE5oWz.jpg")</f>
        <v/>
      </c>
      <c r="G2940" t="s"/>
      <c r="H2940" t="s"/>
      <c r="I2940" t="s"/>
      <c r="J2940" t="n">
        <v>-0.34</v>
      </c>
      <c r="K2940" t="n">
        <v>0.134</v>
      </c>
      <c r="L2940" t="n">
        <v>0.774</v>
      </c>
      <c r="M2940" t="n">
        <v>0.092</v>
      </c>
    </row>
    <row r="2941" spans="1:13">
      <c r="A2941" s="1">
        <f>HYPERLINK("http://www.twitter.com/NathanBLawrence/status/960806256544907265", "960806256544907265")</f>
        <v/>
      </c>
      <c r="B2941" s="2" t="n">
        <v>43137.39163194445</v>
      </c>
      <c r="C2941" t="n">
        <v>0</v>
      </c>
      <c r="D2941" t="n">
        <v>933</v>
      </c>
      <c r="E2941" t="s">
        <v>2945</v>
      </c>
      <c r="F2941" t="s"/>
      <c r="G2941" t="s"/>
      <c r="H2941" t="s"/>
      <c r="I2941" t="s"/>
      <c r="J2941" t="n">
        <v>0</v>
      </c>
      <c r="K2941" t="n">
        <v>0</v>
      </c>
      <c r="L2941" t="n">
        <v>1</v>
      </c>
      <c r="M2941" t="n">
        <v>0</v>
      </c>
    </row>
    <row r="2942" spans="1:13">
      <c r="A2942" s="1">
        <f>HYPERLINK("http://www.twitter.com/NathanBLawrence/status/960805830420348928", "960805830420348928")</f>
        <v/>
      </c>
      <c r="B2942" s="2" t="n">
        <v>43137.39045138889</v>
      </c>
      <c r="C2942" t="n">
        <v>0</v>
      </c>
      <c r="D2942" t="n">
        <v>14</v>
      </c>
      <c r="E2942" t="s">
        <v>2946</v>
      </c>
      <c r="F2942" t="s"/>
      <c r="G2942" t="s"/>
      <c r="H2942" t="s"/>
      <c r="I2942" t="s"/>
      <c r="J2942" t="n">
        <v>-0.7506</v>
      </c>
      <c r="K2942" t="n">
        <v>0.262</v>
      </c>
      <c r="L2942" t="n">
        <v>0.738</v>
      </c>
      <c r="M2942" t="n">
        <v>0</v>
      </c>
    </row>
    <row r="2943" spans="1:13">
      <c r="A2943" s="1">
        <f>HYPERLINK("http://www.twitter.com/NathanBLawrence/status/960805365397864454", "960805365397864454")</f>
        <v/>
      </c>
      <c r="B2943" s="2" t="n">
        <v>43137.38916666667</v>
      </c>
      <c r="C2943" t="n">
        <v>0</v>
      </c>
      <c r="D2943" t="n">
        <v>20</v>
      </c>
      <c r="E2943" t="s">
        <v>2947</v>
      </c>
      <c r="F2943" t="s"/>
      <c r="G2943" t="s"/>
      <c r="H2943" t="s"/>
      <c r="I2943" t="s"/>
      <c r="J2943" t="n">
        <v>0</v>
      </c>
      <c r="K2943" t="n">
        <v>0</v>
      </c>
      <c r="L2943" t="n">
        <v>1</v>
      </c>
      <c r="M2943" t="n">
        <v>0</v>
      </c>
    </row>
    <row r="2944" spans="1:13">
      <c r="A2944" s="1">
        <f>HYPERLINK("http://www.twitter.com/NathanBLawrence/status/960805325870743552", "960805325870743552")</f>
        <v/>
      </c>
      <c r="B2944" s="2" t="n">
        <v>43137.3890625</v>
      </c>
      <c r="C2944" t="n">
        <v>0</v>
      </c>
      <c r="D2944" t="n">
        <v>227</v>
      </c>
      <c r="E2944" t="s">
        <v>2948</v>
      </c>
      <c r="F2944" t="s"/>
      <c r="G2944" t="s"/>
      <c r="H2944" t="s"/>
      <c r="I2944" t="s"/>
      <c r="J2944" t="n">
        <v>0</v>
      </c>
      <c r="K2944" t="n">
        <v>0</v>
      </c>
      <c r="L2944" t="n">
        <v>1</v>
      </c>
      <c r="M2944" t="n">
        <v>0</v>
      </c>
    </row>
    <row r="2945" spans="1:13">
      <c r="A2945" s="1">
        <f>HYPERLINK("http://www.twitter.com/NathanBLawrence/status/960805058551070720", "960805058551070720")</f>
        <v/>
      </c>
      <c r="B2945" s="2" t="n">
        <v>43137.38832175926</v>
      </c>
      <c r="C2945" t="n">
        <v>0</v>
      </c>
      <c r="D2945" t="n">
        <v>8</v>
      </c>
      <c r="E2945" t="s">
        <v>2949</v>
      </c>
      <c r="F2945" t="s"/>
      <c r="G2945" t="s"/>
      <c r="H2945" t="s"/>
      <c r="I2945" t="s"/>
      <c r="J2945" t="n">
        <v>-0.4717</v>
      </c>
      <c r="K2945" t="n">
        <v>0.128</v>
      </c>
      <c r="L2945" t="n">
        <v>0.872</v>
      </c>
      <c r="M2945" t="n">
        <v>0</v>
      </c>
    </row>
    <row r="2946" spans="1:13">
      <c r="A2946" s="1">
        <f>HYPERLINK("http://www.twitter.com/NathanBLawrence/status/960804957728342016", "960804957728342016")</f>
        <v/>
      </c>
      <c r="B2946" s="2" t="n">
        <v>43137.38804398148</v>
      </c>
      <c r="C2946" t="n">
        <v>0</v>
      </c>
      <c r="D2946" t="n">
        <v>151</v>
      </c>
      <c r="E2946" t="s">
        <v>2950</v>
      </c>
      <c r="F2946">
        <f>HYPERLINK("http://pbs.twimg.com/media/DVUCINrU0AAjwmV.jpg", "http://pbs.twimg.com/media/DVUCINrU0AAjwmV.jpg")</f>
        <v/>
      </c>
      <c r="G2946" t="s"/>
      <c r="H2946" t="s"/>
      <c r="I2946" t="s"/>
      <c r="J2946" t="n">
        <v>0</v>
      </c>
      <c r="K2946" t="n">
        <v>0</v>
      </c>
      <c r="L2946" t="n">
        <v>1</v>
      </c>
      <c r="M2946" t="n">
        <v>0</v>
      </c>
    </row>
    <row r="2947" spans="1:13">
      <c r="A2947" s="1">
        <f>HYPERLINK("http://www.twitter.com/NathanBLawrence/status/960804780380581888", "960804780380581888")</f>
        <v/>
      </c>
      <c r="B2947" s="2" t="n">
        <v>43137.38755787037</v>
      </c>
      <c r="C2947" t="n">
        <v>0</v>
      </c>
      <c r="D2947" t="n">
        <v>1263</v>
      </c>
      <c r="E2947" t="s">
        <v>2951</v>
      </c>
      <c r="F2947" t="s"/>
      <c r="G2947" t="s"/>
      <c r="H2947" t="s"/>
      <c r="I2947" t="s"/>
      <c r="J2947" t="n">
        <v>0.7096</v>
      </c>
      <c r="K2947" t="n">
        <v>0</v>
      </c>
      <c r="L2947" t="n">
        <v>0.789</v>
      </c>
      <c r="M2947" t="n">
        <v>0.211</v>
      </c>
    </row>
    <row r="2948" spans="1:13">
      <c r="A2948" s="1">
        <f>HYPERLINK("http://www.twitter.com/NathanBLawrence/status/960804437877915648", "960804437877915648")</f>
        <v/>
      </c>
      <c r="B2948" s="2" t="n">
        <v>43137.3866087963</v>
      </c>
      <c r="C2948" t="n">
        <v>0</v>
      </c>
      <c r="D2948" t="n">
        <v>420</v>
      </c>
      <c r="E2948" t="s">
        <v>2952</v>
      </c>
      <c r="F2948" t="s"/>
      <c r="G2948" t="s"/>
      <c r="H2948" t="s"/>
      <c r="I2948" t="s"/>
      <c r="J2948" t="n">
        <v>0.6486</v>
      </c>
      <c r="K2948" t="n">
        <v>0</v>
      </c>
      <c r="L2948" t="n">
        <v>0.704</v>
      </c>
      <c r="M2948" t="n">
        <v>0.296</v>
      </c>
    </row>
    <row r="2949" spans="1:13">
      <c r="A2949" s="1">
        <f>HYPERLINK("http://www.twitter.com/NathanBLawrence/status/960804391182680064", "960804391182680064")</f>
        <v/>
      </c>
      <c r="B2949" s="2" t="n">
        <v>43137.38648148148</v>
      </c>
      <c r="C2949" t="n">
        <v>0</v>
      </c>
      <c r="D2949" t="n">
        <v>7490</v>
      </c>
      <c r="E2949" t="s">
        <v>2953</v>
      </c>
      <c r="F2949">
        <f>HYPERLINK("https://video.twimg.com/ext_tw_video/960656030551089152/pu/vid/646x360/B6kEK9nTcP18BMIM.mp4", "https://video.twimg.com/ext_tw_video/960656030551089152/pu/vid/646x360/B6kEK9nTcP18BMIM.mp4")</f>
        <v/>
      </c>
      <c r="G2949" t="s"/>
      <c r="H2949" t="s"/>
      <c r="I2949" t="s"/>
      <c r="J2949" t="n">
        <v>-0.3818</v>
      </c>
      <c r="K2949" t="n">
        <v>0.12</v>
      </c>
      <c r="L2949" t="n">
        <v>0.88</v>
      </c>
      <c r="M2949" t="n">
        <v>0</v>
      </c>
    </row>
    <row r="2950" spans="1:13">
      <c r="A2950" s="1">
        <f>HYPERLINK("http://www.twitter.com/NathanBLawrence/status/960804156846915586", "960804156846915586")</f>
        <v/>
      </c>
      <c r="B2950" s="2" t="n">
        <v>43137.38583333333</v>
      </c>
      <c r="C2950" t="n">
        <v>0</v>
      </c>
      <c r="D2950" t="n">
        <v>1</v>
      </c>
      <c r="E2950" t="s">
        <v>2954</v>
      </c>
      <c r="F2950">
        <f>HYPERLINK("http://pbs.twimg.com/media/DVV1nU9U8AAho2Q.jpg", "http://pbs.twimg.com/media/DVV1nU9U8AAho2Q.jpg")</f>
        <v/>
      </c>
      <c r="G2950" t="s"/>
      <c r="H2950" t="s"/>
      <c r="I2950" t="s"/>
      <c r="J2950" t="n">
        <v>-0.2244</v>
      </c>
      <c r="K2950" t="n">
        <v>0.137</v>
      </c>
      <c r="L2950" t="n">
        <v>0.758</v>
      </c>
      <c r="M2950" t="n">
        <v>0.105</v>
      </c>
    </row>
    <row r="2951" spans="1:13">
      <c r="A2951" s="1">
        <f>HYPERLINK("http://www.twitter.com/NathanBLawrence/status/960803863027621888", "960803863027621888")</f>
        <v/>
      </c>
      <c r="B2951" s="2" t="n">
        <v>43137.38502314815</v>
      </c>
      <c r="C2951" t="n">
        <v>0</v>
      </c>
      <c r="D2951" t="n">
        <v>2155</v>
      </c>
      <c r="E2951" t="s">
        <v>2955</v>
      </c>
      <c r="F2951">
        <f>HYPERLINK("http://pbs.twimg.com/media/DVRm8HBV4AIYbvR.jpg", "http://pbs.twimg.com/media/DVRm8HBV4AIYbvR.jpg")</f>
        <v/>
      </c>
      <c r="G2951" t="s"/>
      <c r="H2951" t="s"/>
      <c r="I2951" t="s"/>
      <c r="J2951" t="n">
        <v>0.128</v>
      </c>
      <c r="K2951" t="n">
        <v>0.08500000000000001</v>
      </c>
      <c r="L2951" t="n">
        <v>0.8110000000000001</v>
      </c>
      <c r="M2951" t="n">
        <v>0.104</v>
      </c>
    </row>
    <row r="2952" spans="1:13">
      <c r="A2952" s="1">
        <f>HYPERLINK("http://www.twitter.com/NathanBLawrence/status/960803809508257792", "960803809508257792")</f>
        <v/>
      </c>
      <c r="B2952" s="2" t="n">
        <v>43137.38487268519</v>
      </c>
      <c r="C2952" t="n">
        <v>0</v>
      </c>
      <c r="D2952" t="n">
        <v>536</v>
      </c>
      <c r="E2952" t="s">
        <v>2956</v>
      </c>
      <c r="F2952">
        <f>HYPERLINK("https://video.twimg.com/amplify_video/960546209361522694/vid/1280x720/DqsssSIKFBeJ3SsJ.mp4", "https://video.twimg.com/amplify_video/960546209361522694/vid/1280x720/DqsssSIKFBeJ3SsJ.mp4")</f>
        <v/>
      </c>
      <c r="G2952" t="s"/>
      <c r="H2952" t="s"/>
      <c r="I2952" t="s"/>
      <c r="J2952" t="n">
        <v>0</v>
      </c>
      <c r="K2952" t="n">
        <v>0</v>
      </c>
      <c r="L2952" t="n">
        <v>1</v>
      </c>
      <c r="M2952" t="n">
        <v>0</v>
      </c>
    </row>
    <row r="2953" spans="1:13">
      <c r="A2953" s="1">
        <f>HYPERLINK("http://www.twitter.com/NathanBLawrence/status/960803651466944512", "960803651466944512")</f>
        <v/>
      </c>
      <c r="B2953" s="2" t="n">
        <v>43137.38444444445</v>
      </c>
      <c r="C2953" t="n">
        <v>0</v>
      </c>
      <c r="D2953" t="n">
        <v>2392</v>
      </c>
      <c r="E2953" t="s">
        <v>1691</v>
      </c>
      <c r="F2953" t="s"/>
      <c r="G2953" t="s"/>
      <c r="H2953" t="s"/>
      <c r="I2953" t="s"/>
      <c r="J2953" t="n">
        <v>0.5994</v>
      </c>
      <c r="K2953" t="n">
        <v>0</v>
      </c>
      <c r="L2953" t="n">
        <v>0.83</v>
      </c>
      <c r="M2953" t="n">
        <v>0.17</v>
      </c>
    </row>
    <row r="2954" spans="1:13">
      <c r="A2954" s="1">
        <f>HYPERLINK("http://www.twitter.com/NathanBLawrence/status/960802884114763778", "960802884114763778")</f>
        <v/>
      </c>
      <c r="B2954" s="2" t="n">
        <v>43137.38232638889</v>
      </c>
      <c r="C2954" t="n">
        <v>0</v>
      </c>
      <c r="D2954" t="n">
        <v>8837</v>
      </c>
      <c r="E2954" t="s">
        <v>2957</v>
      </c>
      <c r="F2954">
        <f>HYPERLINK("http://pbs.twimg.com/media/Ch0faoaUUAEETXb.jpg", "http://pbs.twimg.com/media/Ch0faoaUUAEETXb.jpg")</f>
        <v/>
      </c>
      <c r="G2954" t="s"/>
      <c r="H2954" t="s"/>
      <c r="I2954" t="s"/>
      <c r="J2954" t="n">
        <v>0.2263</v>
      </c>
      <c r="K2954" t="n">
        <v>0</v>
      </c>
      <c r="L2954" t="n">
        <v>0.913</v>
      </c>
      <c r="M2954" t="n">
        <v>0.08699999999999999</v>
      </c>
    </row>
    <row r="2955" spans="1:13">
      <c r="A2955" s="1">
        <f>HYPERLINK("http://www.twitter.com/NathanBLawrence/status/960802800304193537", "960802800304193537")</f>
        <v/>
      </c>
      <c r="B2955" s="2" t="n">
        <v>43137.38209490741</v>
      </c>
      <c r="C2955" t="n">
        <v>0</v>
      </c>
      <c r="D2955" t="n">
        <v>6</v>
      </c>
      <c r="E2955" t="s">
        <v>2958</v>
      </c>
      <c r="F2955">
        <f>HYPERLINK("http://pbs.twimg.com/media/DVVy_AgW0AEaYQz.jpg", "http://pbs.twimg.com/media/DVVy_AgW0AEaYQz.jpg")</f>
        <v/>
      </c>
      <c r="G2955" t="s"/>
      <c r="H2955" t="s"/>
      <c r="I2955" t="s"/>
      <c r="J2955" t="n">
        <v>0</v>
      </c>
      <c r="K2955" t="n">
        <v>0</v>
      </c>
      <c r="L2955" t="n">
        <v>1</v>
      </c>
      <c r="M2955" t="n">
        <v>0</v>
      </c>
    </row>
    <row r="2956" spans="1:13">
      <c r="A2956" s="1">
        <f>HYPERLINK("http://www.twitter.com/NathanBLawrence/status/960802446518902784", "960802446518902784")</f>
        <v/>
      </c>
      <c r="B2956" s="2" t="n">
        <v>43137.38111111111</v>
      </c>
      <c r="C2956" t="n">
        <v>0</v>
      </c>
      <c r="D2956" t="n">
        <v>6299</v>
      </c>
      <c r="E2956" t="s">
        <v>2959</v>
      </c>
      <c r="F2956">
        <f>HYPERLINK("https://video.twimg.com/amplify_video/960581976091779072/vid/1280x720/nwWAp55Zw68jQozB.mp4", "https://video.twimg.com/amplify_video/960581976091779072/vid/1280x720/nwWAp55Zw68jQozB.mp4")</f>
        <v/>
      </c>
      <c r="G2956" t="s"/>
      <c r="H2956" t="s"/>
      <c r="I2956" t="s"/>
      <c r="J2956" t="n">
        <v>0.0258</v>
      </c>
      <c r="K2956" t="n">
        <v>0.091</v>
      </c>
      <c r="L2956" t="n">
        <v>0.8129999999999999</v>
      </c>
      <c r="M2956" t="n">
        <v>0.096</v>
      </c>
    </row>
    <row r="2957" spans="1:13">
      <c r="A2957" s="1">
        <f>HYPERLINK("http://www.twitter.com/NathanBLawrence/status/960802285763756032", "960802285763756032")</f>
        <v/>
      </c>
      <c r="B2957" s="2" t="n">
        <v>43137.3806712963</v>
      </c>
      <c r="C2957" t="n">
        <v>0</v>
      </c>
      <c r="D2957" t="n">
        <v>186</v>
      </c>
      <c r="E2957" t="s">
        <v>2960</v>
      </c>
      <c r="F2957" t="s"/>
      <c r="G2957" t="s"/>
      <c r="H2957" t="s"/>
      <c r="I2957" t="s"/>
      <c r="J2957" t="n">
        <v>-0.5106000000000001</v>
      </c>
      <c r="K2957" t="n">
        <v>0.202</v>
      </c>
      <c r="L2957" t="n">
        <v>0.798</v>
      </c>
      <c r="M2957" t="n">
        <v>0</v>
      </c>
    </row>
    <row r="2958" spans="1:13">
      <c r="A2958" s="1">
        <f>HYPERLINK("http://www.twitter.com/NathanBLawrence/status/960800827177713664", "960800827177713664")</f>
        <v/>
      </c>
      <c r="B2958" s="2" t="n">
        <v>43137.37664351852</v>
      </c>
      <c r="C2958" t="n">
        <v>0</v>
      </c>
      <c r="D2958" t="n">
        <v>29052</v>
      </c>
      <c r="E2958" t="s">
        <v>2961</v>
      </c>
      <c r="F2958" t="s"/>
      <c r="G2958" t="s"/>
      <c r="H2958" t="s"/>
      <c r="I2958" t="s"/>
      <c r="J2958" t="n">
        <v>-0.7387</v>
      </c>
      <c r="K2958" t="n">
        <v>0.288</v>
      </c>
      <c r="L2958" t="n">
        <v>0.632</v>
      </c>
      <c r="M2958" t="n">
        <v>0.08</v>
      </c>
    </row>
    <row r="2959" spans="1:13">
      <c r="A2959" s="1">
        <f>HYPERLINK("http://www.twitter.com/NathanBLawrence/status/960799932385914880", "960799932385914880")</f>
        <v/>
      </c>
      <c r="B2959" s="2" t="n">
        <v>43137.37417824074</v>
      </c>
      <c r="C2959" t="n">
        <v>0</v>
      </c>
      <c r="D2959" t="n">
        <v>503</v>
      </c>
      <c r="E2959" t="s">
        <v>2962</v>
      </c>
      <c r="F2959" t="s"/>
      <c r="G2959" t="s"/>
      <c r="H2959" t="s"/>
      <c r="I2959" t="s"/>
      <c r="J2959" t="n">
        <v>0</v>
      </c>
      <c r="K2959" t="n">
        <v>0</v>
      </c>
      <c r="L2959" t="n">
        <v>1</v>
      </c>
      <c r="M2959" t="n">
        <v>0</v>
      </c>
    </row>
    <row r="2960" spans="1:13">
      <c r="A2960" s="1">
        <f>HYPERLINK("http://www.twitter.com/NathanBLawrence/status/960799762155896833", "960799762155896833")</f>
        <v/>
      </c>
      <c r="B2960" s="2" t="n">
        <v>43137.37370370371</v>
      </c>
      <c r="C2960" t="n">
        <v>0</v>
      </c>
      <c r="D2960" t="n">
        <v>100</v>
      </c>
      <c r="E2960" t="s">
        <v>2963</v>
      </c>
      <c r="F2960">
        <f>HYPERLINK("http://pbs.twimg.com/media/DVUdd1wXUAAvr_L.jpg", "http://pbs.twimg.com/media/DVUdd1wXUAAvr_L.jpg")</f>
        <v/>
      </c>
      <c r="G2960" t="s"/>
      <c r="H2960" t="s"/>
      <c r="I2960" t="s"/>
      <c r="J2960" t="n">
        <v>0.9402</v>
      </c>
      <c r="K2960" t="n">
        <v>0</v>
      </c>
      <c r="L2960" t="n">
        <v>0.536</v>
      </c>
      <c r="M2960" t="n">
        <v>0.464</v>
      </c>
    </row>
    <row r="2961" spans="1:13">
      <c r="A2961" s="1">
        <f>HYPERLINK("http://www.twitter.com/NathanBLawrence/status/960799552361062400", "960799552361062400")</f>
        <v/>
      </c>
      <c r="B2961" s="2" t="n">
        <v>43137.373125</v>
      </c>
      <c r="C2961" t="n">
        <v>0</v>
      </c>
      <c r="D2961" t="n">
        <v>6</v>
      </c>
      <c r="E2961" t="s">
        <v>2964</v>
      </c>
      <c r="F2961" t="s"/>
      <c r="G2961" t="s"/>
      <c r="H2961" t="s"/>
      <c r="I2961" t="s"/>
      <c r="J2961" t="n">
        <v>-0.8885</v>
      </c>
      <c r="K2961" t="n">
        <v>0.488</v>
      </c>
      <c r="L2961" t="n">
        <v>0.512</v>
      </c>
      <c r="M2961" t="n">
        <v>0</v>
      </c>
    </row>
    <row r="2962" spans="1:13">
      <c r="A2962" s="1">
        <f>HYPERLINK("http://www.twitter.com/NathanBLawrence/status/960799512288620544", "960799512288620544")</f>
        <v/>
      </c>
      <c r="B2962" s="2" t="n">
        <v>43137.37302083334</v>
      </c>
      <c r="C2962" t="n">
        <v>0</v>
      </c>
      <c r="D2962" t="n">
        <v>187</v>
      </c>
      <c r="E2962" t="s">
        <v>2965</v>
      </c>
      <c r="F2962">
        <f>HYPERLINK("http://pbs.twimg.com/media/DVJ5LmCUQAAqy7N.jpg", "http://pbs.twimg.com/media/DVJ5LmCUQAAqy7N.jpg")</f>
        <v/>
      </c>
      <c r="G2962" t="s"/>
      <c r="H2962" t="s"/>
      <c r="I2962" t="s"/>
      <c r="J2962" t="n">
        <v>0.8808</v>
      </c>
      <c r="K2962" t="n">
        <v>0.048</v>
      </c>
      <c r="L2962" t="n">
        <v>0.552</v>
      </c>
      <c r="M2962" t="n">
        <v>0.4</v>
      </c>
    </row>
    <row r="2963" spans="1:13">
      <c r="A2963" s="1">
        <f>HYPERLINK("http://www.twitter.com/NathanBLawrence/status/960799301919059968", "960799301919059968")</f>
        <v/>
      </c>
      <c r="B2963" s="2" t="n">
        <v>43137.37244212963</v>
      </c>
      <c r="C2963" t="n">
        <v>0</v>
      </c>
      <c r="D2963" t="n">
        <v>1872</v>
      </c>
      <c r="E2963" t="s">
        <v>2966</v>
      </c>
      <c r="F2963" t="s"/>
      <c r="G2963" t="s"/>
      <c r="H2963" t="s"/>
      <c r="I2963" t="s"/>
      <c r="J2963" t="n">
        <v>0</v>
      </c>
      <c r="K2963" t="n">
        <v>0</v>
      </c>
      <c r="L2963" t="n">
        <v>1</v>
      </c>
      <c r="M2963" t="n">
        <v>0</v>
      </c>
    </row>
    <row r="2964" spans="1:13">
      <c r="A2964" s="1">
        <f>HYPERLINK("http://www.twitter.com/NathanBLawrence/status/960799194981134337", "960799194981134337")</f>
        <v/>
      </c>
      <c r="B2964" s="2" t="n">
        <v>43137.3721412037</v>
      </c>
      <c r="C2964" t="n">
        <v>0</v>
      </c>
      <c r="D2964" t="n">
        <v>5</v>
      </c>
      <c r="E2964" t="s">
        <v>2967</v>
      </c>
      <c r="F2964">
        <f>HYPERLINK("http://pbs.twimg.com/media/DVVxN4SU8AAnTvg.jpg", "http://pbs.twimg.com/media/DVVxN4SU8AAnTvg.jpg")</f>
        <v/>
      </c>
      <c r="G2964" t="s"/>
      <c r="H2964" t="s"/>
      <c r="I2964" t="s"/>
      <c r="J2964" t="n">
        <v>0</v>
      </c>
      <c r="K2964" t="n">
        <v>0</v>
      </c>
      <c r="L2964" t="n">
        <v>1</v>
      </c>
      <c r="M2964" t="n">
        <v>0</v>
      </c>
    </row>
    <row r="2965" spans="1:13">
      <c r="A2965" s="1">
        <f>HYPERLINK("http://www.twitter.com/NathanBLawrence/status/960799130380468224", "960799130380468224")</f>
        <v/>
      </c>
      <c r="B2965" s="2" t="n">
        <v>43137.37196759259</v>
      </c>
      <c r="C2965" t="n">
        <v>0</v>
      </c>
      <c r="D2965" t="n">
        <v>69</v>
      </c>
      <c r="E2965" t="s">
        <v>2968</v>
      </c>
      <c r="F2965" t="s"/>
      <c r="G2965" t="s"/>
      <c r="H2965" t="s"/>
      <c r="I2965" t="s"/>
      <c r="J2965" t="n">
        <v>0</v>
      </c>
      <c r="K2965" t="n">
        <v>0</v>
      </c>
      <c r="L2965" t="n">
        <v>1</v>
      </c>
      <c r="M2965" t="n">
        <v>0</v>
      </c>
    </row>
    <row r="2966" spans="1:13">
      <c r="A2966" s="1">
        <f>HYPERLINK("http://www.twitter.com/NathanBLawrence/status/960798150180069377", "960798150180069377")</f>
        <v/>
      </c>
      <c r="B2966" s="2" t="n">
        <v>43137.36925925926</v>
      </c>
      <c r="C2966" t="n">
        <v>0</v>
      </c>
      <c r="D2966" t="n">
        <v>433</v>
      </c>
      <c r="E2966" t="s">
        <v>2969</v>
      </c>
      <c r="F2966" t="s"/>
      <c r="G2966" t="s"/>
      <c r="H2966" t="s"/>
      <c r="I2966" t="s"/>
      <c r="J2966" t="n">
        <v>0.0772</v>
      </c>
      <c r="K2966" t="n">
        <v>0</v>
      </c>
      <c r="L2966" t="n">
        <v>0.9330000000000001</v>
      </c>
      <c r="M2966" t="n">
        <v>0.067</v>
      </c>
    </row>
    <row r="2967" spans="1:13">
      <c r="A2967" s="1">
        <f>HYPERLINK("http://www.twitter.com/NathanBLawrence/status/960798031636439040", "960798031636439040")</f>
        <v/>
      </c>
      <c r="B2967" s="2" t="n">
        <v>43137.36893518519</v>
      </c>
      <c r="C2967" t="n">
        <v>0</v>
      </c>
      <c r="D2967" t="n">
        <v>19</v>
      </c>
      <c r="E2967" t="s">
        <v>2970</v>
      </c>
      <c r="F2967" t="s"/>
      <c r="G2967" t="s"/>
      <c r="H2967" t="s"/>
      <c r="I2967" t="s"/>
      <c r="J2967" t="n">
        <v>0</v>
      </c>
      <c r="K2967" t="n">
        <v>0</v>
      </c>
      <c r="L2967" t="n">
        <v>1</v>
      </c>
      <c r="M2967" t="n">
        <v>0</v>
      </c>
    </row>
    <row r="2968" spans="1:13">
      <c r="A2968" s="1">
        <f>HYPERLINK("http://www.twitter.com/NathanBLawrence/status/960797696037593088", "960797696037593088")</f>
        <v/>
      </c>
      <c r="B2968" s="2" t="n">
        <v>43137.36800925926</v>
      </c>
      <c r="C2968" t="n">
        <v>0</v>
      </c>
      <c r="D2968" t="n">
        <v>631</v>
      </c>
      <c r="E2968" t="s">
        <v>2971</v>
      </c>
      <c r="F2968" t="s"/>
      <c r="G2968" t="s"/>
      <c r="H2968" t="s"/>
      <c r="I2968" t="s"/>
      <c r="J2968" t="n">
        <v>0</v>
      </c>
      <c r="K2968" t="n">
        <v>0</v>
      </c>
      <c r="L2968" t="n">
        <v>1</v>
      </c>
      <c r="M2968" t="n">
        <v>0</v>
      </c>
    </row>
    <row r="2969" spans="1:13">
      <c r="A2969" s="1">
        <f>HYPERLINK("http://www.twitter.com/NathanBLawrence/status/960797493746372609", "960797493746372609")</f>
        <v/>
      </c>
      <c r="B2969" s="2" t="n">
        <v>43137.36744212963</v>
      </c>
      <c r="C2969" t="n">
        <v>0</v>
      </c>
      <c r="D2969" t="n">
        <v>1132</v>
      </c>
      <c r="E2969" t="s">
        <v>2972</v>
      </c>
      <c r="F2969" t="s"/>
      <c r="G2969" t="s"/>
      <c r="H2969" t="s"/>
      <c r="I2969" t="s"/>
      <c r="J2969" t="n">
        <v>-0.6289</v>
      </c>
      <c r="K2969" t="n">
        <v>0.205</v>
      </c>
      <c r="L2969" t="n">
        <v>0.795</v>
      </c>
      <c r="M2969" t="n">
        <v>0</v>
      </c>
    </row>
    <row r="2970" spans="1:13">
      <c r="A2970" s="1">
        <f>HYPERLINK("http://www.twitter.com/NathanBLawrence/status/960797429011394560", "960797429011394560")</f>
        <v/>
      </c>
      <c r="B2970" s="2" t="n">
        <v>43137.36726851852</v>
      </c>
      <c r="C2970" t="n">
        <v>0</v>
      </c>
      <c r="D2970" t="n">
        <v>1925</v>
      </c>
      <c r="E2970" t="s">
        <v>2973</v>
      </c>
      <c r="F2970" t="s"/>
      <c r="G2970" t="s"/>
      <c r="H2970" t="s"/>
      <c r="I2970" t="s"/>
      <c r="J2970" t="n">
        <v>0.368</v>
      </c>
      <c r="K2970" t="n">
        <v>0</v>
      </c>
      <c r="L2970" t="n">
        <v>0.856</v>
      </c>
      <c r="M2970" t="n">
        <v>0.144</v>
      </c>
    </row>
    <row r="2971" spans="1:13">
      <c r="A2971" s="1">
        <f>HYPERLINK("http://www.twitter.com/NathanBLawrence/status/960797061154193409", "960797061154193409")</f>
        <v/>
      </c>
      <c r="B2971" s="2" t="n">
        <v>43137.36625</v>
      </c>
      <c r="C2971" t="n">
        <v>0</v>
      </c>
      <c r="D2971" t="n">
        <v>2546</v>
      </c>
      <c r="E2971" t="s">
        <v>2974</v>
      </c>
      <c r="F2971" t="s"/>
      <c r="G2971" t="s"/>
      <c r="H2971" t="s"/>
      <c r="I2971" t="s"/>
      <c r="J2971" t="n">
        <v>0.5719</v>
      </c>
      <c r="K2971" t="n">
        <v>0.06900000000000001</v>
      </c>
      <c r="L2971" t="n">
        <v>0.737</v>
      </c>
      <c r="M2971" t="n">
        <v>0.194</v>
      </c>
    </row>
    <row r="2972" spans="1:13">
      <c r="A2972" s="1">
        <f>HYPERLINK("http://www.twitter.com/NathanBLawrence/status/960796993080586240", "960796993080586240")</f>
        <v/>
      </c>
      <c r="B2972" s="2" t="n">
        <v>43137.36606481481</v>
      </c>
      <c r="C2972" t="n">
        <v>0</v>
      </c>
      <c r="D2972" t="n">
        <v>3177</v>
      </c>
      <c r="E2972" t="s">
        <v>2975</v>
      </c>
      <c r="F2972" t="s"/>
      <c r="G2972" t="s"/>
      <c r="H2972" t="s"/>
      <c r="I2972" t="s"/>
      <c r="J2972" t="n">
        <v>-0.6289</v>
      </c>
      <c r="K2972" t="n">
        <v>0.179</v>
      </c>
      <c r="L2972" t="n">
        <v>0.821</v>
      </c>
      <c r="M2972" t="n">
        <v>0</v>
      </c>
    </row>
    <row r="2973" spans="1:13">
      <c r="A2973" s="1">
        <f>HYPERLINK("http://www.twitter.com/NathanBLawrence/status/960796826910601217", "960796826910601217")</f>
        <v/>
      </c>
      <c r="B2973" s="2" t="n">
        <v>43137.36560185185</v>
      </c>
      <c r="C2973" t="n">
        <v>0</v>
      </c>
      <c r="D2973" t="n">
        <v>2416</v>
      </c>
      <c r="E2973" t="s">
        <v>2976</v>
      </c>
      <c r="F2973" t="s"/>
      <c r="G2973" t="s"/>
      <c r="H2973" t="s"/>
      <c r="I2973" t="s"/>
      <c r="J2973" t="n">
        <v>0.4019</v>
      </c>
      <c r="K2973" t="n">
        <v>0</v>
      </c>
      <c r="L2973" t="n">
        <v>0.87</v>
      </c>
      <c r="M2973" t="n">
        <v>0.13</v>
      </c>
    </row>
    <row r="2974" spans="1:13">
      <c r="A2974" s="1">
        <f>HYPERLINK("http://www.twitter.com/NathanBLawrence/status/960796258792173568", "960796258792173568")</f>
        <v/>
      </c>
      <c r="B2974" s="2" t="n">
        <v>43137.36403935185</v>
      </c>
      <c r="C2974" t="n">
        <v>0</v>
      </c>
      <c r="D2974" t="n">
        <v>62</v>
      </c>
      <c r="E2974" t="s">
        <v>2977</v>
      </c>
      <c r="F2974">
        <f>HYPERLINK("https://video.twimg.com/amplify_video/960655369453305856/vid/1280x720/jeuit0iAdqFBsgZL.mp4", "https://video.twimg.com/amplify_video/960655369453305856/vid/1280x720/jeuit0iAdqFBsgZL.mp4")</f>
        <v/>
      </c>
      <c r="G2974" t="s"/>
      <c r="H2974" t="s"/>
      <c r="I2974" t="s"/>
      <c r="J2974" t="n">
        <v>-0.4215</v>
      </c>
      <c r="K2974" t="n">
        <v>0.128</v>
      </c>
      <c r="L2974" t="n">
        <v>0.872</v>
      </c>
      <c r="M2974" t="n">
        <v>0</v>
      </c>
    </row>
    <row r="2975" spans="1:13">
      <c r="A2975" s="1">
        <f>HYPERLINK("http://www.twitter.com/NathanBLawrence/status/960795953409138688", "960795953409138688")</f>
        <v/>
      </c>
      <c r="B2975" s="2" t="n">
        <v>43137.36319444444</v>
      </c>
      <c r="C2975" t="n">
        <v>0</v>
      </c>
      <c r="D2975" t="n">
        <v>96</v>
      </c>
      <c r="E2975" t="s">
        <v>2978</v>
      </c>
      <c r="F2975">
        <f>HYPERLINK("http://pbs.twimg.com/media/DVVtdeFUMAAYMHT.jpg", "http://pbs.twimg.com/media/DVVtdeFUMAAYMHT.jpg")</f>
        <v/>
      </c>
      <c r="G2975" t="s"/>
      <c r="H2975" t="s"/>
      <c r="I2975" t="s"/>
      <c r="J2975" t="n">
        <v>0</v>
      </c>
      <c r="K2975" t="n">
        <v>0</v>
      </c>
      <c r="L2975" t="n">
        <v>1</v>
      </c>
      <c r="M2975" t="n">
        <v>0</v>
      </c>
    </row>
    <row r="2976" spans="1:13">
      <c r="A2976" s="1">
        <f>HYPERLINK("http://www.twitter.com/NathanBLawrence/status/960795290553888768", "960795290553888768")</f>
        <v/>
      </c>
      <c r="B2976" s="2" t="n">
        <v>43137.36136574074</v>
      </c>
      <c r="C2976" t="n">
        <v>0</v>
      </c>
      <c r="D2976" t="n">
        <v>632</v>
      </c>
      <c r="E2976" t="s">
        <v>2979</v>
      </c>
      <c r="F2976">
        <f>HYPERLINK("https://video.twimg.com/amplify_video/960711845203017728/vid/1280x720/-dS96qvtR44V1vtV.mp4", "https://video.twimg.com/amplify_video/960711845203017728/vid/1280x720/-dS96qvtR44V1vtV.mp4")</f>
        <v/>
      </c>
      <c r="G2976" t="s"/>
      <c r="H2976" t="s"/>
      <c r="I2976" t="s"/>
      <c r="J2976" t="n">
        <v>0.6369</v>
      </c>
      <c r="K2976" t="n">
        <v>0</v>
      </c>
      <c r="L2976" t="n">
        <v>0.776</v>
      </c>
      <c r="M2976" t="n">
        <v>0.224</v>
      </c>
    </row>
    <row r="2977" spans="1:13">
      <c r="A2977" s="1">
        <f>HYPERLINK("http://www.twitter.com/NathanBLawrence/status/960795247738437633", "960795247738437633")</f>
        <v/>
      </c>
      <c r="B2977" s="2" t="n">
        <v>43137.36125</v>
      </c>
      <c r="C2977" t="n">
        <v>29</v>
      </c>
      <c r="D2977" t="n">
        <v>16</v>
      </c>
      <c r="E2977" t="s">
        <v>2980</v>
      </c>
      <c r="F2977" t="s"/>
      <c r="G2977" t="s"/>
      <c r="H2977" t="s"/>
      <c r="I2977" t="s"/>
      <c r="J2977" t="n">
        <v>0</v>
      </c>
      <c r="K2977" t="n">
        <v>0</v>
      </c>
      <c r="L2977" t="n">
        <v>1</v>
      </c>
      <c r="M2977" t="n">
        <v>0</v>
      </c>
    </row>
    <row r="2978" spans="1:13">
      <c r="A2978" s="1">
        <f>HYPERLINK("http://www.twitter.com/NathanBLawrence/status/960794490117152770", "960794490117152770")</f>
        <v/>
      </c>
      <c r="B2978" s="2" t="n">
        <v>43137.35915509259</v>
      </c>
      <c r="C2978" t="n">
        <v>0</v>
      </c>
      <c r="D2978" t="n">
        <v>4030</v>
      </c>
      <c r="E2978" t="s">
        <v>2981</v>
      </c>
      <c r="F2978" t="s"/>
      <c r="G2978" t="s"/>
      <c r="H2978" t="s"/>
      <c r="I2978" t="s"/>
      <c r="J2978" t="n">
        <v>-0.5535</v>
      </c>
      <c r="K2978" t="n">
        <v>0.218</v>
      </c>
      <c r="L2978" t="n">
        <v>0.782</v>
      </c>
      <c r="M2978" t="n">
        <v>0</v>
      </c>
    </row>
    <row r="2979" spans="1:13">
      <c r="A2979" s="1">
        <f>HYPERLINK("http://www.twitter.com/NathanBLawrence/status/960794290338217984", "960794290338217984")</f>
        <v/>
      </c>
      <c r="B2979" s="2" t="n">
        <v>43137.35861111111</v>
      </c>
      <c r="C2979" t="n">
        <v>0</v>
      </c>
      <c r="D2979" t="n">
        <v>968</v>
      </c>
      <c r="E2979" t="s">
        <v>2982</v>
      </c>
      <c r="F2979" t="s"/>
      <c r="G2979" t="s"/>
      <c r="H2979" t="s"/>
      <c r="I2979" t="s"/>
      <c r="J2979" t="n">
        <v>0</v>
      </c>
      <c r="K2979" t="n">
        <v>0</v>
      </c>
      <c r="L2979" t="n">
        <v>1</v>
      </c>
      <c r="M2979" t="n">
        <v>0</v>
      </c>
    </row>
    <row r="2980" spans="1:13">
      <c r="A2980" s="1">
        <f>HYPERLINK("http://www.twitter.com/NathanBLawrence/status/960793425804083201", "960793425804083201")</f>
        <v/>
      </c>
      <c r="B2980" s="2" t="n">
        <v>43137.35622685185</v>
      </c>
      <c r="C2980" t="n">
        <v>0</v>
      </c>
      <c r="D2980" t="n">
        <v>208</v>
      </c>
      <c r="E2980" t="s">
        <v>2983</v>
      </c>
      <c r="F2980">
        <f>HYPERLINK("http://pbs.twimg.com/media/DVUbpoQW0AIWBaX.jpg", "http://pbs.twimg.com/media/DVUbpoQW0AIWBaX.jpg")</f>
        <v/>
      </c>
      <c r="G2980" t="s"/>
      <c r="H2980" t="s"/>
      <c r="I2980" t="s"/>
      <c r="J2980" t="n">
        <v>-0.1779</v>
      </c>
      <c r="K2980" t="n">
        <v>0.07199999999999999</v>
      </c>
      <c r="L2980" t="n">
        <v>0.928</v>
      </c>
      <c r="M2980" t="n">
        <v>0</v>
      </c>
    </row>
    <row r="2981" spans="1:13">
      <c r="A2981" s="1">
        <f>HYPERLINK("http://www.twitter.com/NathanBLawrence/status/960793319017103361", "960793319017103361")</f>
        <v/>
      </c>
      <c r="B2981" s="2" t="n">
        <v>43137.35592592593</v>
      </c>
      <c r="C2981" t="n">
        <v>0</v>
      </c>
      <c r="D2981" t="n">
        <v>5</v>
      </c>
      <c r="E2981" t="s">
        <v>2984</v>
      </c>
      <c r="F2981">
        <f>HYPERLINK("http://pbs.twimg.com/media/DVVr7IUVoAAjLcT.jpg", "http://pbs.twimg.com/media/DVVr7IUVoAAjLcT.jpg")</f>
        <v/>
      </c>
      <c r="G2981" t="s"/>
      <c r="H2981" t="s"/>
      <c r="I2981" t="s"/>
      <c r="J2981" t="n">
        <v>0.5266999999999999</v>
      </c>
      <c r="K2981" t="n">
        <v>0</v>
      </c>
      <c r="L2981" t="n">
        <v>0.825</v>
      </c>
      <c r="M2981" t="n">
        <v>0.175</v>
      </c>
    </row>
    <row r="2982" spans="1:13">
      <c r="A2982" s="1">
        <f>HYPERLINK("http://www.twitter.com/NathanBLawrence/status/960793135608573952", "960793135608573952")</f>
        <v/>
      </c>
      <c r="B2982" s="2" t="n">
        <v>43137.35541666667</v>
      </c>
      <c r="C2982" t="n">
        <v>0</v>
      </c>
      <c r="D2982" t="n">
        <v>1139</v>
      </c>
      <c r="E2982" t="s">
        <v>2985</v>
      </c>
      <c r="F2982" t="s"/>
      <c r="G2982" t="s"/>
      <c r="H2982" t="s"/>
      <c r="I2982" t="s"/>
      <c r="J2982" t="n">
        <v>0.2023</v>
      </c>
      <c r="K2982" t="n">
        <v>0.062</v>
      </c>
      <c r="L2982" t="n">
        <v>0.841</v>
      </c>
      <c r="M2982" t="n">
        <v>0.097</v>
      </c>
    </row>
    <row r="2983" spans="1:13">
      <c r="A2983" s="1">
        <f>HYPERLINK("http://www.twitter.com/NathanBLawrence/status/960793044210429952", "960793044210429952")</f>
        <v/>
      </c>
      <c r="B2983" s="2" t="n">
        <v>43137.35517361111</v>
      </c>
      <c r="C2983" t="n">
        <v>0</v>
      </c>
      <c r="D2983" t="n">
        <v>25</v>
      </c>
      <c r="E2983" t="s">
        <v>2986</v>
      </c>
      <c r="F2983" t="s"/>
      <c r="G2983" t="s"/>
      <c r="H2983" t="s"/>
      <c r="I2983" t="s"/>
      <c r="J2983" t="n">
        <v>0.4588</v>
      </c>
      <c r="K2983" t="n">
        <v>0.091</v>
      </c>
      <c r="L2983" t="n">
        <v>0.721</v>
      </c>
      <c r="M2983" t="n">
        <v>0.188</v>
      </c>
    </row>
    <row r="2984" spans="1:13">
      <c r="A2984" s="1">
        <f>HYPERLINK("http://www.twitter.com/NathanBLawrence/status/960792992993832960", "960792992993832960")</f>
        <v/>
      </c>
      <c r="B2984" s="2" t="n">
        <v>43137.35502314815</v>
      </c>
      <c r="C2984" t="n">
        <v>0</v>
      </c>
      <c r="D2984" t="n">
        <v>226</v>
      </c>
      <c r="E2984" t="s">
        <v>2987</v>
      </c>
      <c r="F2984">
        <f>HYPERLINK("https://video.twimg.com/amplify_video/960672751697776641/vid/1280x720/d6K1uv9tv9OhMepC.mp4", "https://video.twimg.com/amplify_video/960672751697776641/vid/1280x720/d6K1uv9tv9OhMepC.mp4")</f>
        <v/>
      </c>
      <c r="G2984" t="s"/>
      <c r="H2984" t="s"/>
      <c r="I2984" t="s"/>
      <c r="J2984" t="n">
        <v>-0.296</v>
      </c>
      <c r="K2984" t="n">
        <v>0.153</v>
      </c>
      <c r="L2984" t="n">
        <v>0.744</v>
      </c>
      <c r="M2984" t="n">
        <v>0.103</v>
      </c>
    </row>
    <row r="2985" spans="1:13">
      <c r="A2985" s="1">
        <f>HYPERLINK("http://www.twitter.com/NathanBLawrence/status/960791614103830529", "960791614103830529")</f>
        <v/>
      </c>
      <c r="B2985" s="2" t="n">
        <v>43137.35122685185</v>
      </c>
      <c r="C2985" t="n">
        <v>0</v>
      </c>
      <c r="D2985" t="n">
        <v>810</v>
      </c>
      <c r="E2985" t="s">
        <v>2988</v>
      </c>
      <c r="F2985" t="s"/>
      <c r="G2985" t="s"/>
      <c r="H2985" t="s"/>
      <c r="I2985" t="s"/>
      <c r="J2985" t="n">
        <v>0</v>
      </c>
      <c r="K2985" t="n">
        <v>0</v>
      </c>
      <c r="L2985" t="n">
        <v>1</v>
      </c>
      <c r="M2985" t="n">
        <v>0</v>
      </c>
    </row>
    <row r="2986" spans="1:13">
      <c r="A2986" s="1">
        <f>HYPERLINK("http://www.twitter.com/NathanBLawrence/status/960791291876466689", "960791291876466689")</f>
        <v/>
      </c>
      <c r="B2986" s="2" t="n">
        <v>43137.35033564815</v>
      </c>
      <c r="C2986" t="n">
        <v>0</v>
      </c>
      <c r="D2986" t="n">
        <v>1041</v>
      </c>
      <c r="E2986" t="s">
        <v>2989</v>
      </c>
      <c r="F2986" t="s"/>
      <c r="G2986" t="s"/>
      <c r="H2986" t="s"/>
      <c r="I2986" t="s"/>
      <c r="J2986" t="n">
        <v>-0.128</v>
      </c>
      <c r="K2986" t="n">
        <v>0.105</v>
      </c>
      <c r="L2986" t="n">
        <v>0.8100000000000001</v>
      </c>
      <c r="M2986" t="n">
        <v>0.08500000000000001</v>
      </c>
    </row>
    <row r="2987" spans="1:13">
      <c r="A2987" s="1">
        <f>HYPERLINK("http://www.twitter.com/NathanBLawrence/status/960791220686438400", "960791220686438400")</f>
        <v/>
      </c>
      <c r="B2987" s="2" t="n">
        <v>43137.35013888889</v>
      </c>
      <c r="C2987" t="n">
        <v>0</v>
      </c>
      <c r="D2987" t="n">
        <v>3</v>
      </c>
      <c r="E2987" t="s">
        <v>2990</v>
      </c>
      <c r="F2987" t="s"/>
      <c r="G2987" t="s"/>
      <c r="H2987" t="s"/>
      <c r="I2987" t="s"/>
      <c r="J2987" t="n">
        <v>-0.6705</v>
      </c>
      <c r="K2987" t="n">
        <v>0.29</v>
      </c>
      <c r="L2987" t="n">
        <v>0.71</v>
      </c>
      <c r="M2987" t="n">
        <v>0</v>
      </c>
    </row>
    <row r="2988" spans="1:13">
      <c r="A2988" s="1">
        <f>HYPERLINK("http://www.twitter.com/NathanBLawrence/status/960790923566202881", "960790923566202881")</f>
        <v/>
      </c>
      <c r="B2988" s="2" t="n">
        <v>43137.34931712963</v>
      </c>
      <c r="C2988" t="n">
        <v>0</v>
      </c>
      <c r="D2988" t="n">
        <v>103</v>
      </c>
      <c r="E2988" t="s">
        <v>2991</v>
      </c>
      <c r="F2988" t="s"/>
      <c r="G2988" t="s"/>
      <c r="H2988" t="s"/>
      <c r="I2988" t="s"/>
      <c r="J2988" t="n">
        <v>0</v>
      </c>
      <c r="K2988" t="n">
        <v>0</v>
      </c>
      <c r="L2988" t="n">
        <v>1</v>
      </c>
      <c r="M2988" t="n">
        <v>0</v>
      </c>
    </row>
    <row r="2989" spans="1:13">
      <c r="A2989" s="1">
        <f>HYPERLINK("http://www.twitter.com/NathanBLawrence/status/960790877776982018", "960790877776982018")</f>
        <v/>
      </c>
      <c r="B2989" s="2" t="n">
        <v>43137.34918981481</v>
      </c>
      <c r="C2989" t="n">
        <v>0</v>
      </c>
      <c r="D2989" t="n">
        <v>5074</v>
      </c>
      <c r="E2989" t="s">
        <v>2992</v>
      </c>
      <c r="F2989" t="s"/>
      <c r="G2989" t="s"/>
      <c r="H2989" t="s"/>
      <c r="I2989" t="s"/>
      <c r="J2989" t="n">
        <v>0</v>
      </c>
      <c r="K2989" t="n">
        <v>0</v>
      </c>
      <c r="L2989" t="n">
        <v>1</v>
      </c>
      <c r="M2989" t="n">
        <v>0</v>
      </c>
    </row>
    <row r="2990" spans="1:13">
      <c r="A2990" s="1">
        <f>HYPERLINK("http://www.twitter.com/NathanBLawrence/status/960790646603657217", "960790646603657217")</f>
        <v/>
      </c>
      <c r="B2990" s="2" t="n">
        <v>43137.34855324074</v>
      </c>
      <c r="C2990" t="n">
        <v>2</v>
      </c>
      <c r="D2990" t="n">
        <v>0</v>
      </c>
      <c r="E2990" t="s">
        <v>2993</v>
      </c>
      <c r="F2990" t="s"/>
      <c r="G2990" t="s"/>
      <c r="H2990" t="s"/>
      <c r="I2990" t="s"/>
      <c r="J2990" t="n">
        <v>0</v>
      </c>
      <c r="K2990" t="n">
        <v>0</v>
      </c>
      <c r="L2990" t="n">
        <v>1</v>
      </c>
      <c r="M2990" t="n">
        <v>0</v>
      </c>
    </row>
    <row r="2991" spans="1:13">
      <c r="A2991" s="1">
        <f>HYPERLINK("http://www.twitter.com/NathanBLawrence/status/960709806859300864", "960709806859300864")</f>
        <v/>
      </c>
      <c r="B2991" s="2" t="n">
        <v>43137.12547453704</v>
      </c>
      <c r="C2991" t="n">
        <v>0</v>
      </c>
      <c r="D2991" t="n">
        <v>8</v>
      </c>
      <c r="E2991" t="s">
        <v>2994</v>
      </c>
      <c r="F2991" t="s"/>
      <c r="G2991" t="s"/>
      <c r="H2991" t="s"/>
      <c r="I2991" t="s"/>
      <c r="J2991" t="n">
        <v>-0.5266999999999999</v>
      </c>
      <c r="K2991" t="n">
        <v>0.159</v>
      </c>
      <c r="L2991" t="n">
        <v>0.841</v>
      </c>
      <c r="M2991" t="n">
        <v>0</v>
      </c>
    </row>
    <row r="2992" spans="1:13">
      <c r="A2992" s="1">
        <f>HYPERLINK("http://www.twitter.com/NathanBLawrence/status/960709717671559168", "960709717671559168")</f>
        <v/>
      </c>
      <c r="B2992" s="2" t="n">
        <v>43137.12523148148</v>
      </c>
      <c r="C2992" t="n">
        <v>0</v>
      </c>
      <c r="D2992" t="n">
        <v>835</v>
      </c>
      <c r="E2992" t="s">
        <v>2995</v>
      </c>
      <c r="F2992" t="s"/>
      <c r="G2992" t="s"/>
      <c r="H2992" t="s"/>
      <c r="I2992" t="s"/>
      <c r="J2992" t="n">
        <v>-0.7469</v>
      </c>
      <c r="K2992" t="n">
        <v>0.224</v>
      </c>
      <c r="L2992" t="n">
        <v>0.776</v>
      </c>
      <c r="M2992" t="n">
        <v>0</v>
      </c>
    </row>
    <row r="2993" spans="1:13">
      <c r="A2993" s="1">
        <f>HYPERLINK("http://www.twitter.com/NathanBLawrence/status/960696146065633280", "960696146065633280")</f>
        <v/>
      </c>
      <c r="B2993" s="2" t="n">
        <v>43137.08777777778</v>
      </c>
      <c r="C2993" t="n">
        <v>16</v>
      </c>
      <c r="D2993" t="n">
        <v>9</v>
      </c>
      <c r="E2993" t="s">
        <v>2996</v>
      </c>
      <c r="F2993" t="s"/>
      <c r="G2993" t="s"/>
      <c r="H2993" t="s"/>
      <c r="I2993" t="s"/>
      <c r="J2993" t="n">
        <v>0.4547</v>
      </c>
      <c r="K2993" t="n">
        <v>0</v>
      </c>
      <c r="L2993" t="n">
        <v>0.668</v>
      </c>
      <c r="M2993" t="n">
        <v>0.332</v>
      </c>
    </row>
    <row r="2994" spans="1:13">
      <c r="A2994" s="1">
        <f>HYPERLINK("http://www.twitter.com/NathanBLawrence/status/960695796042678272", "960695796042678272")</f>
        <v/>
      </c>
      <c r="B2994" s="2" t="n">
        <v>43137.08681712963</v>
      </c>
      <c r="C2994" t="n">
        <v>0</v>
      </c>
      <c r="D2994" t="n">
        <v>95</v>
      </c>
      <c r="E2994" t="s">
        <v>2997</v>
      </c>
      <c r="F2994">
        <f>HYPERLINK("http://pbs.twimg.com/media/DVJVMkfWAAImf4V.jpg", "http://pbs.twimg.com/media/DVJVMkfWAAImf4V.jpg")</f>
        <v/>
      </c>
      <c r="G2994" t="s"/>
      <c r="H2994" t="s"/>
      <c r="I2994" t="s"/>
      <c r="J2994" t="n">
        <v>0</v>
      </c>
      <c r="K2994" t="n">
        <v>0</v>
      </c>
      <c r="L2994" t="n">
        <v>1</v>
      </c>
      <c r="M2994" t="n">
        <v>0</v>
      </c>
    </row>
    <row r="2995" spans="1:13">
      <c r="A2995" s="1">
        <f>HYPERLINK("http://www.twitter.com/NathanBLawrence/status/960695687489847296", "960695687489847296")</f>
        <v/>
      </c>
      <c r="B2995" s="2" t="n">
        <v>43137.0865162037</v>
      </c>
      <c r="C2995" t="n">
        <v>0</v>
      </c>
      <c r="D2995" t="n">
        <v>1565</v>
      </c>
      <c r="E2995" t="s">
        <v>2998</v>
      </c>
      <c r="F2995">
        <f>HYPERLINK("https://video.twimg.com/ext_tw_video/960172988015562752/pu/vid/1280x720/BZpetz_YCdHpQdiQ.mp4", "https://video.twimg.com/ext_tw_video/960172988015562752/pu/vid/1280x720/BZpetz_YCdHpQdiQ.mp4")</f>
        <v/>
      </c>
      <c r="G2995" t="s"/>
      <c r="H2995" t="s"/>
      <c r="I2995" t="s"/>
      <c r="J2995" t="n">
        <v>0</v>
      </c>
      <c r="K2995" t="n">
        <v>0</v>
      </c>
      <c r="L2995" t="n">
        <v>1</v>
      </c>
      <c r="M2995" t="n">
        <v>0</v>
      </c>
    </row>
    <row r="2996" spans="1:13">
      <c r="A2996" s="1">
        <f>HYPERLINK("http://www.twitter.com/NathanBLawrence/status/960695637762179073", "960695637762179073")</f>
        <v/>
      </c>
      <c r="B2996" s="2" t="n">
        <v>43137.08637731482</v>
      </c>
      <c r="C2996" t="n">
        <v>0</v>
      </c>
      <c r="D2996" t="n">
        <v>8</v>
      </c>
      <c r="E2996" t="s">
        <v>2999</v>
      </c>
      <c r="F2996">
        <f>HYPERLINK("http://pbs.twimg.com/media/DVOKZvGVAAAFdc0.jpg", "http://pbs.twimg.com/media/DVOKZvGVAAAFdc0.jpg")</f>
        <v/>
      </c>
      <c r="G2996" t="s"/>
      <c r="H2996" t="s"/>
      <c r="I2996" t="s"/>
      <c r="J2996" t="n">
        <v>0</v>
      </c>
      <c r="K2996" t="n">
        <v>0</v>
      </c>
      <c r="L2996" t="n">
        <v>1</v>
      </c>
      <c r="M2996" t="n">
        <v>0</v>
      </c>
    </row>
    <row r="2997" spans="1:13">
      <c r="A2997" s="1">
        <f>HYPERLINK("http://www.twitter.com/NathanBLawrence/status/960695528328581121", "960695528328581121")</f>
        <v/>
      </c>
      <c r="B2997" s="2" t="n">
        <v>43137.08607638889</v>
      </c>
      <c r="C2997" t="n">
        <v>0</v>
      </c>
      <c r="D2997" t="n">
        <v>105</v>
      </c>
      <c r="E2997" t="s">
        <v>3000</v>
      </c>
      <c r="F2997" t="s"/>
      <c r="G2997" t="s"/>
      <c r="H2997" t="s"/>
      <c r="I2997" t="s"/>
      <c r="J2997" t="n">
        <v>-0.765</v>
      </c>
      <c r="K2997" t="n">
        <v>0.292</v>
      </c>
      <c r="L2997" t="n">
        <v>0.708</v>
      </c>
      <c r="M2997" t="n">
        <v>0</v>
      </c>
    </row>
    <row r="2998" spans="1:13">
      <c r="A2998" s="1">
        <f>HYPERLINK("http://www.twitter.com/NathanBLawrence/status/960695433205968896", "960695433205968896")</f>
        <v/>
      </c>
      <c r="B2998" s="2" t="n">
        <v>43137.08581018518</v>
      </c>
      <c r="C2998" t="n">
        <v>0</v>
      </c>
      <c r="D2998" t="n">
        <v>12</v>
      </c>
      <c r="E2998" t="s">
        <v>3001</v>
      </c>
      <c r="F2998" t="s"/>
      <c r="G2998" t="s"/>
      <c r="H2998" t="s"/>
      <c r="I2998" t="s"/>
      <c r="J2998" t="n">
        <v>0.4168</v>
      </c>
      <c r="K2998" t="n">
        <v>0</v>
      </c>
      <c r="L2998" t="n">
        <v>0.883</v>
      </c>
      <c r="M2998" t="n">
        <v>0.117</v>
      </c>
    </row>
    <row r="2999" spans="1:13">
      <c r="A2999" s="1">
        <f>HYPERLINK("http://www.twitter.com/NathanBLawrence/status/960695223742443520", "960695223742443520")</f>
        <v/>
      </c>
      <c r="B2999" s="2" t="n">
        <v>43137.08523148148</v>
      </c>
      <c r="C2999" t="n">
        <v>0</v>
      </c>
      <c r="D2999" t="n">
        <v>2562</v>
      </c>
      <c r="E2999" t="s">
        <v>3002</v>
      </c>
      <c r="F2999">
        <f>HYPERLINK("https://video.twimg.com/ext_tw_video/959603764666753024/pu/vid/1280x720/JZs51jmeqeVro8e-.mp4", "https://video.twimg.com/ext_tw_video/959603764666753024/pu/vid/1280x720/JZs51jmeqeVro8e-.mp4")</f>
        <v/>
      </c>
      <c r="G2999" t="s"/>
      <c r="H2999" t="s"/>
      <c r="I2999" t="s"/>
      <c r="J2999" t="n">
        <v>0.0772</v>
      </c>
      <c r="K2999" t="n">
        <v>0.08599999999999999</v>
      </c>
      <c r="L2999" t="n">
        <v>0.8159999999999999</v>
      </c>
      <c r="M2999" t="n">
        <v>0.098</v>
      </c>
    </row>
    <row r="3000" spans="1:13">
      <c r="A3000" s="1">
        <f>HYPERLINK("http://www.twitter.com/NathanBLawrence/status/960695114946330624", "960695114946330624")</f>
        <v/>
      </c>
      <c r="B3000" s="2" t="n">
        <v>43137.08493055555</v>
      </c>
      <c r="C3000" t="n">
        <v>0</v>
      </c>
      <c r="D3000" t="n">
        <v>185</v>
      </c>
      <c r="E3000" t="s">
        <v>3003</v>
      </c>
      <c r="F3000">
        <f>HYPERLINK("http://pbs.twimg.com/media/DVSD4PpWsAAFQ4-.jpg", "http://pbs.twimg.com/media/DVSD4PpWsAAFQ4-.jpg")</f>
        <v/>
      </c>
      <c r="G3000" t="s"/>
      <c r="H3000" t="s"/>
      <c r="I3000" t="s"/>
      <c r="J3000" t="n">
        <v>-0.1548</v>
      </c>
      <c r="K3000" t="n">
        <v>0.109</v>
      </c>
      <c r="L3000" t="n">
        <v>0.8070000000000001</v>
      </c>
      <c r="M3000" t="n">
        <v>0.08400000000000001</v>
      </c>
    </row>
    <row r="3001" spans="1:13">
      <c r="A3001" s="1">
        <f>HYPERLINK("http://www.twitter.com/NathanBLawrence/status/960633989013766144", "960633989013766144")</f>
        <v/>
      </c>
      <c r="B3001" s="2" t="n">
        <v>43136.91626157407</v>
      </c>
      <c r="C3001" t="n">
        <v>0</v>
      </c>
      <c r="D3001" t="n">
        <v>2586</v>
      </c>
      <c r="E3001" t="s">
        <v>3004</v>
      </c>
      <c r="F3001">
        <f>HYPERLINK("http://pbs.twimg.com/media/DVTEZUaX0AAP18e.jpg", "http://pbs.twimg.com/media/DVTEZUaX0AAP18e.jpg")</f>
        <v/>
      </c>
      <c r="G3001" t="s"/>
      <c r="H3001" t="s"/>
      <c r="I3001" t="s"/>
      <c r="J3001" t="n">
        <v>0.6486</v>
      </c>
      <c r="K3001" t="n">
        <v>0.074</v>
      </c>
      <c r="L3001" t="n">
        <v>0.707</v>
      </c>
      <c r="M3001" t="n">
        <v>0.219</v>
      </c>
    </row>
    <row r="3002" spans="1:13">
      <c r="A3002" s="1">
        <f>HYPERLINK("http://www.twitter.com/NathanBLawrence/status/960633724189622272", "960633724189622272")</f>
        <v/>
      </c>
      <c r="B3002" s="2" t="n">
        <v>43136.91553240741</v>
      </c>
      <c r="C3002" t="n">
        <v>0</v>
      </c>
      <c r="D3002" t="n">
        <v>343</v>
      </c>
      <c r="E3002" t="s">
        <v>3005</v>
      </c>
      <c r="F3002">
        <f>HYPERLINK("http://pbs.twimg.com/media/DVQ2YBuXkAA1Kap.jpg", "http://pbs.twimg.com/media/DVQ2YBuXkAA1Kap.jpg")</f>
        <v/>
      </c>
      <c r="G3002" t="s"/>
      <c r="H3002" t="s"/>
      <c r="I3002" t="s"/>
      <c r="J3002" t="n">
        <v>0.3182</v>
      </c>
      <c r="K3002" t="n">
        <v>0</v>
      </c>
      <c r="L3002" t="n">
        <v>0.892</v>
      </c>
      <c r="M3002" t="n">
        <v>0.108</v>
      </c>
    </row>
    <row r="3003" spans="1:13">
      <c r="A3003" s="1">
        <f>HYPERLINK("http://www.twitter.com/NathanBLawrence/status/960633653637275648", "960633653637275648")</f>
        <v/>
      </c>
      <c r="B3003" s="2" t="n">
        <v>43136.91533564815</v>
      </c>
      <c r="C3003" t="n">
        <v>0</v>
      </c>
      <c r="D3003" t="n">
        <v>100</v>
      </c>
      <c r="E3003" t="s">
        <v>3006</v>
      </c>
      <c r="F3003" t="s"/>
      <c r="G3003" t="s"/>
      <c r="H3003" t="s"/>
      <c r="I3003" t="s"/>
      <c r="J3003" t="n">
        <v>0</v>
      </c>
      <c r="K3003" t="n">
        <v>0</v>
      </c>
      <c r="L3003" t="n">
        <v>1</v>
      </c>
      <c r="M3003" t="n">
        <v>0</v>
      </c>
    </row>
    <row r="3004" spans="1:13">
      <c r="A3004" s="1">
        <f>HYPERLINK("http://www.twitter.com/NathanBLawrence/status/960633582015299586", "960633582015299586")</f>
        <v/>
      </c>
      <c r="B3004" s="2" t="n">
        <v>43136.91513888889</v>
      </c>
      <c r="C3004" t="n">
        <v>8</v>
      </c>
      <c r="D3004" t="n">
        <v>3</v>
      </c>
      <c r="E3004" t="s">
        <v>3007</v>
      </c>
      <c r="F3004" t="s"/>
      <c r="G3004" t="s"/>
      <c r="H3004" t="s"/>
      <c r="I3004" t="s"/>
      <c r="J3004" t="n">
        <v>0</v>
      </c>
      <c r="K3004" t="n">
        <v>0</v>
      </c>
      <c r="L3004" t="n">
        <v>1</v>
      </c>
      <c r="M3004" t="n">
        <v>0</v>
      </c>
    </row>
    <row r="3005" spans="1:13">
      <c r="A3005" s="1">
        <f>HYPERLINK("http://www.twitter.com/NathanBLawrence/status/960630339314962432", "960630339314962432")</f>
        <v/>
      </c>
      <c r="B3005" s="2" t="n">
        <v>43136.90619212963</v>
      </c>
      <c r="C3005" t="n">
        <v>0</v>
      </c>
      <c r="D3005" t="n">
        <v>732</v>
      </c>
      <c r="E3005" t="s">
        <v>3008</v>
      </c>
      <c r="F3005">
        <f>HYPERLINK("http://pbs.twimg.com/media/DVS78gaX0AAAPUw.jpg", "http://pbs.twimg.com/media/DVS78gaX0AAAPUw.jpg")</f>
        <v/>
      </c>
      <c r="G3005" t="s"/>
      <c r="H3005" t="s"/>
      <c r="I3005" t="s"/>
      <c r="J3005" t="n">
        <v>0.4184</v>
      </c>
      <c r="K3005" t="n">
        <v>0.126</v>
      </c>
      <c r="L3005" t="n">
        <v>0.6889999999999999</v>
      </c>
      <c r="M3005" t="n">
        <v>0.185</v>
      </c>
    </row>
    <row r="3006" spans="1:13">
      <c r="A3006" s="1">
        <f>HYPERLINK("http://www.twitter.com/NathanBLawrence/status/960630172176105473", "960630172176105473")</f>
        <v/>
      </c>
      <c r="B3006" s="2" t="n">
        <v>43136.90572916667</v>
      </c>
      <c r="C3006" t="n">
        <v>0</v>
      </c>
      <c r="D3006" t="n">
        <v>22227</v>
      </c>
      <c r="E3006" t="s">
        <v>3009</v>
      </c>
      <c r="F3006">
        <f>HYPERLINK("https://video.twimg.com/ext_tw_video/960614298811817985/pu/vid/1280x720/fF1ZCS0osRWDQ1aq.mp4", "https://video.twimg.com/ext_tw_video/960614298811817985/pu/vid/1280x720/fF1ZCS0osRWDQ1aq.mp4")</f>
        <v/>
      </c>
      <c r="G3006" t="s"/>
      <c r="H3006" t="s"/>
      <c r="I3006" t="s"/>
      <c r="J3006" t="n">
        <v>-0.008500000000000001</v>
      </c>
      <c r="K3006" t="n">
        <v>0.105</v>
      </c>
      <c r="L3006" t="n">
        <v>0.79</v>
      </c>
      <c r="M3006" t="n">
        <v>0.104</v>
      </c>
    </row>
    <row r="3007" spans="1:13">
      <c r="A3007" s="1">
        <f>HYPERLINK("http://www.twitter.com/NathanBLawrence/status/960630101783101440", "960630101783101440")</f>
        <v/>
      </c>
      <c r="B3007" s="2" t="n">
        <v>43136.90553240741</v>
      </c>
      <c r="C3007" t="n">
        <v>0</v>
      </c>
      <c r="D3007" t="n">
        <v>221</v>
      </c>
      <c r="E3007" t="s">
        <v>3010</v>
      </c>
      <c r="F3007">
        <f>HYPERLINK("http://pbs.twimg.com/media/DVTW5GrWkAAMDr8.jpg", "http://pbs.twimg.com/media/DVTW5GrWkAAMDr8.jpg")</f>
        <v/>
      </c>
      <c r="G3007">
        <f>HYPERLINK("http://pbs.twimg.com/media/DVTW5GZWsAEB6S-.jpg", "http://pbs.twimg.com/media/DVTW5GZWsAEB6S-.jpg")</f>
        <v/>
      </c>
      <c r="H3007" t="s"/>
      <c r="I3007" t="s"/>
      <c r="J3007" t="n">
        <v>-0.0276</v>
      </c>
      <c r="K3007" t="n">
        <v>0.122</v>
      </c>
      <c r="L3007" t="n">
        <v>0.761</v>
      </c>
      <c r="M3007" t="n">
        <v>0.118</v>
      </c>
    </row>
    <row r="3008" spans="1:13">
      <c r="A3008" s="1">
        <f>HYPERLINK("http://www.twitter.com/NathanBLawrence/status/960629938041704448", "960629938041704448")</f>
        <v/>
      </c>
      <c r="B3008" s="2" t="n">
        <v>43136.90508101852</v>
      </c>
      <c r="C3008" t="n">
        <v>0</v>
      </c>
      <c r="D3008" t="n">
        <v>343</v>
      </c>
      <c r="E3008" t="s">
        <v>3011</v>
      </c>
      <c r="F3008" t="s"/>
      <c r="G3008" t="s"/>
      <c r="H3008" t="s"/>
      <c r="I3008" t="s"/>
      <c r="J3008" t="n">
        <v>-0.4939</v>
      </c>
      <c r="K3008" t="n">
        <v>0.127</v>
      </c>
      <c r="L3008" t="n">
        <v>0.873</v>
      </c>
      <c r="M3008" t="n">
        <v>0</v>
      </c>
    </row>
    <row r="3009" spans="1:13">
      <c r="A3009" s="1">
        <f>HYPERLINK("http://www.twitter.com/NathanBLawrence/status/960629656616513536", "960629656616513536")</f>
        <v/>
      </c>
      <c r="B3009" s="2" t="n">
        <v>43136.90430555555</v>
      </c>
      <c r="C3009" t="n">
        <v>0</v>
      </c>
      <c r="D3009" t="n">
        <v>854</v>
      </c>
      <c r="E3009" t="s">
        <v>3012</v>
      </c>
      <c r="F3009">
        <f>HYPERLINK("http://pbs.twimg.com/media/DVTSfbUWsAEOfDP.jpg", "http://pbs.twimg.com/media/DVTSfbUWsAEOfDP.jpg")</f>
        <v/>
      </c>
      <c r="G3009" t="s"/>
      <c r="H3009" t="s"/>
      <c r="I3009" t="s"/>
      <c r="J3009" t="n">
        <v>0.7574</v>
      </c>
      <c r="K3009" t="n">
        <v>0</v>
      </c>
      <c r="L3009" t="n">
        <v>0.755</v>
      </c>
      <c r="M3009" t="n">
        <v>0.245</v>
      </c>
    </row>
    <row r="3010" spans="1:13">
      <c r="A3010" s="1">
        <f>HYPERLINK("http://www.twitter.com/NathanBLawrence/status/960629504048644096", "960629504048644096")</f>
        <v/>
      </c>
      <c r="B3010" s="2" t="n">
        <v>43136.90388888889</v>
      </c>
      <c r="C3010" t="n">
        <v>3</v>
      </c>
      <c r="D3010" t="n">
        <v>3</v>
      </c>
      <c r="E3010" t="s">
        <v>3013</v>
      </c>
      <c r="F3010" t="s"/>
      <c r="G3010" t="s"/>
      <c r="H3010" t="s"/>
      <c r="I3010" t="s"/>
      <c r="J3010" t="n">
        <v>0.3802</v>
      </c>
      <c r="K3010" t="n">
        <v>0</v>
      </c>
      <c r="L3010" t="n">
        <v>0.755</v>
      </c>
      <c r="M3010" t="n">
        <v>0.245</v>
      </c>
    </row>
    <row r="3011" spans="1:13">
      <c r="A3011" s="1">
        <f>HYPERLINK("http://www.twitter.com/NathanBLawrence/status/960628844108509186", "960628844108509186")</f>
        <v/>
      </c>
      <c r="B3011" s="2" t="n">
        <v>43136.90206018519</v>
      </c>
      <c r="C3011" t="n">
        <v>14</v>
      </c>
      <c r="D3011" t="n">
        <v>6</v>
      </c>
      <c r="E3011" t="s">
        <v>3014</v>
      </c>
      <c r="F3011" t="s"/>
      <c r="G3011" t="s"/>
      <c r="H3011" t="s"/>
      <c r="I3011" t="s"/>
      <c r="J3011" t="n">
        <v>0</v>
      </c>
      <c r="K3011" t="n">
        <v>0</v>
      </c>
      <c r="L3011" t="n">
        <v>1</v>
      </c>
      <c r="M3011" t="n">
        <v>0</v>
      </c>
    </row>
    <row r="3012" spans="1:13">
      <c r="A3012" s="1">
        <f>HYPERLINK("http://www.twitter.com/NathanBLawrence/status/960627967566036992", "960627967566036992")</f>
        <v/>
      </c>
      <c r="B3012" s="2" t="n">
        <v>43136.8996412037</v>
      </c>
      <c r="C3012" t="n">
        <v>4</v>
      </c>
      <c r="D3012" t="n">
        <v>1</v>
      </c>
      <c r="E3012" t="s">
        <v>3015</v>
      </c>
      <c r="F3012" t="s"/>
      <c r="G3012" t="s"/>
      <c r="H3012" t="s"/>
      <c r="I3012" t="s"/>
      <c r="J3012" t="n">
        <v>0</v>
      </c>
      <c r="K3012" t="n">
        <v>0</v>
      </c>
      <c r="L3012" t="n">
        <v>1</v>
      </c>
      <c r="M3012" t="n">
        <v>0</v>
      </c>
    </row>
    <row r="3013" spans="1:13">
      <c r="A3013" s="1">
        <f>HYPERLINK("http://www.twitter.com/NathanBLawrence/status/960627133675483136", "960627133675483136")</f>
        <v/>
      </c>
      <c r="B3013" s="2" t="n">
        <v>43136.89733796296</v>
      </c>
      <c r="C3013" t="n">
        <v>0</v>
      </c>
      <c r="D3013" t="n">
        <v>367</v>
      </c>
      <c r="E3013" t="s">
        <v>3016</v>
      </c>
      <c r="F3013">
        <f>HYPERLINK("http://pbs.twimg.com/media/DVTU2KhUQAA2N1N.jpg", "http://pbs.twimg.com/media/DVTU2KhUQAA2N1N.jpg")</f>
        <v/>
      </c>
      <c r="G3013" t="s"/>
      <c r="H3013" t="s"/>
      <c r="I3013" t="s"/>
      <c r="J3013" t="n">
        <v>0.1739</v>
      </c>
      <c r="K3013" t="n">
        <v>0</v>
      </c>
      <c r="L3013" t="n">
        <v>0.856</v>
      </c>
      <c r="M3013" t="n">
        <v>0.144</v>
      </c>
    </row>
    <row r="3014" spans="1:13">
      <c r="A3014" s="1">
        <f>HYPERLINK("http://www.twitter.com/NathanBLawrence/status/960624967099412480", "960624967099412480")</f>
        <v/>
      </c>
      <c r="B3014" s="2" t="n">
        <v>43136.89136574074</v>
      </c>
      <c r="C3014" t="n">
        <v>0</v>
      </c>
      <c r="D3014" t="n">
        <v>22</v>
      </c>
      <c r="E3014" t="s">
        <v>3017</v>
      </c>
      <c r="F3014" t="s"/>
      <c r="G3014" t="s"/>
      <c r="H3014" t="s"/>
      <c r="I3014" t="s"/>
      <c r="J3014" t="n">
        <v>0.5319</v>
      </c>
      <c r="K3014" t="n">
        <v>0</v>
      </c>
      <c r="L3014" t="n">
        <v>0.84</v>
      </c>
      <c r="M3014" t="n">
        <v>0.16</v>
      </c>
    </row>
    <row r="3015" spans="1:13">
      <c r="A3015" s="1">
        <f>HYPERLINK("http://www.twitter.com/NathanBLawrence/status/960624686802526208", "960624686802526208")</f>
        <v/>
      </c>
      <c r="B3015" s="2" t="n">
        <v>43136.89059027778</v>
      </c>
      <c r="C3015" t="n">
        <v>0</v>
      </c>
      <c r="D3015" t="n">
        <v>65</v>
      </c>
      <c r="E3015" t="s">
        <v>3018</v>
      </c>
      <c r="F3015" t="s"/>
      <c r="G3015" t="s"/>
      <c r="H3015" t="s"/>
      <c r="I3015" t="s"/>
      <c r="J3015" t="n">
        <v>0.0772</v>
      </c>
      <c r="K3015" t="n">
        <v>0</v>
      </c>
      <c r="L3015" t="n">
        <v>0.954</v>
      </c>
      <c r="M3015" t="n">
        <v>0.046</v>
      </c>
    </row>
    <row r="3016" spans="1:13">
      <c r="A3016" s="1">
        <f>HYPERLINK("http://www.twitter.com/NathanBLawrence/status/960624630544216065", "960624630544216065")</f>
        <v/>
      </c>
      <c r="B3016" s="2" t="n">
        <v>43136.89043981482</v>
      </c>
      <c r="C3016" t="n">
        <v>0</v>
      </c>
      <c r="D3016" t="n">
        <v>256</v>
      </c>
      <c r="E3016" t="s">
        <v>3019</v>
      </c>
      <c r="F3016" t="s"/>
      <c r="G3016" t="s"/>
      <c r="H3016" t="s"/>
      <c r="I3016" t="s"/>
      <c r="J3016" t="n">
        <v>0.729</v>
      </c>
      <c r="K3016" t="n">
        <v>0</v>
      </c>
      <c r="L3016" t="n">
        <v>0.717</v>
      </c>
      <c r="M3016" t="n">
        <v>0.283</v>
      </c>
    </row>
    <row r="3017" spans="1:13">
      <c r="A3017" s="1">
        <f>HYPERLINK("http://www.twitter.com/NathanBLawrence/status/960624584553713664", "960624584553713664")</f>
        <v/>
      </c>
      <c r="B3017" s="2" t="n">
        <v>43136.8903125</v>
      </c>
      <c r="C3017" t="n">
        <v>0</v>
      </c>
      <c r="D3017" t="n">
        <v>155</v>
      </c>
      <c r="E3017" t="s">
        <v>3020</v>
      </c>
      <c r="F3017" t="s"/>
      <c r="G3017" t="s"/>
      <c r="H3017" t="s"/>
      <c r="I3017" t="s"/>
      <c r="J3017" t="n">
        <v>0.8687</v>
      </c>
      <c r="K3017" t="n">
        <v>0</v>
      </c>
      <c r="L3017" t="n">
        <v>0.605</v>
      </c>
      <c r="M3017" t="n">
        <v>0.395</v>
      </c>
    </row>
    <row r="3018" spans="1:13">
      <c r="A3018" s="1">
        <f>HYPERLINK("http://www.twitter.com/NathanBLawrence/status/960624242193612800", "960624242193612800")</f>
        <v/>
      </c>
      <c r="B3018" s="2" t="n">
        <v>43136.88936342593</v>
      </c>
      <c r="C3018" t="n">
        <v>25</v>
      </c>
      <c r="D3018" t="n">
        <v>16</v>
      </c>
      <c r="E3018" t="s">
        <v>3021</v>
      </c>
      <c r="F3018" t="s"/>
      <c r="G3018" t="s"/>
      <c r="H3018" t="s"/>
      <c r="I3018" t="s"/>
      <c r="J3018" t="n">
        <v>0</v>
      </c>
      <c r="K3018" t="n">
        <v>0</v>
      </c>
      <c r="L3018" t="n">
        <v>1</v>
      </c>
      <c r="M3018" t="n">
        <v>0</v>
      </c>
    </row>
    <row r="3019" spans="1:13">
      <c r="A3019" s="1">
        <f>HYPERLINK("http://www.twitter.com/NathanBLawrence/status/960623736050237440", "960623736050237440")</f>
        <v/>
      </c>
      <c r="B3019" s="2" t="n">
        <v>43136.88796296297</v>
      </c>
      <c r="C3019" t="n">
        <v>0</v>
      </c>
      <c r="D3019" t="n">
        <v>706</v>
      </c>
      <c r="E3019" t="s">
        <v>3022</v>
      </c>
      <c r="F3019" t="s"/>
      <c r="G3019" t="s"/>
      <c r="H3019" t="s"/>
      <c r="I3019" t="s"/>
      <c r="J3019" t="n">
        <v>0.7906</v>
      </c>
      <c r="K3019" t="n">
        <v>0.07000000000000001</v>
      </c>
      <c r="L3019" t="n">
        <v>0.629</v>
      </c>
      <c r="M3019" t="n">
        <v>0.301</v>
      </c>
    </row>
    <row r="3020" spans="1:13">
      <c r="A3020" s="1">
        <f>HYPERLINK("http://www.twitter.com/NathanBLawrence/status/960623645310705664", "960623645310705664")</f>
        <v/>
      </c>
      <c r="B3020" s="2" t="n">
        <v>43136.8877199074</v>
      </c>
      <c r="C3020" t="n">
        <v>0</v>
      </c>
      <c r="D3020" t="n">
        <v>634</v>
      </c>
      <c r="E3020" t="s">
        <v>3023</v>
      </c>
      <c r="F3020">
        <f>HYPERLINK("http://pbs.twimg.com/media/DVTOXrcW0AAdyAX.jpg", "http://pbs.twimg.com/media/DVTOXrcW0AAdyAX.jpg")</f>
        <v/>
      </c>
      <c r="G3020" t="s"/>
      <c r="H3020" t="s"/>
      <c r="I3020" t="s"/>
      <c r="J3020" t="n">
        <v>-0.2732</v>
      </c>
      <c r="K3020" t="n">
        <v>0.095</v>
      </c>
      <c r="L3020" t="n">
        <v>0.905</v>
      </c>
      <c r="M3020" t="n">
        <v>0</v>
      </c>
    </row>
    <row r="3021" spans="1:13">
      <c r="A3021" s="1">
        <f>HYPERLINK("http://www.twitter.com/NathanBLawrence/status/960623525752008704", "960623525752008704")</f>
        <v/>
      </c>
      <c r="B3021" s="2" t="n">
        <v>43136.88738425926</v>
      </c>
      <c r="C3021" t="n">
        <v>0</v>
      </c>
      <c r="D3021" t="n">
        <v>1174</v>
      </c>
      <c r="E3021" t="s">
        <v>3024</v>
      </c>
      <c r="F3021" t="s"/>
      <c r="G3021" t="s"/>
      <c r="H3021" t="s"/>
      <c r="I3021" t="s"/>
      <c r="J3021" t="n">
        <v>-0.3089</v>
      </c>
      <c r="K3021" t="n">
        <v>0.097</v>
      </c>
      <c r="L3021" t="n">
        <v>0.903</v>
      </c>
      <c r="M3021" t="n">
        <v>0</v>
      </c>
    </row>
    <row r="3022" spans="1:13">
      <c r="A3022" s="1">
        <f>HYPERLINK("http://www.twitter.com/NathanBLawrence/status/960623323167178752", "960623323167178752")</f>
        <v/>
      </c>
      <c r="B3022" s="2" t="n">
        <v>43136.8868287037</v>
      </c>
      <c r="C3022" t="n">
        <v>0</v>
      </c>
      <c r="D3022" t="n">
        <v>585</v>
      </c>
      <c r="E3022" t="s">
        <v>3025</v>
      </c>
      <c r="F3022" t="s"/>
      <c r="G3022" t="s"/>
      <c r="H3022" t="s"/>
      <c r="I3022" t="s"/>
      <c r="J3022" t="n">
        <v>-0.6369</v>
      </c>
      <c r="K3022" t="n">
        <v>0.174</v>
      </c>
      <c r="L3022" t="n">
        <v>0.826</v>
      </c>
      <c r="M3022" t="n">
        <v>0</v>
      </c>
    </row>
    <row r="3023" spans="1:13">
      <c r="A3023" s="1">
        <f>HYPERLINK("http://www.twitter.com/NathanBLawrence/status/960623244066738176", "960623244066738176")</f>
        <v/>
      </c>
      <c r="B3023" s="2" t="n">
        <v>43136.8866087963</v>
      </c>
      <c r="C3023" t="n">
        <v>2</v>
      </c>
      <c r="D3023" t="n">
        <v>1</v>
      </c>
      <c r="E3023" t="s">
        <v>3026</v>
      </c>
      <c r="F3023" t="s"/>
      <c r="G3023" t="s"/>
      <c r="H3023" t="s"/>
      <c r="I3023" t="s"/>
      <c r="J3023" t="n">
        <v>0</v>
      </c>
      <c r="K3023" t="n">
        <v>0</v>
      </c>
      <c r="L3023" t="n">
        <v>1</v>
      </c>
      <c r="M3023" t="n">
        <v>0</v>
      </c>
    </row>
    <row r="3024" spans="1:13">
      <c r="A3024" s="1">
        <f>HYPERLINK("http://www.twitter.com/NathanBLawrence/status/960622803035635712", "960622803035635712")</f>
        <v/>
      </c>
      <c r="B3024" s="2" t="n">
        <v>43136.88539351852</v>
      </c>
      <c r="C3024" t="n">
        <v>0</v>
      </c>
      <c r="D3024" t="n">
        <v>31</v>
      </c>
      <c r="E3024" t="s">
        <v>3027</v>
      </c>
      <c r="F3024">
        <f>HYPERLINK("http://pbs.twimg.com/media/DVTOLawWsAEoId4.jpg", "http://pbs.twimg.com/media/DVTOLawWsAEoId4.jpg")</f>
        <v/>
      </c>
      <c r="G3024" t="s"/>
      <c r="H3024" t="s"/>
      <c r="I3024" t="s"/>
      <c r="J3024" t="n">
        <v>0</v>
      </c>
      <c r="K3024" t="n">
        <v>0</v>
      </c>
      <c r="L3024" t="n">
        <v>1</v>
      </c>
      <c r="M3024" t="n">
        <v>0</v>
      </c>
    </row>
    <row r="3025" spans="1:13">
      <c r="A3025" s="1">
        <f>HYPERLINK("http://www.twitter.com/NathanBLawrence/status/960622206345609216", "960622206345609216")</f>
        <v/>
      </c>
      <c r="B3025" s="2" t="n">
        <v>43136.88375</v>
      </c>
      <c r="C3025" t="n">
        <v>0</v>
      </c>
      <c r="D3025" t="n">
        <v>589</v>
      </c>
      <c r="E3025" t="s">
        <v>3028</v>
      </c>
      <c r="F3025">
        <f>HYPERLINK("http://pbs.twimg.com/media/DU6f5alVMAEREk0.jpg", "http://pbs.twimg.com/media/DU6f5alVMAEREk0.jpg")</f>
        <v/>
      </c>
      <c r="G3025" t="s"/>
      <c r="H3025" t="s"/>
      <c r="I3025" t="s"/>
      <c r="J3025" t="n">
        <v>0.6696</v>
      </c>
      <c r="K3025" t="n">
        <v>0</v>
      </c>
      <c r="L3025" t="n">
        <v>0.667</v>
      </c>
      <c r="M3025" t="n">
        <v>0.333</v>
      </c>
    </row>
    <row r="3026" spans="1:13">
      <c r="A3026" s="1">
        <f>HYPERLINK("http://www.twitter.com/NathanBLawrence/status/960622110753177600", "960622110753177600")</f>
        <v/>
      </c>
      <c r="B3026" s="2" t="n">
        <v>43136.88348379629</v>
      </c>
      <c r="C3026" t="n">
        <v>0</v>
      </c>
      <c r="D3026" t="n">
        <v>8947</v>
      </c>
      <c r="E3026" t="s">
        <v>3029</v>
      </c>
      <c r="F3026" t="s"/>
      <c r="G3026" t="s"/>
      <c r="H3026" t="s"/>
      <c r="I3026" t="s"/>
      <c r="J3026" t="n">
        <v>-0.4588</v>
      </c>
      <c r="K3026" t="n">
        <v>0.143</v>
      </c>
      <c r="L3026" t="n">
        <v>0.857</v>
      </c>
      <c r="M3026" t="n">
        <v>0</v>
      </c>
    </row>
    <row r="3027" spans="1:13">
      <c r="A3027" s="1">
        <f>HYPERLINK("http://www.twitter.com/NathanBLawrence/status/960621747807469569", "960621747807469569")</f>
        <v/>
      </c>
      <c r="B3027" s="2" t="n">
        <v>43136.88247685185</v>
      </c>
      <c r="C3027" t="n">
        <v>0</v>
      </c>
      <c r="D3027" t="n">
        <v>8565</v>
      </c>
      <c r="E3027" t="s">
        <v>3030</v>
      </c>
      <c r="F3027" t="s"/>
      <c r="G3027" t="s"/>
      <c r="H3027" t="s"/>
      <c r="I3027" t="s"/>
      <c r="J3027" t="n">
        <v>0.5411</v>
      </c>
      <c r="K3027" t="n">
        <v>0.113</v>
      </c>
      <c r="L3027" t="n">
        <v>0.642</v>
      </c>
      <c r="M3027" t="n">
        <v>0.245</v>
      </c>
    </row>
    <row r="3028" spans="1:13">
      <c r="A3028" s="1">
        <f>HYPERLINK("http://www.twitter.com/NathanBLawrence/status/960621143437619200", "960621143437619200")</f>
        <v/>
      </c>
      <c r="B3028" s="2" t="n">
        <v>43136.88081018518</v>
      </c>
      <c r="C3028" t="n">
        <v>5</v>
      </c>
      <c r="D3028" t="n">
        <v>7</v>
      </c>
      <c r="E3028" t="s">
        <v>3031</v>
      </c>
      <c r="F3028" t="s"/>
      <c r="G3028" t="s"/>
      <c r="H3028" t="s"/>
      <c r="I3028" t="s"/>
      <c r="J3028" t="n">
        <v>0</v>
      </c>
      <c r="K3028" t="n">
        <v>0</v>
      </c>
      <c r="L3028" t="n">
        <v>1</v>
      </c>
      <c r="M3028" t="n">
        <v>0</v>
      </c>
    </row>
    <row r="3029" spans="1:13">
      <c r="A3029" s="1">
        <f>HYPERLINK("http://www.twitter.com/NathanBLawrence/status/960587290048253952", "960587290048253952")</f>
        <v/>
      </c>
      <c r="B3029" s="2" t="n">
        <v>43136.78739583334</v>
      </c>
      <c r="C3029" t="n">
        <v>29</v>
      </c>
      <c r="D3029" t="n">
        <v>12</v>
      </c>
      <c r="E3029" t="s">
        <v>3032</v>
      </c>
      <c r="F3029" t="s"/>
      <c r="G3029" t="s"/>
      <c r="H3029" t="s"/>
      <c r="I3029" t="s"/>
      <c r="J3029" t="n">
        <v>0.417</v>
      </c>
      <c r="K3029" t="n">
        <v>0</v>
      </c>
      <c r="L3029" t="n">
        <v>0.852</v>
      </c>
      <c r="M3029" t="n">
        <v>0.148</v>
      </c>
    </row>
    <row r="3030" spans="1:13">
      <c r="A3030" s="1">
        <f>HYPERLINK("http://www.twitter.com/NathanBLawrence/status/960586294995836928", "960586294995836928")</f>
        <v/>
      </c>
      <c r="B3030" s="2" t="n">
        <v>43136.78465277778</v>
      </c>
      <c r="C3030" t="n">
        <v>10</v>
      </c>
      <c r="D3030" t="n">
        <v>7</v>
      </c>
      <c r="E3030" t="s">
        <v>3033</v>
      </c>
      <c r="F3030" t="s"/>
      <c r="G3030" t="s"/>
      <c r="H3030" t="s"/>
      <c r="I3030" t="s"/>
      <c r="J3030" t="n">
        <v>0</v>
      </c>
      <c r="K3030" t="n">
        <v>0</v>
      </c>
      <c r="L3030" t="n">
        <v>1</v>
      </c>
      <c r="M3030" t="n">
        <v>0</v>
      </c>
    </row>
    <row r="3031" spans="1:13">
      <c r="A3031" s="1">
        <f>HYPERLINK("http://www.twitter.com/NathanBLawrence/status/960585635848310784", "960585635848310784")</f>
        <v/>
      </c>
      <c r="B3031" s="2" t="n">
        <v>43136.78283564815</v>
      </c>
      <c r="C3031" t="n">
        <v>0</v>
      </c>
      <c r="D3031" t="n">
        <v>70</v>
      </c>
      <c r="E3031" t="s">
        <v>3034</v>
      </c>
      <c r="F3031" t="s"/>
      <c r="G3031" t="s"/>
      <c r="H3031" t="s"/>
      <c r="I3031" t="s"/>
      <c r="J3031" t="n">
        <v>-0.2732</v>
      </c>
      <c r="K3031" t="n">
        <v>0.095</v>
      </c>
      <c r="L3031" t="n">
        <v>0.905</v>
      </c>
      <c r="M3031" t="n">
        <v>0</v>
      </c>
    </row>
    <row r="3032" spans="1:13">
      <c r="A3032" s="1">
        <f>HYPERLINK("http://www.twitter.com/NathanBLawrence/status/960585544500527104", "960585544500527104")</f>
        <v/>
      </c>
      <c r="B3032" s="2" t="n">
        <v>43136.78258101852</v>
      </c>
      <c r="C3032" t="n">
        <v>0</v>
      </c>
      <c r="D3032" t="n">
        <v>73</v>
      </c>
      <c r="E3032" t="s">
        <v>3035</v>
      </c>
      <c r="F3032" t="s"/>
      <c r="G3032" t="s"/>
      <c r="H3032" t="s"/>
      <c r="I3032" t="s"/>
      <c r="J3032" t="n">
        <v>0</v>
      </c>
      <c r="K3032" t="n">
        <v>0</v>
      </c>
      <c r="L3032" t="n">
        <v>1</v>
      </c>
      <c r="M3032" t="n">
        <v>0</v>
      </c>
    </row>
    <row r="3033" spans="1:13">
      <c r="A3033" s="1">
        <f>HYPERLINK("http://www.twitter.com/NathanBLawrence/status/960538002861649920", "960538002861649920")</f>
        <v/>
      </c>
      <c r="B3033" s="2" t="n">
        <v>43136.65138888889</v>
      </c>
      <c r="C3033" t="n">
        <v>46</v>
      </c>
      <c r="D3033" t="n">
        <v>18</v>
      </c>
      <c r="E3033" t="s">
        <v>3036</v>
      </c>
      <c r="F3033" t="s"/>
      <c r="G3033" t="s"/>
      <c r="H3033" t="s"/>
      <c r="I3033" t="s"/>
      <c r="J3033" t="n">
        <v>-0.6754</v>
      </c>
      <c r="K3033" t="n">
        <v>0.284</v>
      </c>
      <c r="L3033" t="n">
        <v>0.716</v>
      </c>
      <c r="M3033" t="n">
        <v>0</v>
      </c>
    </row>
    <row r="3034" spans="1:13">
      <c r="A3034" s="1">
        <f>HYPERLINK("http://www.twitter.com/NathanBLawrence/status/960537080672616449", "960537080672616449")</f>
        <v/>
      </c>
      <c r="B3034" s="2" t="n">
        <v>43136.64884259259</v>
      </c>
      <c r="C3034" t="n">
        <v>0</v>
      </c>
      <c r="D3034" t="n">
        <v>1500</v>
      </c>
      <c r="E3034" t="s">
        <v>3037</v>
      </c>
      <c r="F3034" t="s"/>
      <c r="G3034" t="s"/>
      <c r="H3034" t="s"/>
      <c r="I3034" t="s"/>
      <c r="J3034" t="n">
        <v>-0.0516</v>
      </c>
      <c r="K3034" t="n">
        <v>0.162</v>
      </c>
      <c r="L3034" t="n">
        <v>0.6860000000000001</v>
      </c>
      <c r="M3034" t="n">
        <v>0.152</v>
      </c>
    </row>
    <row r="3035" spans="1:13">
      <c r="A3035" s="1">
        <f>HYPERLINK("http://www.twitter.com/NathanBLawrence/status/960537013496700928", "960537013496700928")</f>
        <v/>
      </c>
      <c r="B3035" s="2" t="n">
        <v>43136.64865740741</v>
      </c>
      <c r="C3035" t="n">
        <v>0</v>
      </c>
      <c r="D3035" t="n">
        <v>950</v>
      </c>
      <c r="E3035" t="s">
        <v>3038</v>
      </c>
      <c r="F3035" t="s"/>
      <c r="G3035" t="s"/>
      <c r="H3035" t="s"/>
      <c r="I3035" t="s"/>
      <c r="J3035" t="n">
        <v>0</v>
      </c>
      <c r="K3035" t="n">
        <v>0</v>
      </c>
      <c r="L3035" t="n">
        <v>1</v>
      </c>
      <c r="M3035" t="n">
        <v>0</v>
      </c>
    </row>
    <row r="3036" spans="1:13">
      <c r="A3036" s="1">
        <f>HYPERLINK("http://www.twitter.com/NathanBLawrence/status/960536947004293120", "960536947004293120")</f>
        <v/>
      </c>
      <c r="B3036" s="2" t="n">
        <v>43136.64847222222</v>
      </c>
      <c r="C3036" t="n">
        <v>0</v>
      </c>
      <c r="D3036" t="n">
        <v>41705</v>
      </c>
      <c r="E3036" t="s">
        <v>3039</v>
      </c>
      <c r="F3036" t="s"/>
      <c r="G3036" t="s"/>
      <c r="H3036" t="s"/>
      <c r="I3036" t="s"/>
      <c r="J3036" t="n">
        <v>-0.6908</v>
      </c>
      <c r="K3036" t="n">
        <v>0.213</v>
      </c>
      <c r="L3036" t="n">
        <v>0.787</v>
      </c>
      <c r="M3036" t="n">
        <v>0</v>
      </c>
    </row>
    <row r="3037" spans="1:13">
      <c r="A3037" s="1">
        <f>HYPERLINK("http://www.twitter.com/NathanBLawrence/status/960536781778173952", "960536781778173952")</f>
        <v/>
      </c>
      <c r="B3037" s="2" t="n">
        <v>43136.64802083333</v>
      </c>
      <c r="C3037" t="n">
        <v>0</v>
      </c>
      <c r="D3037" t="n">
        <v>2505</v>
      </c>
      <c r="E3037" t="s">
        <v>3040</v>
      </c>
      <c r="F3037" t="s"/>
      <c r="G3037" t="s"/>
      <c r="H3037" t="s"/>
      <c r="I3037" t="s"/>
      <c r="J3037" t="n">
        <v>-0.8316</v>
      </c>
      <c r="K3037" t="n">
        <v>0.341</v>
      </c>
      <c r="L3037" t="n">
        <v>0.659</v>
      </c>
      <c r="M3037" t="n">
        <v>0</v>
      </c>
    </row>
    <row r="3038" spans="1:13">
      <c r="A3038" s="1">
        <f>HYPERLINK("http://www.twitter.com/NathanBLawrence/status/960536664606097409", "960536664606097409")</f>
        <v/>
      </c>
      <c r="B3038" s="2" t="n">
        <v>43136.64769675926</v>
      </c>
      <c r="C3038" t="n">
        <v>0</v>
      </c>
      <c r="D3038" t="n">
        <v>29790</v>
      </c>
      <c r="E3038" t="s">
        <v>3041</v>
      </c>
      <c r="F3038" t="s"/>
      <c r="G3038" t="s"/>
      <c r="H3038" t="s"/>
      <c r="I3038" t="s"/>
      <c r="J3038" t="n">
        <v>0</v>
      </c>
      <c r="K3038" t="n">
        <v>0</v>
      </c>
      <c r="L3038" t="n">
        <v>1</v>
      </c>
      <c r="M3038" t="n">
        <v>0</v>
      </c>
    </row>
    <row r="3039" spans="1:13">
      <c r="A3039" s="1">
        <f>HYPERLINK("http://www.twitter.com/NathanBLawrence/status/960536515301425152", "960536515301425152")</f>
        <v/>
      </c>
      <c r="B3039" s="2" t="n">
        <v>43136.64728009259</v>
      </c>
      <c r="C3039" t="n">
        <v>0</v>
      </c>
      <c r="D3039" t="n">
        <v>2773</v>
      </c>
      <c r="E3039" t="s">
        <v>3042</v>
      </c>
      <c r="F3039" t="s"/>
      <c r="G3039" t="s"/>
      <c r="H3039" t="s"/>
      <c r="I3039" t="s"/>
      <c r="J3039" t="n">
        <v>-0.4943</v>
      </c>
      <c r="K3039" t="n">
        <v>0.208</v>
      </c>
      <c r="L3039" t="n">
        <v>0.792</v>
      </c>
      <c r="M3039" t="n">
        <v>0</v>
      </c>
    </row>
    <row r="3040" spans="1:13">
      <c r="A3040" s="1">
        <f>HYPERLINK("http://www.twitter.com/NathanBLawrence/status/960536051008782336", "960536051008782336")</f>
        <v/>
      </c>
      <c r="B3040" s="2" t="n">
        <v>43136.64600694444</v>
      </c>
      <c r="C3040" t="n">
        <v>0</v>
      </c>
      <c r="D3040" t="n">
        <v>34620</v>
      </c>
      <c r="E3040" t="s">
        <v>3043</v>
      </c>
      <c r="F3040" t="s"/>
      <c r="G3040" t="s"/>
      <c r="H3040" t="s"/>
      <c r="I3040" t="s"/>
      <c r="J3040" t="n">
        <v>0.8979</v>
      </c>
      <c r="K3040" t="n">
        <v>0</v>
      </c>
      <c r="L3040" t="n">
        <v>0.609</v>
      </c>
      <c r="M3040" t="n">
        <v>0.391</v>
      </c>
    </row>
    <row r="3041" spans="1:13">
      <c r="A3041" s="1">
        <f>HYPERLINK("http://www.twitter.com/NathanBLawrence/status/960476236228149251", "960476236228149251")</f>
        <v/>
      </c>
      <c r="B3041" s="2" t="n">
        <v>43136.48094907407</v>
      </c>
      <c r="C3041" t="n">
        <v>0</v>
      </c>
      <c r="D3041" t="n">
        <v>1366</v>
      </c>
      <c r="E3041" t="s">
        <v>3044</v>
      </c>
      <c r="F3041">
        <f>HYPERLINK("https://video.twimg.com/ext_tw_video/960270359676284928/pu/vid/480x360/eEX_RWVPwQqhNpan.mp4", "https://video.twimg.com/ext_tw_video/960270359676284928/pu/vid/480x360/eEX_RWVPwQqhNpan.mp4")</f>
        <v/>
      </c>
      <c r="G3041" t="s"/>
      <c r="H3041" t="s"/>
      <c r="I3041" t="s"/>
      <c r="J3041" t="n">
        <v>0.5719</v>
      </c>
      <c r="K3041" t="n">
        <v>0</v>
      </c>
      <c r="L3041" t="n">
        <v>0.821</v>
      </c>
      <c r="M3041" t="n">
        <v>0.179</v>
      </c>
    </row>
    <row r="3042" spans="1:13">
      <c r="A3042" s="1">
        <f>HYPERLINK("http://www.twitter.com/NathanBLawrence/status/960476125569867776", "960476125569867776")</f>
        <v/>
      </c>
      <c r="B3042" s="2" t="n">
        <v>43136.48063657407</v>
      </c>
      <c r="C3042" t="n">
        <v>0</v>
      </c>
      <c r="D3042" t="n">
        <v>338</v>
      </c>
      <c r="E3042" t="s">
        <v>3045</v>
      </c>
      <c r="F3042">
        <f>HYPERLINK("http://pbs.twimg.com/media/DVPOHQCW0AApTWY.jpg", "http://pbs.twimg.com/media/DVPOHQCW0AApTWY.jpg")</f>
        <v/>
      </c>
      <c r="G3042" t="s"/>
      <c r="H3042" t="s"/>
      <c r="I3042" t="s"/>
      <c r="J3042" t="n">
        <v>0.5574</v>
      </c>
      <c r="K3042" t="n">
        <v>0</v>
      </c>
      <c r="L3042" t="n">
        <v>0.753</v>
      </c>
      <c r="M3042" t="n">
        <v>0.247</v>
      </c>
    </row>
    <row r="3043" spans="1:13">
      <c r="A3043" s="1">
        <f>HYPERLINK("http://www.twitter.com/NathanBLawrence/status/960476066862194689", "960476066862194689")</f>
        <v/>
      </c>
      <c r="B3043" s="2" t="n">
        <v>43136.48047453703</v>
      </c>
      <c r="C3043" t="n">
        <v>0</v>
      </c>
      <c r="D3043" t="n">
        <v>115</v>
      </c>
      <c r="E3043" t="s">
        <v>3046</v>
      </c>
      <c r="F3043">
        <f>HYPERLINK("http://pbs.twimg.com/media/DVQRhMlWkAEfhHw.jpg", "http://pbs.twimg.com/media/DVQRhMlWkAEfhHw.jpg")</f>
        <v/>
      </c>
      <c r="G3043" t="s"/>
      <c r="H3043" t="s"/>
      <c r="I3043" t="s"/>
      <c r="J3043" t="n">
        <v>0</v>
      </c>
      <c r="K3043" t="n">
        <v>0</v>
      </c>
      <c r="L3043" t="n">
        <v>1</v>
      </c>
      <c r="M3043" t="n">
        <v>0</v>
      </c>
    </row>
    <row r="3044" spans="1:13">
      <c r="A3044" s="1">
        <f>HYPERLINK("http://www.twitter.com/NathanBLawrence/status/960476006661349377", "960476006661349377")</f>
        <v/>
      </c>
      <c r="B3044" s="2" t="n">
        <v>43136.4803125</v>
      </c>
      <c r="C3044" t="n">
        <v>0</v>
      </c>
      <c r="D3044" t="n">
        <v>3275</v>
      </c>
      <c r="E3044" t="s">
        <v>3047</v>
      </c>
      <c r="F3044">
        <f>HYPERLINK("http://pbs.twimg.com/media/DVOaVUBWsAE10dr.jpg", "http://pbs.twimg.com/media/DVOaVUBWsAE10dr.jpg")</f>
        <v/>
      </c>
      <c r="G3044" t="s"/>
      <c r="H3044" t="s"/>
      <c r="I3044" t="s"/>
      <c r="J3044" t="n">
        <v>0.7824</v>
      </c>
      <c r="K3044" t="n">
        <v>0</v>
      </c>
      <c r="L3044" t="n">
        <v>0.636</v>
      </c>
      <c r="M3044" t="n">
        <v>0.364</v>
      </c>
    </row>
    <row r="3045" spans="1:13">
      <c r="A3045" s="1">
        <f>HYPERLINK("http://www.twitter.com/NathanBLawrence/status/960475908590026752", "960475908590026752")</f>
        <v/>
      </c>
      <c r="B3045" s="2" t="n">
        <v>43136.4800462963</v>
      </c>
      <c r="C3045" t="n">
        <v>0</v>
      </c>
      <c r="D3045" t="n">
        <v>192</v>
      </c>
      <c r="E3045" t="s">
        <v>3048</v>
      </c>
      <c r="F3045">
        <f>HYPERLINK("http://pbs.twimg.com/media/DVRJU_3U0AACjv-.jpg", "http://pbs.twimg.com/media/DVRJU_3U0AACjv-.jpg")</f>
        <v/>
      </c>
      <c r="G3045" t="s"/>
      <c r="H3045" t="s"/>
      <c r="I3045" t="s"/>
      <c r="J3045" t="n">
        <v>0</v>
      </c>
      <c r="K3045" t="n">
        <v>0</v>
      </c>
      <c r="L3045" t="n">
        <v>1</v>
      </c>
      <c r="M3045" t="n">
        <v>0</v>
      </c>
    </row>
    <row r="3046" spans="1:13">
      <c r="A3046" s="1">
        <f>HYPERLINK("http://www.twitter.com/NathanBLawrence/status/960475797952675840", "960475797952675840")</f>
        <v/>
      </c>
      <c r="B3046" s="2" t="n">
        <v>43136.4797337963</v>
      </c>
      <c r="C3046" t="n">
        <v>0</v>
      </c>
      <c r="D3046" t="n">
        <v>9</v>
      </c>
      <c r="E3046" t="s">
        <v>3049</v>
      </c>
      <c r="F3046">
        <f>HYPERLINK("http://pbs.twimg.com/media/DVRK14nVMAAfGV8.jpg", "http://pbs.twimg.com/media/DVRK14nVMAAfGV8.jpg")</f>
        <v/>
      </c>
      <c r="G3046" t="s"/>
      <c r="H3046" t="s"/>
      <c r="I3046" t="s"/>
      <c r="J3046" t="n">
        <v>0</v>
      </c>
      <c r="K3046" t="n">
        <v>0</v>
      </c>
      <c r="L3046" t="n">
        <v>1</v>
      </c>
      <c r="M3046" t="n">
        <v>0</v>
      </c>
    </row>
    <row r="3047" spans="1:13">
      <c r="A3047" s="1">
        <f>HYPERLINK("http://www.twitter.com/NathanBLawrence/status/960475719204708354", "960475719204708354")</f>
        <v/>
      </c>
      <c r="B3047" s="2" t="n">
        <v>43136.47951388889</v>
      </c>
      <c r="C3047" t="n">
        <v>0</v>
      </c>
      <c r="D3047" t="n">
        <v>696</v>
      </c>
      <c r="E3047" t="s">
        <v>3050</v>
      </c>
      <c r="F3047">
        <f>HYPERLINK("http://pbs.twimg.com/media/DVN3elZVQAU6sKZ.jpg", "http://pbs.twimg.com/media/DVN3elZVQAU6sKZ.jpg")</f>
        <v/>
      </c>
      <c r="G3047" t="s"/>
      <c r="H3047" t="s"/>
      <c r="I3047" t="s"/>
      <c r="J3047" t="n">
        <v>0</v>
      </c>
      <c r="K3047" t="n">
        <v>0</v>
      </c>
      <c r="L3047" t="n">
        <v>1</v>
      </c>
      <c r="M3047" t="n">
        <v>0</v>
      </c>
    </row>
    <row r="3048" spans="1:13">
      <c r="A3048" s="1">
        <f>HYPERLINK("http://www.twitter.com/NathanBLawrence/status/960475609401999360", "960475609401999360")</f>
        <v/>
      </c>
      <c r="B3048" s="2" t="n">
        <v>43136.47921296296</v>
      </c>
      <c r="C3048" t="n">
        <v>0</v>
      </c>
      <c r="D3048" t="n">
        <v>69</v>
      </c>
      <c r="E3048" t="s">
        <v>3051</v>
      </c>
      <c r="F3048">
        <f>HYPERLINK("http://pbs.twimg.com/media/DVRJB8nUMAAtqHC.jpg", "http://pbs.twimg.com/media/DVRJB8nUMAAtqHC.jpg")</f>
        <v/>
      </c>
      <c r="G3048" t="s"/>
      <c r="H3048" t="s"/>
      <c r="I3048" t="s"/>
      <c r="J3048" t="n">
        <v>-0.6705</v>
      </c>
      <c r="K3048" t="n">
        <v>0.297</v>
      </c>
      <c r="L3048" t="n">
        <v>0.703</v>
      </c>
      <c r="M3048" t="n">
        <v>0</v>
      </c>
    </row>
    <row r="3049" spans="1:13">
      <c r="A3049" s="1">
        <f>HYPERLINK("http://www.twitter.com/NathanBLawrence/status/960475533392818176", "960475533392818176")</f>
        <v/>
      </c>
      <c r="B3049" s="2" t="n">
        <v>43136.47900462963</v>
      </c>
      <c r="C3049" t="n">
        <v>0</v>
      </c>
      <c r="D3049" t="n">
        <v>15</v>
      </c>
      <c r="E3049" t="s">
        <v>3052</v>
      </c>
      <c r="F3049">
        <f>HYPERLINK("http://pbs.twimg.com/media/DOqHowWXcAIzLce.jpg", "http://pbs.twimg.com/media/DOqHowWXcAIzLce.jpg")</f>
        <v/>
      </c>
      <c r="G3049">
        <f>HYPERLINK("http://pbs.twimg.com/media/DOqHowVX0AAjSRY.jpg", "http://pbs.twimg.com/media/DOqHowVX0AAjSRY.jpg")</f>
        <v/>
      </c>
      <c r="H3049" t="s"/>
      <c r="I3049" t="s"/>
      <c r="J3049" t="n">
        <v>0.4939</v>
      </c>
      <c r="K3049" t="n">
        <v>0</v>
      </c>
      <c r="L3049" t="n">
        <v>0.652</v>
      </c>
      <c r="M3049" t="n">
        <v>0.348</v>
      </c>
    </row>
    <row r="3050" spans="1:13">
      <c r="A3050" s="1">
        <f>HYPERLINK("http://www.twitter.com/NathanBLawrence/status/960472658621087744", "960472658621087744")</f>
        <v/>
      </c>
      <c r="B3050" s="2" t="n">
        <v>43136.47107638889</v>
      </c>
      <c r="C3050" t="n">
        <v>0</v>
      </c>
      <c r="D3050" t="n">
        <v>3008</v>
      </c>
      <c r="E3050" t="s">
        <v>3053</v>
      </c>
      <c r="F3050">
        <f>HYPERLINK("http://pbs.twimg.com/media/DUpHJSEVQAAoCan.jpg", "http://pbs.twimg.com/media/DUpHJSEVQAAoCan.jpg")</f>
        <v/>
      </c>
      <c r="G3050" t="s"/>
      <c r="H3050" t="s"/>
      <c r="I3050" t="s"/>
      <c r="J3050" t="n">
        <v>-0.8555</v>
      </c>
      <c r="K3050" t="n">
        <v>0.466</v>
      </c>
      <c r="L3050" t="n">
        <v>0.427</v>
      </c>
      <c r="M3050" t="n">
        <v>0.107</v>
      </c>
    </row>
    <row r="3051" spans="1:13">
      <c r="A3051" s="1">
        <f>HYPERLINK("http://www.twitter.com/NathanBLawrence/status/960472626010320896", "960472626010320896")</f>
        <v/>
      </c>
      <c r="B3051" s="2" t="n">
        <v>43136.47098379629</v>
      </c>
      <c r="C3051" t="n">
        <v>0</v>
      </c>
      <c r="D3051" t="n">
        <v>10512</v>
      </c>
      <c r="E3051" t="s">
        <v>3054</v>
      </c>
      <c r="F3051">
        <f>HYPERLINK("http://pbs.twimg.com/media/DUowDmrWkAEZDaZ.jpg", "http://pbs.twimg.com/media/DUowDmrWkAEZDaZ.jpg")</f>
        <v/>
      </c>
      <c r="G3051" t="s"/>
      <c r="H3051" t="s"/>
      <c r="I3051" t="s"/>
      <c r="J3051" t="n">
        <v>0</v>
      </c>
      <c r="K3051" t="n">
        <v>0</v>
      </c>
      <c r="L3051" t="n">
        <v>1</v>
      </c>
      <c r="M3051" t="n">
        <v>0</v>
      </c>
    </row>
    <row r="3052" spans="1:13">
      <c r="A3052" s="1">
        <f>HYPERLINK("http://www.twitter.com/NathanBLawrence/status/960472103131652097", "960472103131652097")</f>
        <v/>
      </c>
      <c r="B3052" s="2" t="n">
        <v>43136.46953703704</v>
      </c>
      <c r="C3052" t="n">
        <v>0</v>
      </c>
      <c r="D3052" t="n">
        <v>8</v>
      </c>
      <c r="E3052" t="s">
        <v>3055</v>
      </c>
      <c r="F3052">
        <f>HYPERLINK("http://pbs.twimg.com/media/DU_mrbtXUAIfxKx.jpg", "http://pbs.twimg.com/media/DU_mrbtXUAIfxKx.jpg")</f>
        <v/>
      </c>
      <c r="G3052" t="s"/>
      <c r="H3052" t="s"/>
      <c r="I3052" t="s"/>
      <c r="J3052" t="n">
        <v>0</v>
      </c>
      <c r="K3052" t="n">
        <v>0</v>
      </c>
      <c r="L3052" t="n">
        <v>1</v>
      </c>
      <c r="M3052" t="n">
        <v>0</v>
      </c>
    </row>
    <row r="3053" spans="1:13">
      <c r="A3053" s="1">
        <f>HYPERLINK("http://www.twitter.com/NathanBLawrence/status/960471066828132352", "960471066828132352")</f>
        <v/>
      </c>
      <c r="B3053" s="2" t="n">
        <v>43136.46667824074</v>
      </c>
      <c r="C3053" t="n">
        <v>0</v>
      </c>
      <c r="D3053" t="n">
        <v>8</v>
      </c>
      <c r="E3053" t="s">
        <v>3056</v>
      </c>
      <c r="F3053">
        <f>HYPERLINK("http://pbs.twimg.com/media/DVRB7_9XcAEUx06.jpg", "http://pbs.twimg.com/media/DVRB7_9XcAEUx06.jpg")</f>
        <v/>
      </c>
      <c r="G3053">
        <f>HYPERLINK("http://pbs.twimg.com/media/DVRB8rxW0AAv3P3.jpg", "http://pbs.twimg.com/media/DVRB8rxW0AAv3P3.jpg")</f>
        <v/>
      </c>
      <c r="H3053">
        <f>HYPERLINK("http://pbs.twimg.com/media/DVRB8CEW4AA_nqc.jpg", "http://pbs.twimg.com/media/DVRB8CEW4AA_nqc.jpg")</f>
        <v/>
      </c>
      <c r="I3053">
        <f>HYPERLINK("http://pbs.twimg.com/media/DVRB8D7X0AENOg9.jpg", "http://pbs.twimg.com/media/DVRB8D7X0AENOg9.jpg")</f>
        <v/>
      </c>
      <c r="J3053" t="n">
        <v>0</v>
      </c>
      <c r="K3053" t="n">
        <v>0</v>
      </c>
      <c r="L3053" t="n">
        <v>1</v>
      </c>
      <c r="M3053" t="n">
        <v>0</v>
      </c>
    </row>
    <row r="3054" spans="1:13">
      <c r="A3054" s="1">
        <f>HYPERLINK("http://www.twitter.com/NathanBLawrence/status/960470948196401153", "960470948196401153")</f>
        <v/>
      </c>
      <c r="B3054" s="2" t="n">
        <v>43136.46635416667</v>
      </c>
      <c r="C3054" t="n">
        <v>0</v>
      </c>
      <c r="D3054" t="n">
        <v>16</v>
      </c>
      <c r="E3054" t="s">
        <v>3057</v>
      </c>
      <c r="F3054">
        <f>HYPERLINK("http://pbs.twimg.com/media/DVQ6tbhWkAEHaqK.jpg", "http://pbs.twimg.com/media/DVQ6tbhWkAEHaqK.jpg")</f>
        <v/>
      </c>
      <c r="G3054" t="s"/>
      <c r="H3054" t="s"/>
      <c r="I3054" t="s"/>
      <c r="J3054" t="n">
        <v>0.6696</v>
      </c>
      <c r="K3054" t="n">
        <v>0</v>
      </c>
      <c r="L3054" t="n">
        <v>0.609</v>
      </c>
      <c r="M3054" t="n">
        <v>0.391</v>
      </c>
    </row>
    <row r="3055" spans="1:13">
      <c r="A3055" s="1">
        <f>HYPERLINK("http://www.twitter.com/NathanBLawrence/status/960465543605075969", "960465543605075969")</f>
        <v/>
      </c>
      <c r="B3055" s="2" t="n">
        <v>43136.45143518518</v>
      </c>
      <c r="C3055" t="n">
        <v>15</v>
      </c>
      <c r="D3055" t="n">
        <v>11</v>
      </c>
      <c r="E3055" t="s">
        <v>3058</v>
      </c>
      <c r="F3055" t="s"/>
      <c r="G3055" t="s"/>
      <c r="H3055" t="s"/>
      <c r="I3055" t="s"/>
      <c r="J3055" t="n">
        <v>0.658</v>
      </c>
      <c r="K3055" t="n">
        <v>0</v>
      </c>
      <c r="L3055" t="n">
        <v>0.646</v>
      </c>
      <c r="M3055" t="n">
        <v>0.354</v>
      </c>
    </row>
    <row r="3056" spans="1:13">
      <c r="A3056" s="1">
        <f>HYPERLINK("http://www.twitter.com/NathanBLawrence/status/960464711862050816", "960464711862050816")</f>
        <v/>
      </c>
      <c r="B3056" s="2" t="n">
        <v>43136.44914351852</v>
      </c>
      <c r="C3056" t="n">
        <v>0</v>
      </c>
      <c r="D3056" t="n">
        <v>96</v>
      </c>
      <c r="E3056" t="s">
        <v>3059</v>
      </c>
      <c r="F3056">
        <f>HYPERLINK("http://pbs.twimg.com/media/DVPbDS4UQAAmX6T.jpg", "http://pbs.twimg.com/media/DVPbDS4UQAAmX6T.jpg")</f>
        <v/>
      </c>
      <c r="G3056" t="s"/>
      <c r="H3056" t="s"/>
      <c r="I3056" t="s"/>
      <c r="J3056" t="n">
        <v>0</v>
      </c>
      <c r="K3056" t="n">
        <v>0</v>
      </c>
      <c r="L3056" t="n">
        <v>1</v>
      </c>
      <c r="M3056" t="n">
        <v>0</v>
      </c>
    </row>
    <row r="3057" spans="1:13">
      <c r="A3057" s="1">
        <f>HYPERLINK("http://www.twitter.com/NathanBLawrence/status/960464585290498048", "960464585290498048")</f>
        <v/>
      </c>
      <c r="B3057" s="2" t="n">
        <v>43136.4487962963</v>
      </c>
      <c r="C3057" t="n">
        <v>0</v>
      </c>
      <c r="D3057" t="n">
        <v>351</v>
      </c>
      <c r="E3057" t="s">
        <v>3060</v>
      </c>
      <c r="F3057">
        <f>HYPERLINK("http://pbs.twimg.com/media/DVMFNY8V4AAKRYe.jpg", "http://pbs.twimg.com/media/DVMFNY8V4AAKRYe.jpg")</f>
        <v/>
      </c>
      <c r="G3057" t="s"/>
      <c r="H3057" t="s"/>
      <c r="I3057" t="s"/>
      <c r="J3057" t="n">
        <v>0</v>
      </c>
      <c r="K3057" t="n">
        <v>0</v>
      </c>
      <c r="L3057" t="n">
        <v>1</v>
      </c>
      <c r="M3057" t="n">
        <v>0</v>
      </c>
    </row>
    <row r="3058" spans="1:13">
      <c r="A3058" s="1">
        <f>HYPERLINK("http://www.twitter.com/NathanBLawrence/status/960464502696259585", "960464502696259585")</f>
        <v/>
      </c>
      <c r="B3058" s="2" t="n">
        <v>43136.44856481482</v>
      </c>
      <c r="C3058" t="n">
        <v>0</v>
      </c>
      <c r="D3058" t="n">
        <v>164</v>
      </c>
      <c r="E3058" t="s">
        <v>3061</v>
      </c>
      <c r="F3058" t="s"/>
      <c r="G3058" t="s"/>
      <c r="H3058" t="s"/>
      <c r="I3058" t="s"/>
      <c r="J3058" t="n">
        <v>0.2732</v>
      </c>
      <c r="K3058" t="n">
        <v>0</v>
      </c>
      <c r="L3058" t="n">
        <v>0.89</v>
      </c>
      <c r="M3058" t="n">
        <v>0.11</v>
      </c>
    </row>
    <row r="3059" spans="1:13">
      <c r="A3059" s="1">
        <f>HYPERLINK("http://www.twitter.com/NathanBLawrence/status/960463745070768133", "960463745070768133")</f>
        <v/>
      </c>
      <c r="B3059" s="2" t="n">
        <v>43136.44648148148</v>
      </c>
      <c r="C3059" t="n">
        <v>0</v>
      </c>
      <c r="D3059" t="n">
        <v>281</v>
      </c>
      <c r="E3059" t="s">
        <v>3062</v>
      </c>
      <c r="F3059">
        <f>HYPERLINK("http://pbs.twimg.com/media/DVHcmnmVoAEpfFg.jpg", "http://pbs.twimg.com/media/DVHcmnmVoAEpfFg.jpg")</f>
        <v/>
      </c>
      <c r="G3059" t="s"/>
      <c r="H3059" t="s"/>
      <c r="I3059" t="s"/>
      <c r="J3059" t="n">
        <v>0</v>
      </c>
      <c r="K3059" t="n">
        <v>0</v>
      </c>
      <c r="L3059" t="n">
        <v>1</v>
      </c>
      <c r="M3059" t="n">
        <v>0</v>
      </c>
    </row>
    <row r="3060" spans="1:13">
      <c r="A3060" s="1">
        <f>HYPERLINK("http://www.twitter.com/NathanBLawrence/status/960463592356159488", "960463592356159488")</f>
        <v/>
      </c>
      <c r="B3060" s="2" t="n">
        <v>43136.44605324074</v>
      </c>
      <c r="C3060" t="n">
        <v>0</v>
      </c>
      <c r="D3060" t="n">
        <v>65</v>
      </c>
      <c r="E3060" t="s">
        <v>3063</v>
      </c>
      <c r="F3060" t="s"/>
      <c r="G3060" t="s"/>
      <c r="H3060" t="s"/>
      <c r="I3060" t="s"/>
      <c r="J3060" t="n">
        <v>0</v>
      </c>
      <c r="K3060" t="n">
        <v>0</v>
      </c>
      <c r="L3060" t="n">
        <v>1</v>
      </c>
      <c r="M3060" t="n">
        <v>0</v>
      </c>
    </row>
    <row r="3061" spans="1:13">
      <c r="A3061" s="1">
        <f>HYPERLINK("http://www.twitter.com/NathanBLawrence/status/960463452320907265", "960463452320907265")</f>
        <v/>
      </c>
      <c r="B3061" s="2" t="n">
        <v>43136.44567129629</v>
      </c>
      <c r="C3061" t="n">
        <v>0</v>
      </c>
      <c r="D3061" t="n">
        <v>1015</v>
      </c>
      <c r="E3061" t="s">
        <v>3064</v>
      </c>
      <c r="F3061">
        <f>HYPERLINK("http://pbs.twimg.com/media/DVHy0fIW4AASRXj.jpg", "http://pbs.twimg.com/media/DVHy0fIW4AASRXj.jpg")</f>
        <v/>
      </c>
      <c r="G3061" t="s"/>
      <c r="H3061" t="s"/>
      <c r="I3061" t="s"/>
      <c r="J3061" t="n">
        <v>-0.5106000000000001</v>
      </c>
      <c r="K3061" t="n">
        <v>0.191</v>
      </c>
      <c r="L3061" t="n">
        <v>0.8090000000000001</v>
      </c>
      <c r="M3061" t="n">
        <v>0</v>
      </c>
    </row>
    <row r="3062" spans="1:13">
      <c r="A3062" s="1">
        <f>HYPERLINK("http://www.twitter.com/NathanBLawrence/status/960463258476937216", "960463258476937216")</f>
        <v/>
      </c>
      <c r="B3062" s="2" t="n">
        <v>43136.44513888889</v>
      </c>
      <c r="C3062" t="n">
        <v>0</v>
      </c>
      <c r="D3062" t="n">
        <v>1569</v>
      </c>
      <c r="E3062" t="s">
        <v>3065</v>
      </c>
      <c r="F3062">
        <f>HYPERLINK("http://pbs.twimg.com/media/DVNDf90VQAAtHdo.jpg", "http://pbs.twimg.com/media/DVNDf90VQAAtHdo.jpg")</f>
        <v/>
      </c>
      <c r="G3062">
        <f>HYPERLINK("http://pbs.twimg.com/media/DVNDf93U8AA8IWp.jpg", "http://pbs.twimg.com/media/DVNDf93U8AA8IWp.jpg")</f>
        <v/>
      </c>
      <c r="H3062" t="s"/>
      <c r="I3062" t="s"/>
      <c r="J3062" t="n">
        <v>0</v>
      </c>
      <c r="K3062" t="n">
        <v>0</v>
      </c>
      <c r="L3062" t="n">
        <v>1</v>
      </c>
      <c r="M3062" t="n">
        <v>0</v>
      </c>
    </row>
    <row r="3063" spans="1:13">
      <c r="A3063" s="1">
        <f>HYPERLINK("http://www.twitter.com/NathanBLawrence/status/960463059041992704", "960463059041992704")</f>
        <v/>
      </c>
      <c r="B3063" s="2" t="n">
        <v>43136.44458333333</v>
      </c>
      <c r="C3063" t="n">
        <v>0</v>
      </c>
      <c r="D3063" t="n">
        <v>2533</v>
      </c>
      <c r="E3063" t="s">
        <v>3066</v>
      </c>
      <c r="F3063">
        <f>HYPERLINK("http://pbs.twimg.com/media/DVHh8SwXcAAtAa4.jpg", "http://pbs.twimg.com/media/DVHh8SwXcAAtAa4.jpg")</f>
        <v/>
      </c>
      <c r="G3063">
        <f>HYPERLINK("http://pbs.twimg.com/media/DVHh8TIW0AA8erU.jpg", "http://pbs.twimg.com/media/DVHh8TIW0AA8erU.jpg")</f>
        <v/>
      </c>
      <c r="H3063">
        <f>HYPERLINK("http://pbs.twimg.com/media/DVHh8S5XkAAGoOL.jpg", "http://pbs.twimg.com/media/DVHh8S5XkAAGoOL.jpg")</f>
        <v/>
      </c>
      <c r="I3063">
        <f>HYPERLINK("http://pbs.twimg.com/media/DVHh8SyX0AEGgqg.jpg", "http://pbs.twimg.com/media/DVHh8SyX0AEGgqg.jpg")</f>
        <v/>
      </c>
      <c r="J3063" t="n">
        <v>0.0258</v>
      </c>
      <c r="K3063" t="n">
        <v>0</v>
      </c>
      <c r="L3063" t="n">
        <v>0.956</v>
      </c>
      <c r="M3063" t="n">
        <v>0.044</v>
      </c>
    </row>
    <row r="3064" spans="1:13">
      <c r="A3064" s="1">
        <f>HYPERLINK("http://www.twitter.com/NathanBLawrence/status/960462921523347457", "960462921523347457")</f>
        <v/>
      </c>
      <c r="B3064" s="2" t="n">
        <v>43136.44420138889</v>
      </c>
      <c r="C3064" t="n">
        <v>5</v>
      </c>
      <c r="D3064" t="n">
        <v>4</v>
      </c>
      <c r="E3064" t="s">
        <v>3067</v>
      </c>
      <c r="F3064" t="s"/>
      <c r="G3064" t="s"/>
      <c r="H3064" t="s"/>
      <c r="I3064" t="s"/>
      <c r="J3064" t="n">
        <v>-0.5106000000000001</v>
      </c>
      <c r="K3064" t="n">
        <v>0.268</v>
      </c>
      <c r="L3064" t="n">
        <v>0.732</v>
      </c>
      <c r="M3064" t="n">
        <v>0</v>
      </c>
    </row>
    <row r="3065" spans="1:13">
      <c r="A3065" s="1">
        <f>HYPERLINK("http://www.twitter.com/NathanBLawrence/status/960441564328701953", "960441564328701953")</f>
        <v/>
      </c>
      <c r="B3065" s="2" t="n">
        <v>43136.3852662037</v>
      </c>
      <c r="C3065" t="n">
        <v>0</v>
      </c>
      <c r="D3065" t="n">
        <v>22</v>
      </c>
      <c r="E3065" t="s">
        <v>3068</v>
      </c>
      <c r="F3065">
        <f>HYPERLINK("http://pbs.twimg.com/media/DVQqxHTX0AE2r-7.jpg", "http://pbs.twimg.com/media/DVQqxHTX0AE2r-7.jpg")</f>
        <v/>
      </c>
      <c r="G3065" t="s"/>
      <c r="H3065" t="s"/>
      <c r="I3065" t="s"/>
      <c r="J3065" t="n">
        <v>0</v>
      </c>
      <c r="K3065" t="n">
        <v>0</v>
      </c>
      <c r="L3065" t="n">
        <v>1</v>
      </c>
      <c r="M3065" t="n">
        <v>0</v>
      </c>
    </row>
    <row r="3066" spans="1:13">
      <c r="A3066" s="1">
        <f>HYPERLINK("http://www.twitter.com/NathanBLawrence/status/960441393855447040", "960441393855447040")</f>
        <v/>
      </c>
      <c r="B3066" s="2" t="n">
        <v>43136.38480324074</v>
      </c>
      <c r="C3066" t="n">
        <v>0</v>
      </c>
      <c r="D3066" t="n">
        <v>1666</v>
      </c>
      <c r="E3066" t="s">
        <v>3069</v>
      </c>
      <c r="F3066">
        <f>HYPERLINK("https://video.twimg.com/ext_tw_video/960174313671479297/pu/vid/480x360/pM3toG45Z0sgzhoj.mp4", "https://video.twimg.com/ext_tw_video/960174313671479297/pu/vid/480x360/pM3toG45Z0sgzhoj.mp4")</f>
        <v/>
      </c>
      <c r="G3066" t="s"/>
      <c r="H3066" t="s"/>
      <c r="I3066" t="s"/>
      <c r="J3066" t="n">
        <v>0</v>
      </c>
      <c r="K3066" t="n">
        <v>0</v>
      </c>
      <c r="L3066" t="n">
        <v>1</v>
      </c>
      <c r="M3066" t="n">
        <v>0</v>
      </c>
    </row>
    <row r="3067" spans="1:13">
      <c r="A3067" s="1">
        <f>HYPERLINK("http://www.twitter.com/NathanBLawrence/status/960441187617226752", "960441187617226752")</f>
        <v/>
      </c>
      <c r="B3067" s="2" t="n">
        <v>43136.38422453704</v>
      </c>
      <c r="C3067" t="n">
        <v>13</v>
      </c>
      <c r="D3067" t="n">
        <v>9</v>
      </c>
      <c r="E3067" t="s">
        <v>3070</v>
      </c>
      <c r="F3067" t="s"/>
      <c r="G3067" t="s"/>
      <c r="H3067" t="s"/>
      <c r="I3067" t="s"/>
      <c r="J3067" t="n">
        <v>0.2732</v>
      </c>
      <c r="K3067" t="n">
        <v>0</v>
      </c>
      <c r="L3067" t="n">
        <v>0.826</v>
      </c>
      <c r="M3067" t="n">
        <v>0.174</v>
      </c>
    </row>
    <row r="3068" spans="1:13">
      <c r="A3068" s="1">
        <f>HYPERLINK("http://www.twitter.com/NathanBLawrence/status/960440605926072321", "960440605926072321")</f>
        <v/>
      </c>
      <c r="B3068" s="2" t="n">
        <v>43136.38262731482</v>
      </c>
      <c r="C3068" t="n">
        <v>0</v>
      </c>
      <c r="D3068" t="n">
        <v>1288</v>
      </c>
      <c r="E3068" t="s">
        <v>3071</v>
      </c>
      <c r="F3068">
        <f>HYPERLINK("https://video.twimg.com/ext_tw_video/960243473134714881/pu/vid/720x720/fSssslkKdPRfH_98.mp4", "https://video.twimg.com/ext_tw_video/960243473134714881/pu/vid/720x720/fSssslkKdPRfH_98.mp4")</f>
        <v/>
      </c>
      <c r="G3068" t="s"/>
      <c r="H3068" t="s"/>
      <c r="I3068" t="s"/>
      <c r="J3068" t="n">
        <v>0.5423</v>
      </c>
      <c r="K3068" t="n">
        <v>0.106</v>
      </c>
      <c r="L3068" t="n">
        <v>0.643</v>
      </c>
      <c r="M3068" t="n">
        <v>0.251</v>
      </c>
    </row>
    <row r="3069" spans="1:13">
      <c r="A3069" s="1">
        <f>HYPERLINK("http://www.twitter.com/NathanBLawrence/status/960440499004833792", "960440499004833792")</f>
        <v/>
      </c>
      <c r="B3069" s="2" t="n">
        <v>43136.38232638889</v>
      </c>
      <c r="C3069" t="n">
        <v>0</v>
      </c>
      <c r="D3069" t="n">
        <v>2709</v>
      </c>
      <c r="E3069" t="s">
        <v>3072</v>
      </c>
      <c r="F3069" t="s"/>
      <c r="G3069" t="s"/>
      <c r="H3069" t="s"/>
      <c r="I3069" t="s"/>
      <c r="J3069" t="n">
        <v>0.6892</v>
      </c>
      <c r="K3069" t="n">
        <v>0</v>
      </c>
      <c r="L3069" t="n">
        <v>0.794</v>
      </c>
      <c r="M3069" t="n">
        <v>0.206</v>
      </c>
    </row>
    <row r="3070" spans="1:13">
      <c r="A3070" s="1">
        <f>HYPERLINK("http://www.twitter.com/NathanBLawrence/status/960440129214017536", "960440129214017536")</f>
        <v/>
      </c>
      <c r="B3070" s="2" t="n">
        <v>43136.38130787037</v>
      </c>
      <c r="C3070" t="n">
        <v>0</v>
      </c>
      <c r="D3070" t="n">
        <v>6</v>
      </c>
      <c r="E3070" t="s">
        <v>3073</v>
      </c>
      <c r="F3070">
        <f>HYPERLINK("http://pbs.twimg.com/media/DVQrDe9U8AAHOad.jpg", "http://pbs.twimg.com/media/DVQrDe9U8AAHOad.jpg")</f>
        <v/>
      </c>
      <c r="G3070" t="s"/>
      <c r="H3070" t="s"/>
      <c r="I3070" t="s"/>
      <c r="J3070" t="n">
        <v>0</v>
      </c>
      <c r="K3070" t="n">
        <v>0</v>
      </c>
      <c r="L3070" t="n">
        <v>1</v>
      </c>
      <c r="M3070" t="n">
        <v>0</v>
      </c>
    </row>
    <row r="3071" spans="1:13">
      <c r="A3071" s="1">
        <f>HYPERLINK("http://www.twitter.com/NathanBLawrence/status/960335221337067520", "960335221337067520")</f>
        <v/>
      </c>
      <c r="B3071" s="2" t="n">
        <v>43136.09181712963</v>
      </c>
      <c r="C3071" t="n">
        <v>34</v>
      </c>
      <c r="D3071" t="n">
        <v>7</v>
      </c>
      <c r="E3071" t="s">
        <v>3074</v>
      </c>
      <c r="F3071">
        <f>HYPERLINK("http://pbs.twimg.com/media/DVPLyvMWAAEXmgc.jpg", "http://pbs.twimg.com/media/DVPLyvMWAAEXmgc.jpg")</f>
        <v/>
      </c>
      <c r="G3071" t="s"/>
      <c r="H3071" t="s"/>
      <c r="I3071" t="s"/>
      <c r="J3071" t="n">
        <v>0</v>
      </c>
      <c r="K3071" t="n">
        <v>0</v>
      </c>
      <c r="L3071" t="n">
        <v>1</v>
      </c>
      <c r="M3071" t="n">
        <v>0</v>
      </c>
    </row>
    <row r="3072" spans="1:13">
      <c r="A3072" s="1">
        <f>HYPERLINK("http://www.twitter.com/NathanBLawrence/status/960261159231221760", "960261159231221760")</f>
        <v/>
      </c>
      <c r="B3072" s="2" t="n">
        <v>43135.88744212963</v>
      </c>
      <c r="C3072" t="n">
        <v>4</v>
      </c>
      <c r="D3072" t="n">
        <v>3</v>
      </c>
      <c r="E3072" t="s">
        <v>3075</v>
      </c>
      <c r="F3072" t="s"/>
      <c r="G3072" t="s"/>
      <c r="H3072" t="s"/>
      <c r="I3072" t="s"/>
      <c r="J3072" t="n">
        <v>-0.5266999999999999</v>
      </c>
      <c r="K3072" t="n">
        <v>0.468</v>
      </c>
      <c r="L3072" t="n">
        <v>0.532</v>
      </c>
      <c r="M3072" t="n">
        <v>0</v>
      </c>
    </row>
    <row r="3073" spans="1:13">
      <c r="A3073" s="1">
        <f>HYPERLINK("http://www.twitter.com/NathanBLawrence/status/960260295858900992", "960260295858900992")</f>
        <v/>
      </c>
      <c r="B3073" s="2" t="n">
        <v>43135.88505787037</v>
      </c>
      <c r="C3073" t="n">
        <v>17</v>
      </c>
      <c r="D3073" t="n">
        <v>6</v>
      </c>
      <c r="E3073" t="s">
        <v>3076</v>
      </c>
      <c r="F3073" t="s"/>
      <c r="G3073" t="s"/>
      <c r="H3073" t="s"/>
      <c r="I3073" t="s"/>
      <c r="J3073" t="n">
        <v>-0.3612</v>
      </c>
      <c r="K3073" t="n">
        <v>0.217</v>
      </c>
      <c r="L3073" t="n">
        <v>0.783</v>
      </c>
      <c r="M3073" t="n">
        <v>0</v>
      </c>
    </row>
    <row r="3074" spans="1:13">
      <c r="A3074" s="1">
        <f>HYPERLINK("http://www.twitter.com/NathanBLawrence/status/960258934941540352", "960258934941540352")</f>
        <v/>
      </c>
      <c r="B3074" s="2" t="n">
        <v>43135.88130787037</v>
      </c>
      <c r="C3074" t="n">
        <v>4</v>
      </c>
      <c r="D3074" t="n">
        <v>3</v>
      </c>
      <c r="E3074" t="s">
        <v>3077</v>
      </c>
      <c r="F3074" t="s"/>
      <c r="G3074" t="s"/>
      <c r="H3074" t="s"/>
      <c r="I3074" t="s"/>
      <c r="J3074" t="n">
        <v>0</v>
      </c>
      <c r="K3074" t="n">
        <v>0</v>
      </c>
      <c r="L3074" t="n">
        <v>1</v>
      </c>
      <c r="M3074" t="n">
        <v>0</v>
      </c>
    </row>
    <row r="3075" spans="1:13">
      <c r="A3075" s="1">
        <f>HYPERLINK("http://www.twitter.com/NathanBLawrence/status/960258013742358528", "960258013742358528")</f>
        <v/>
      </c>
      <c r="B3075" s="2" t="n">
        <v>43135.87876157407</v>
      </c>
      <c r="C3075" t="n">
        <v>5</v>
      </c>
      <c r="D3075" t="n">
        <v>4</v>
      </c>
      <c r="E3075" t="s">
        <v>3078</v>
      </c>
      <c r="F3075" t="s"/>
      <c r="G3075" t="s"/>
      <c r="H3075" t="s"/>
      <c r="I3075" t="s"/>
      <c r="J3075" t="n">
        <v>0</v>
      </c>
      <c r="K3075" t="n">
        <v>0</v>
      </c>
      <c r="L3075" t="n">
        <v>1</v>
      </c>
      <c r="M3075" t="n">
        <v>0</v>
      </c>
    </row>
    <row r="3076" spans="1:13">
      <c r="A3076" s="1">
        <f>HYPERLINK("http://www.twitter.com/NathanBLawrence/status/960254345357901824", "960254345357901824")</f>
        <v/>
      </c>
      <c r="B3076" s="2" t="n">
        <v>43135.86864583333</v>
      </c>
      <c r="C3076" t="n">
        <v>24</v>
      </c>
      <c r="D3076" t="n">
        <v>16</v>
      </c>
      <c r="E3076" t="s">
        <v>3079</v>
      </c>
      <c r="F3076">
        <f>HYPERLINK("http://pbs.twimg.com/media/DVOB4MgUQAAotjV.jpg", "http://pbs.twimg.com/media/DVOB4MgUQAAotjV.jpg")</f>
        <v/>
      </c>
      <c r="G3076" t="s"/>
      <c r="H3076" t="s"/>
      <c r="I3076" t="s"/>
      <c r="J3076" t="n">
        <v>0.3802</v>
      </c>
      <c r="K3076" t="n">
        <v>0</v>
      </c>
      <c r="L3076" t="n">
        <v>0.834</v>
      </c>
      <c r="M3076" t="n">
        <v>0.166</v>
      </c>
    </row>
    <row r="3077" spans="1:13">
      <c r="A3077" s="1">
        <f>HYPERLINK("http://www.twitter.com/NathanBLawrence/status/960253811838238720", "960253811838238720")</f>
        <v/>
      </c>
      <c r="B3077" s="2" t="n">
        <v>43135.86717592592</v>
      </c>
      <c r="C3077" t="n">
        <v>44</v>
      </c>
      <c r="D3077" t="n">
        <v>24</v>
      </c>
      <c r="E3077" t="s">
        <v>3080</v>
      </c>
      <c r="F3077">
        <f>HYPERLINK("http://pbs.twimg.com/media/DVOBbGdVAAMaYWx.png", "http://pbs.twimg.com/media/DVOBbGdVAAMaYWx.png")</f>
        <v/>
      </c>
      <c r="G3077" t="s"/>
      <c r="H3077" t="s"/>
      <c r="I3077" t="s"/>
      <c r="J3077" t="n">
        <v>0.7845</v>
      </c>
      <c r="K3077" t="n">
        <v>0</v>
      </c>
      <c r="L3077" t="n">
        <v>0.504</v>
      </c>
      <c r="M3077" t="n">
        <v>0.496</v>
      </c>
    </row>
    <row r="3078" spans="1:13">
      <c r="A3078" s="1">
        <f>HYPERLINK("http://www.twitter.com/NathanBLawrence/status/960253323860328448", "960253323860328448")</f>
        <v/>
      </c>
      <c r="B3078" s="2" t="n">
        <v>43135.86582175926</v>
      </c>
      <c r="C3078" t="n">
        <v>18</v>
      </c>
      <c r="D3078" t="n">
        <v>5</v>
      </c>
      <c r="E3078" t="s">
        <v>3081</v>
      </c>
      <c r="F3078">
        <f>HYPERLINK("http://pbs.twimg.com/media/DVOBRL_VAAA0_i0.jpg", "http://pbs.twimg.com/media/DVOBRL_VAAA0_i0.jpg")</f>
        <v/>
      </c>
      <c r="G3078" t="s"/>
      <c r="H3078" t="s"/>
      <c r="I3078" t="s"/>
      <c r="J3078" t="n">
        <v>0</v>
      </c>
      <c r="K3078" t="n">
        <v>0</v>
      </c>
      <c r="L3078" t="n">
        <v>1</v>
      </c>
      <c r="M3078" t="n">
        <v>0</v>
      </c>
    </row>
    <row r="3079" spans="1:13">
      <c r="A3079" s="1">
        <f>HYPERLINK("http://www.twitter.com/NathanBLawrence/status/960252979977715712", "960252979977715712")</f>
        <v/>
      </c>
      <c r="B3079" s="2" t="n">
        <v>43135.86487268518</v>
      </c>
      <c r="C3079" t="n">
        <v>0</v>
      </c>
      <c r="D3079" t="n">
        <v>389</v>
      </c>
      <c r="E3079" t="s">
        <v>3082</v>
      </c>
      <c r="F3079">
        <f>HYPERLINK("http://pbs.twimg.com/media/DVNeI-qXkAA2BcZ.jpg", "http://pbs.twimg.com/media/DVNeI-qXkAA2BcZ.jpg")</f>
        <v/>
      </c>
      <c r="G3079" t="s"/>
      <c r="H3079" t="s"/>
      <c r="I3079" t="s"/>
      <c r="J3079" t="n">
        <v>0</v>
      </c>
      <c r="K3079" t="n">
        <v>0</v>
      </c>
      <c r="L3079" t="n">
        <v>1</v>
      </c>
      <c r="M3079" t="n">
        <v>0</v>
      </c>
    </row>
    <row r="3080" spans="1:13">
      <c r="A3080" s="1">
        <f>HYPERLINK("http://www.twitter.com/NathanBLawrence/status/960252318330454017", "960252318330454017")</f>
        <v/>
      </c>
      <c r="B3080" s="2" t="n">
        <v>43135.86304398148</v>
      </c>
      <c r="C3080" t="n">
        <v>5</v>
      </c>
      <c r="D3080" t="n">
        <v>2</v>
      </c>
      <c r="E3080" t="s">
        <v>3083</v>
      </c>
      <c r="F3080" t="s"/>
      <c r="G3080" t="s"/>
      <c r="H3080" t="s"/>
      <c r="I3080" t="s"/>
      <c r="J3080" t="n">
        <v>0</v>
      </c>
      <c r="K3080" t="n">
        <v>0</v>
      </c>
      <c r="L3080" t="n">
        <v>1</v>
      </c>
      <c r="M3080" t="n">
        <v>0</v>
      </c>
    </row>
    <row r="3081" spans="1:13">
      <c r="A3081" s="1">
        <f>HYPERLINK("http://www.twitter.com/NathanBLawrence/status/960251065391132672", "960251065391132672")</f>
        <v/>
      </c>
      <c r="B3081" s="2" t="n">
        <v>43135.85959490741</v>
      </c>
      <c r="C3081" t="n">
        <v>0</v>
      </c>
      <c r="D3081" t="n">
        <v>174</v>
      </c>
      <c r="E3081" t="s">
        <v>3084</v>
      </c>
      <c r="F3081">
        <f>HYPERLINK("http://pbs.twimg.com/media/DVIedfLXUAARoh8.jpg", "http://pbs.twimg.com/media/DVIedfLXUAARoh8.jpg")</f>
        <v/>
      </c>
      <c r="G3081" t="s"/>
      <c r="H3081" t="s"/>
      <c r="I3081" t="s"/>
      <c r="J3081" t="n">
        <v>0</v>
      </c>
      <c r="K3081" t="n">
        <v>0</v>
      </c>
      <c r="L3081" t="n">
        <v>1</v>
      </c>
      <c r="M3081" t="n">
        <v>0</v>
      </c>
    </row>
    <row r="3082" spans="1:13">
      <c r="A3082" s="1">
        <f>HYPERLINK("http://www.twitter.com/NathanBLawrence/status/960250702047019008", "960250702047019008")</f>
        <v/>
      </c>
      <c r="B3082" s="2" t="n">
        <v>43135.85858796296</v>
      </c>
      <c r="C3082" t="n">
        <v>33</v>
      </c>
      <c r="D3082" t="n">
        <v>20</v>
      </c>
      <c r="E3082" t="s">
        <v>3085</v>
      </c>
      <c r="F3082" t="s"/>
      <c r="G3082" t="s"/>
      <c r="H3082" t="s"/>
      <c r="I3082" t="s"/>
      <c r="J3082" t="n">
        <v>-0.5067</v>
      </c>
      <c r="K3082" t="n">
        <v>0.08599999999999999</v>
      </c>
      <c r="L3082" t="n">
        <v>0.887</v>
      </c>
      <c r="M3082" t="n">
        <v>0.028</v>
      </c>
    </row>
    <row r="3083" spans="1:13">
      <c r="A3083" s="1">
        <f>HYPERLINK("http://www.twitter.com/NathanBLawrence/status/960249516866744320", "960249516866744320")</f>
        <v/>
      </c>
      <c r="B3083" s="2" t="n">
        <v>43135.85532407407</v>
      </c>
      <c r="C3083" t="n">
        <v>35</v>
      </c>
      <c r="D3083" t="n">
        <v>15</v>
      </c>
      <c r="E3083" t="s">
        <v>3086</v>
      </c>
      <c r="F3083" t="s"/>
      <c r="G3083" t="s"/>
      <c r="H3083" t="s"/>
      <c r="I3083" t="s"/>
      <c r="J3083" t="n">
        <v>-0.7963</v>
      </c>
      <c r="K3083" t="n">
        <v>0.336</v>
      </c>
      <c r="L3083" t="n">
        <v>0.664</v>
      </c>
      <c r="M3083" t="n">
        <v>0</v>
      </c>
    </row>
    <row r="3084" spans="1:13">
      <c r="A3084" s="1">
        <f>HYPERLINK("http://www.twitter.com/NathanBLawrence/status/960248853810241536", "960248853810241536")</f>
        <v/>
      </c>
      <c r="B3084" s="2" t="n">
        <v>43135.85348379629</v>
      </c>
      <c r="C3084" t="n">
        <v>0</v>
      </c>
      <c r="D3084" t="n">
        <v>68</v>
      </c>
      <c r="E3084" t="s">
        <v>3087</v>
      </c>
      <c r="F3084">
        <f>HYPERLINK("http://pbs.twimg.com/media/DVN3NKEUMAAXnmw.jpg", "http://pbs.twimg.com/media/DVN3NKEUMAAXnmw.jpg")</f>
        <v/>
      </c>
      <c r="G3084" t="s"/>
      <c r="H3084" t="s"/>
      <c r="I3084" t="s"/>
      <c r="J3084" t="n">
        <v>0.5442</v>
      </c>
      <c r="K3084" t="n">
        <v>0</v>
      </c>
      <c r="L3084" t="n">
        <v>0.82</v>
      </c>
      <c r="M3084" t="n">
        <v>0.18</v>
      </c>
    </row>
    <row r="3085" spans="1:13">
      <c r="A3085" s="1">
        <f>HYPERLINK("http://www.twitter.com/NathanBLawrence/status/960248518328766464", "960248518328766464")</f>
        <v/>
      </c>
      <c r="B3085" s="2" t="n">
        <v>43135.85255787037</v>
      </c>
      <c r="C3085" t="n">
        <v>0</v>
      </c>
      <c r="D3085" t="n">
        <v>273</v>
      </c>
      <c r="E3085" t="s">
        <v>3088</v>
      </c>
      <c r="F3085">
        <f>HYPERLINK("http://pbs.twimg.com/media/DVNWsQDVQAAvF1P.jpg", "http://pbs.twimg.com/media/DVNWsQDVQAAvF1P.jpg")</f>
        <v/>
      </c>
      <c r="G3085" t="s"/>
      <c r="H3085" t="s"/>
      <c r="I3085" t="s"/>
      <c r="J3085" t="n">
        <v>0</v>
      </c>
      <c r="K3085" t="n">
        <v>0</v>
      </c>
      <c r="L3085" t="n">
        <v>1</v>
      </c>
      <c r="M3085" t="n">
        <v>0</v>
      </c>
    </row>
    <row r="3086" spans="1:13">
      <c r="A3086" s="1">
        <f>HYPERLINK("http://www.twitter.com/NathanBLawrence/status/960247718479249408", "960247718479249408")</f>
        <v/>
      </c>
      <c r="B3086" s="2" t="n">
        <v>43135.8503587963</v>
      </c>
      <c r="C3086" t="n">
        <v>0</v>
      </c>
      <c r="D3086" t="n">
        <v>1836</v>
      </c>
      <c r="E3086" t="s">
        <v>3089</v>
      </c>
      <c r="F3086">
        <f>HYPERLINK("http://pbs.twimg.com/media/DVN7VyHW4AAX80V.jpg", "http://pbs.twimg.com/media/DVN7VyHW4AAX80V.jpg")</f>
        <v/>
      </c>
      <c r="G3086" t="s"/>
      <c r="H3086" t="s"/>
      <c r="I3086" t="s"/>
      <c r="J3086" t="n">
        <v>0</v>
      </c>
      <c r="K3086" t="n">
        <v>0</v>
      </c>
      <c r="L3086" t="n">
        <v>1</v>
      </c>
      <c r="M3086" t="n">
        <v>0</v>
      </c>
    </row>
    <row r="3087" spans="1:13">
      <c r="A3087" s="1">
        <f>HYPERLINK("http://www.twitter.com/NathanBLawrence/status/960247408050429953", "960247408050429953")</f>
        <v/>
      </c>
      <c r="B3087" s="2" t="n">
        <v>43135.84950231481</v>
      </c>
      <c r="C3087" t="n">
        <v>5</v>
      </c>
      <c r="D3087" t="n">
        <v>4</v>
      </c>
      <c r="E3087" t="s">
        <v>3090</v>
      </c>
      <c r="F3087" t="s"/>
      <c r="G3087" t="s"/>
      <c r="H3087" t="s"/>
      <c r="I3087" t="s"/>
      <c r="J3087" t="n">
        <v>0.6988</v>
      </c>
      <c r="K3087" t="n">
        <v>0</v>
      </c>
      <c r="L3087" t="n">
        <v>0.745</v>
      </c>
      <c r="M3087" t="n">
        <v>0.255</v>
      </c>
    </row>
    <row r="3088" spans="1:13">
      <c r="A3088" s="1">
        <f>HYPERLINK("http://www.twitter.com/NathanBLawrence/status/960207277851475969", "960207277851475969")</f>
        <v/>
      </c>
      <c r="B3088" s="2" t="n">
        <v>43135.73876157407</v>
      </c>
      <c r="C3088" t="n">
        <v>0</v>
      </c>
      <c r="D3088" t="n">
        <v>324</v>
      </c>
      <c r="E3088" t="s">
        <v>3091</v>
      </c>
      <c r="F3088">
        <f>HYPERLINK("http://pbs.twimg.com/media/DVNRPN9VoAAJMYn.jpg", "http://pbs.twimg.com/media/DVNRPN9VoAAJMYn.jpg")</f>
        <v/>
      </c>
      <c r="G3088" t="s"/>
      <c r="H3088" t="s"/>
      <c r="I3088" t="s"/>
      <c r="J3088" t="n">
        <v>0.3818</v>
      </c>
      <c r="K3088" t="n">
        <v>0.073</v>
      </c>
      <c r="L3088" t="n">
        <v>0.777</v>
      </c>
      <c r="M3088" t="n">
        <v>0.15</v>
      </c>
    </row>
    <row r="3089" spans="1:13">
      <c r="A3089" s="1">
        <f>HYPERLINK("http://www.twitter.com/NathanBLawrence/status/960207110859468805", "960207110859468805")</f>
        <v/>
      </c>
      <c r="B3089" s="2" t="n">
        <v>43135.73829861111</v>
      </c>
      <c r="C3089" t="n">
        <v>0</v>
      </c>
      <c r="D3089" t="n">
        <v>4227</v>
      </c>
      <c r="E3089" t="s">
        <v>3092</v>
      </c>
      <c r="F3089" t="s"/>
      <c r="G3089" t="s"/>
      <c r="H3089" t="s"/>
      <c r="I3089" t="s"/>
      <c r="J3089" t="n">
        <v>0.5106000000000001</v>
      </c>
      <c r="K3089" t="n">
        <v>0</v>
      </c>
      <c r="L3089" t="n">
        <v>0.864</v>
      </c>
      <c r="M3089" t="n">
        <v>0.136</v>
      </c>
    </row>
    <row r="3090" spans="1:13">
      <c r="A3090" s="1">
        <f>HYPERLINK("http://www.twitter.com/NathanBLawrence/status/960206531747696640", "960206531747696640")</f>
        <v/>
      </c>
      <c r="B3090" s="2" t="n">
        <v>43135.73670138889</v>
      </c>
      <c r="C3090" t="n">
        <v>0</v>
      </c>
      <c r="D3090" t="n">
        <v>12</v>
      </c>
      <c r="E3090" t="s">
        <v>3093</v>
      </c>
      <c r="F3090" t="s"/>
      <c r="G3090" t="s"/>
      <c r="H3090" t="s"/>
      <c r="I3090" t="s"/>
      <c r="J3090" t="n">
        <v>-0.7925</v>
      </c>
      <c r="K3090" t="n">
        <v>0.27</v>
      </c>
      <c r="L3090" t="n">
        <v>0.73</v>
      </c>
      <c r="M3090" t="n">
        <v>0</v>
      </c>
    </row>
    <row r="3091" spans="1:13">
      <c r="A3091" s="1">
        <f>HYPERLINK("http://www.twitter.com/NathanBLawrence/status/960206236691054593", "960206236691054593")</f>
        <v/>
      </c>
      <c r="B3091" s="2" t="n">
        <v>43135.7358912037</v>
      </c>
      <c r="C3091" t="n">
        <v>0</v>
      </c>
      <c r="D3091" t="n">
        <v>719</v>
      </c>
      <c r="E3091" t="s">
        <v>3094</v>
      </c>
      <c r="F3091">
        <f>HYPERLINK("https://video.twimg.com/ext_tw_video/719151978085920768/pu/vid/1280x720/JoiRefvWpOUCHShp.mp4", "https://video.twimg.com/ext_tw_video/719151978085920768/pu/vid/1280x720/JoiRefvWpOUCHShp.mp4")</f>
        <v/>
      </c>
      <c r="G3091" t="s"/>
      <c r="H3091" t="s"/>
      <c r="I3091" t="s"/>
      <c r="J3091" t="n">
        <v>-0.0516</v>
      </c>
      <c r="K3091" t="n">
        <v>0.109</v>
      </c>
      <c r="L3091" t="n">
        <v>0.792</v>
      </c>
      <c r="M3091" t="n">
        <v>0.099</v>
      </c>
    </row>
    <row r="3092" spans="1:13">
      <c r="A3092" s="1">
        <f>HYPERLINK("http://www.twitter.com/NathanBLawrence/status/960206121028919296", "960206121028919296")</f>
        <v/>
      </c>
      <c r="B3092" s="2" t="n">
        <v>43135.73556712963</v>
      </c>
      <c r="C3092" t="n">
        <v>0</v>
      </c>
      <c r="D3092" t="n">
        <v>50520</v>
      </c>
      <c r="E3092" t="s">
        <v>3095</v>
      </c>
      <c r="F3092" t="s"/>
      <c r="G3092" t="s"/>
      <c r="H3092" t="s"/>
      <c r="I3092" t="s"/>
      <c r="J3092" t="n">
        <v>0.4767</v>
      </c>
      <c r="K3092" t="n">
        <v>0.06</v>
      </c>
      <c r="L3092" t="n">
        <v>0.772</v>
      </c>
      <c r="M3092" t="n">
        <v>0.168</v>
      </c>
    </row>
    <row r="3093" spans="1:13">
      <c r="A3093" s="1">
        <f>HYPERLINK("http://www.twitter.com/NathanBLawrence/status/960205935783194624", "960205935783194624")</f>
        <v/>
      </c>
      <c r="B3093" s="2" t="n">
        <v>43135.73505787037</v>
      </c>
      <c r="C3093" t="n">
        <v>0</v>
      </c>
      <c r="D3093" t="n">
        <v>1291</v>
      </c>
      <c r="E3093" t="s">
        <v>3096</v>
      </c>
      <c r="F3093" t="s"/>
      <c r="G3093" t="s"/>
      <c r="H3093" t="s"/>
      <c r="I3093" t="s"/>
      <c r="J3093" t="n">
        <v>-0.6606</v>
      </c>
      <c r="K3093" t="n">
        <v>0.167</v>
      </c>
      <c r="L3093" t="n">
        <v>0.833</v>
      </c>
      <c r="M3093" t="n">
        <v>0</v>
      </c>
    </row>
    <row r="3094" spans="1:13">
      <c r="A3094" s="1">
        <f>HYPERLINK("http://www.twitter.com/NathanBLawrence/status/960205873367867392", "960205873367867392")</f>
        <v/>
      </c>
      <c r="B3094" s="2" t="n">
        <v>43135.73488425926</v>
      </c>
      <c r="C3094" t="n">
        <v>0</v>
      </c>
      <c r="D3094" t="n">
        <v>31</v>
      </c>
      <c r="E3094" t="s">
        <v>3097</v>
      </c>
      <c r="F3094">
        <f>HYPERLINK("http://pbs.twimg.com/media/DVNInx7U0AApoY9.jpg", "http://pbs.twimg.com/media/DVNInx7U0AApoY9.jpg")</f>
        <v/>
      </c>
      <c r="G3094" t="s"/>
      <c r="H3094" t="s"/>
      <c r="I3094" t="s"/>
      <c r="J3094" t="n">
        <v>-0.5266999999999999</v>
      </c>
      <c r="K3094" t="n">
        <v>0.207</v>
      </c>
      <c r="L3094" t="n">
        <v>0.793</v>
      </c>
      <c r="M3094" t="n">
        <v>0</v>
      </c>
    </row>
    <row r="3095" spans="1:13">
      <c r="A3095" s="1">
        <f>HYPERLINK("http://www.twitter.com/NathanBLawrence/status/960205222181191681", "960205222181191681")</f>
        <v/>
      </c>
      <c r="B3095" s="2" t="n">
        <v>43135.73309027778</v>
      </c>
      <c r="C3095" t="n">
        <v>0</v>
      </c>
      <c r="D3095" t="n">
        <v>165</v>
      </c>
      <c r="E3095" t="s">
        <v>3098</v>
      </c>
      <c r="F3095">
        <f>HYPERLINK("http://pbs.twimg.com/media/DVDtmdWVwAE8lSi.jpg", "http://pbs.twimg.com/media/DVDtmdWVwAE8lSi.jpg")</f>
        <v/>
      </c>
      <c r="G3095" t="s"/>
      <c r="H3095" t="s"/>
      <c r="I3095" t="s"/>
      <c r="J3095" t="n">
        <v>-0.2462</v>
      </c>
      <c r="K3095" t="n">
        <v>0.099</v>
      </c>
      <c r="L3095" t="n">
        <v>0.901</v>
      </c>
      <c r="M3095" t="n">
        <v>0</v>
      </c>
    </row>
    <row r="3096" spans="1:13">
      <c r="A3096" s="1">
        <f>HYPERLINK("http://www.twitter.com/NathanBLawrence/status/960204978122993664", "960204978122993664")</f>
        <v/>
      </c>
      <c r="B3096" s="2" t="n">
        <v>43135.73241898148</v>
      </c>
      <c r="C3096" t="n">
        <v>0</v>
      </c>
      <c r="D3096" t="n">
        <v>3547</v>
      </c>
      <c r="E3096" t="s">
        <v>3099</v>
      </c>
      <c r="F3096">
        <f>HYPERLINK("http://pbs.twimg.com/media/DPu1S5VVwAAaZZR.jpg", "http://pbs.twimg.com/media/DPu1S5VVwAAaZZR.jpg")</f>
        <v/>
      </c>
      <c r="G3096" t="s"/>
      <c r="H3096" t="s"/>
      <c r="I3096" t="s"/>
      <c r="J3096" t="n">
        <v>0.4215</v>
      </c>
      <c r="K3096" t="n">
        <v>0</v>
      </c>
      <c r="L3096" t="n">
        <v>0.882</v>
      </c>
      <c r="M3096" t="n">
        <v>0.118</v>
      </c>
    </row>
    <row r="3097" spans="1:13">
      <c r="A3097" s="1">
        <f>HYPERLINK("http://www.twitter.com/NathanBLawrence/status/960204856395841536", "960204856395841536")</f>
        <v/>
      </c>
      <c r="B3097" s="2" t="n">
        <v>43135.73208333334</v>
      </c>
      <c r="C3097" t="n">
        <v>0</v>
      </c>
      <c r="D3097" t="n">
        <v>144</v>
      </c>
      <c r="E3097" t="s">
        <v>3100</v>
      </c>
      <c r="F3097" t="s"/>
      <c r="G3097" t="s"/>
      <c r="H3097" t="s"/>
      <c r="I3097" t="s"/>
      <c r="J3097" t="n">
        <v>-0.3804</v>
      </c>
      <c r="K3097" t="n">
        <v>0.12</v>
      </c>
      <c r="L3097" t="n">
        <v>0.88</v>
      </c>
      <c r="M3097" t="n">
        <v>0</v>
      </c>
    </row>
    <row r="3098" spans="1:13">
      <c r="A3098" s="1">
        <f>HYPERLINK("http://www.twitter.com/NathanBLawrence/status/960204568008142848", "960204568008142848")</f>
        <v/>
      </c>
      <c r="B3098" s="2" t="n">
        <v>43135.73128472222</v>
      </c>
      <c r="C3098" t="n">
        <v>0</v>
      </c>
      <c r="D3098" t="n">
        <v>196</v>
      </c>
      <c r="E3098" t="s">
        <v>3101</v>
      </c>
      <c r="F3098" t="s"/>
      <c r="G3098" t="s"/>
      <c r="H3098" t="s"/>
      <c r="I3098" t="s"/>
      <c r="J3098" t="n">
        <v>-0.5106000000000001</v>
      </c>
      <c r="K3098" t="n">
        <v>0.238</v>
      </c>
      <c r="L3098" t="n">
        <v>0.703</v>
      </c>
      <c r="M3098" t="n">
        <v>0.059</v>
      </c>
    </row>
    <row r="3099" spans="1:13">
      <c r="A3099" s="1">
        <f>HYPERLINK("http://www.twitter.com/NathanBLawrence/status/960204184040558592", "960204184040558592")</f>
        <v/>
      </c>
      <c r="B3099" s="2" t="n">
        <v>43135.7302199074</v>
      </c>
      <c r="C3099" t="n">
        <v>0</v>
      </c>
      <c r="D3099" t="n">
        <v>26</v>
      </c>
      <c r="E3099" t="s">
        <v>3102</v>
      </c>
      <c r="F3099" t="s"/>
      <c r="G3099" t="s"/>
      <c r="H3099" t="s"/>
      <c r="I3099" t="s"/>
      <c r="J3099" t="n">
        <v>-0.0258</v>
      </c>
      <c r="K3099" t="n">
        <v>0.124</v>
      </c>
      <c r="L3099" t="n">
        <v>0.756</v>
      </c>
      <c r="M3099" t="n">
        <v>0.12</v>
      </c>
    </row>
    <row r="3100" spans="1:13">
      <c r="A3100" s="1">
        <f>HYPERLINK("http://www.twitter.com/NathanBLawrence/status/960191564772339714", "960191564772339714")</f>
        <v/>
      </c>
      <c r="B3100" s="2" t="n">
        <v>43135.69540509259</v>
      </c>
      <c r="C3100" t="n">
        <v>0</v>
      </c>
      <c r="D3100" t="n">
        <v>81</v>
      </c>
      <c r="E3100" t="s">
        <v>3103</v>
      </c>
      <c r="F3100" t="s"/>
      <c r="G3100" t="s"/>
      <c r="H3100" t="s"/>
      <c r="I3100" t="s"/>
      <c r="J3100" t="n">
        <v>-0.6705</v>
      </c>
      <c r="K3100" t="n">
        <v>0.348</v>
      </c>
      <c r="L3100" t="n">
        <v>0.406</v>
      </c>
      <c r="M3100" t="n">
        <v>0.246</v>
      </c>
    </row>
    <row r="3101" spans="1:13">
      <c r="A3101" s="1">
        <f>HYPERLINK("http://www.twitter.com/NathanBLawrence/status/960191467338612736", "960191467338612736")</f>
        <v/>
      </c>
      <c r="B3101" s="2" t="n">
        <v>43135.69512731482</v>
      </c>
      <c r="C3101" t="n">
        <v>0</v>
      </c>
      <c r="D3101" t="n">
        <v>340</v>
      </c>
      <c r="E3101" t="s">
        <v>3104</v>
      </c>
      <c r="F3101" t="s"/>
      <c r="G3101" t="s"/>
      <c r="H3101" t="s"/>
      <c r="I3101" t="s"/>
      <c r="J3101" t="n">
        <v>-0.3818</v>
      </c>
      <c r="K3101" t="n">
        <v>0.112</v>
      </c>
      <c r="L3101" t="n">
        <v>0.833</v>
      </c>
      <c r="M3101" t="n">
        <v>0.054</v>
      </c>
    </row>
    <row r="3102" spans="1:13">
      <c r="A3102" s="1">
        <f>HYPERLINK("http://www.twitter.com/NathanBLawrence/status/960191388460580864", "960191388460580864")</f>
        <v/>
      </c>
      <c r="B3102" s="2" t="n">
        <v>43135.69491898148</v>
      </c>
      <c r="C3102" t="n">
        <v>0</v>
      </c>
      <c r="D3102" t="n">
        <v>487</v>
      </c>
      <c r="E3102" t="s">
        <v>3105</v>
      </c>
      <c r="F3102" t="s"/>
      <c r="G3102" t="s"/>
      <c r="H3102" t="s"/>
      <c r="I3102" t="s"/>
      <c r="J3102" t="n">
        <v>0.4767</v>
      </c>
      <c r="K3102" t="n">
        <v>0</v>
      </c>
      <c r="L3102" t="n">
        <v>0.838</v>
      </c>
      <c r="M3102" t="n">
        <v>0.162</v>
      </c>
    </row>
    <row r="3103" spans="1:13">
      <c r="A3103" s="1">
        <f>HYPERLINK("http://www.twitter.com/NathanBLawrence/status/960191335440371712", "960191335440371712")</f>
        <v/>
      </c>
      <c r="B3103" s="2" t="n">
        <v>43135.69476851852</v>
      </c>
      <c r="C3103" t="n">
        <v>0</v>
      </c>
      <c r="D3103" t="n">
        <v>303</v>
      </c>
      <c r="E3103" t="s">
        <v>3106</v>
      </c>
      <c r="F3103" t="s"/>
      <c r="G3103" t="s"/>
      <c r="H3103" t="s"/>
      <c r="I3103" t="s"/>
      <c r="J3103" t="n">
        <v>-0.875</v>
      </c>
      <c r="K3103" t="n">
        <v>0.345</v>
      </c>
      <c r="L3103" t="n">
        <v>0.655</v>
      </c>
      <c r="M3103" t="n">
        <v>0</v>
      </c>
    </row>
    <row r="3104" spans="1:13">
      <c r="A3104" s="1">
        <f>HYPERLINK("http://www.twitter.com/NathanBLawrence/status/960191256167989248", "960191256167989248")</f>
        <v/>
      </c>
      <c r="B3104" s="2" t="n">
        <v>43135.69454861111</v>
      </c>
      <c r="C3104" t="n">
        <v>0</v>
      </c>
      <c r="D3104" t="n">
        <v>1128</v>
      </c>
      <c r="E3104" t="s">
        <v>3107</v>
      </c>
      <c r="F3104" t="s"/>
      <c r="G3104" t="s"/>
      <c r="H3104" t="s"/>
      <c r="I3104" t="s"/>
      <c r="J3104" t="n">
        <v>0.4019</v>
      </c>
      <c r="K3104" t="n">
        <v>0</v>
      </c>
      <c r="L3104" t="n">
        <v>0.881</v>
      </c>
      <c r="M3104" t="n">
        <v>0.119</v>
      </c>
    </row>
    <row r="3105" spans="1:13">
      <c r="A3105" s="1">
        <f>HYPERLINK("http://www.twitter.com/NathanBLawrence/status/960191057106382848", "960191057106382848")</f>
        <v/>
      </c>
      <c r="B3105" s="2" t="n">
        <v>43135.69400462963</v>
      </c>
      <c r="C3105" t="n">
        <v>0</v>
      </c>
      <c r="D3105" t="n">
        <v>1030</v>
      </c>
      <c r="E3105" t="s">
        <v>3108</v>
      </c>
      <c r="F3105">
        <f>HYPERLINK("http://pbs.twimg.com/media/DVM_7EsV4AAG3Wa.jpg", "http://pbs.twimg.com/media/DVM_7EsV4AAG3Wa.jpg")</f>
        <v/>
      </c>
      <c r="G3105" t="s"/>
      <c r="H3105" t="s"/>
      <c r="I3105" t="s"/>
      <c r="J3105" t="n">
        <v>0.1695</v>
      </c>
      <c r="K3105" t="n">
        <v>0</v>
      </c>
      <c r="L3105" t="n">
        <v>0.911</v>
      </c>
      <c r="M3105" t="n">
        <v>0.089</v>
      </c>
    </row>
    <row r="3106" spans="1:13">
      <c r="A3106" s="1">
        <f>HYPERLINK("http://www.twitter.com/NathanBLawrence/status/960190789354627072", "960190789354627072")</f>
        <v/>
      </c>
      <c r="B3106" s="2" t="n">
        <v>43135.69326388889</v>
      </c>
      <c r="C3106" t="n">
        <v>0</v>
      </c>
      <c r="D3106" t="n">
        <v>568</v>
      </c>
      <c r="E3106" t="s">
        <v>3109</v>
      </c>
      <c r="F3106" t="s"/>
      <c r="G3106" t="s"/>
      <c r="H3106" t="s"/>
      <c r="I3106" t="s"/>
      <c r="J3106" t="n">
        <v>0</v>
      </c>
      <c r="K3106" t="n">
        <v>0</v>
      </c>
      <c r="L3106" t="n">
        <v>1</v>
      </c>
      <c r="M3106" t="n">
        <v>0</v>
      </c>
    </row>
    <row r="3107" spans="1:13">
      <c r="A3107" s="1">
        <f>HYPERLINK("http://www.twitter.com/NathanBLawrence/status/960190363846627328", "960190363846627328")</f>
        <v/>
      </c>
      <c r="B3107" s="2" t="n">
        <v>43135.69208333334</v>
      </c>
      <c r="C3107" t="n">
        <v>0</v>
      </c>
      <c r="D3107" t="n">
        <v>2389</v>
      </c>
      <c r="E3107" t="s">
        <v>3110</v>
      </c>
      <c r="F3107" t="s"/>
      <c r="G3107" t="s"/>
      <c r="H3107" t="s"/>
      <c r="I3107" t="s"/>
      <c r="J3107" t="n">
        <v>-0.91</v>
      </c>
      <c r="K3107" t="n">
        <v>0.404</v>
      </c>
      <c r="L3107" t="n">
        <v>0.46</v>
      </c>
      <c r="M3107" t="n">
        <v>0.136</v>
      </c>
    </row>
    <row r="3108" spans="1:13">
      <c r="A3108" s="1">
        <f>HYPERLINK("http://www.twitter.com/NathanBLawrence/status/960190254304051201", "960190254304051201")</f>
        <v/>
      </c>
      <c r="B3108" s="2" t="n">
        <v>43135.6917824074</v>
      </c>
      <c r="C3108" t="n">
        <v>0</v>
      </c>
      <c r="D3108" t="n">
        <v>102</v>
      </c>
      <c r="E3108" t="s">
        <v>3111</v>
      </c>
      <c r="F3108">
        <f>HYPERLINK("http://pbs.twimg.com/media/DVNExUwVQAAB7vG.jpg", "http://pbs.twimg.com/media/DVNExUwVQAAB7vG.jpg")</f>
        <v/>
      </c>
      <c r="G3108" t="s"/>
      <c r="H3108" t="s"/>
      <c r="I3108" t="s"/>
      <c r="J3108" t="n">
        <v>0.4767</v>
      </c>
      <c r="K3108" t="n">
        <v>0</v>
      </c>
      <c r="L3108" t="n">
        <v>0.846</v>
      </c>
      <c r="M3108" t="n">
        <v>0.154</v>
      </c>
    </row>
    <row r="3109" spans="1:13">
      <c r="A3109" s="1">
        <f>HYPERLINK("http://www.twitter.com/NathanBLawrence/status/960189981162586112", "960189981162586112")</f>
        <v/>
      </c>
      <c r="B3109" s="2" t="n">
        <v>43135.6910300926</v>
      </c>
      <c r="C3109" t="n">
        <v>0</v>
      </c>
      <c r="D3109" t="n">
        <v>1245</v>
      </c>
      <c r="E3109" t="s">
        <v>3112</v>
      </c>
      <c r="F3109" t="s"/>
      <c r="G3109" t="s"/>
      <c r="H3109" t="s"/>
      <c r="I3109" t="s"/>
      <c r="J3109" t="n">
        <v>-0.4753</v>
      </c>
      <c r="K3109" t="n">
        <v>0.128</v>
      </c>
      <c r="L3109" t="n">
        <v>0.872</v>
      </c>
      <c r="M3109" t="n">
        <v>0</v>
      </c>
    </row>
    <row r="3110" spans="1:13">
      <c r="A3110" s="1">
        <f>HYPERLINK("http://www.twitter.com/NathanBLawrence/status/960189818616496128", "960189818616496128")</f>
        <v/>
      </c>
      <c r="B3110" s="2" t="n">
        <v>43135.6905787037</v>
      </c>
      <c r="C3110" t="n">
        <v>0</v>
      </c>
      <c r="D3110" t="n">
        <v>402</v>
      </c>
      <c r="E3110" t="s">
        <v>3113</v>
      </c>
      <c r="F3110" t="s"/>
      <c r="G3110" t="s"/>
      <c r="H3110" t="s"/>
      <c r="I3110" t="s"/>
      <c r="J3110" t="n">
        <v>0.1531</v>
      </c>
      <c r="K3110" t="n">
        <v>0</v>
      </c>
      <c r="L3110" t="n">
        <v>0.89</v>
      </c>
      <c r="M3110" t="n">
        <v>0.11</v>
      </c>
    </row>
    <row r="3111" spans="1:13">
      <c r="A3111" s="1">
        <f>HYPERLINK("http://www.twitter.com/NathanBLawrence/status/960189729860829184", "960189729860829184")</f>
        <v/>
      </c>
      <c r="B3111" s="2" t="n">
        <v>43135.69033564815</v>
      </c>
      <c r="C3111" t="n">
        <v>0</v>
      </c>
      <c r="D3111" t="n">
        <v>916</v>
      </c>
      <c r="E3111" t="s">
        <v>3114</v>
      </c>
      <c r="F3111" t="s"/>
      <c r="G3111" t="s"/>
      <c r="H3111" t="s"/>
      <c r="I3111" t="s"/>
      <c r="J3111" t="n">
        <v>-0.7681</v>
      </c>
      <c r="K3111" t="n">
        <v>0.249</v>
      </c>
      <c r="L3111" t="n">
        <v>0.751</v>
      </c>
      <c r="M3111" t="n">
        <v>0</v>
      </c>
    </row>
    <row r="3112" spans="1:13">
      <c r="A3112" s="1">
        <f>HYPERLINK("http://www.twitter.com/NathanBLawrence/status/960126867591217155", "960126867591217155")</f>
        <v/>
      </c>
      <c r="B3112" s="2" t="n">
        <v>43135.516875</v>
      </c>
      <c r="C3112" t="n">
        <v>0</v>
      </c>
      <c r="D3112" t="n">
        <v>3756</v>
      </c>
      <c r="E3112" t="s">
        <v>3115</v>
      </c>
      <c r="F3112" t="s"/>
      <c r="G3112" t="s"/>
      <c r="H3112" t="s"/>
      <c r="I3112" t="s"/>
      <c r="J3112" t="n">
        <v>0.3182</v>
      </c>
      <c r="K3112" t="n">
        <v>0</v>
      </c>
      <c r="L3112" t="n">
        <v>0.887</v>
      </c>
      <c r="M3112" t="n">
        <v>0.113</v>
      </c>
    </row>
    <row r="3113" spans="1:13">
      <c r="A3113" s="1">
        <f>HYPERLINK("http://www.twitter.com/NathanBLawrence/status/960125941044281345", "960125941044281345")</f>
        <v/>
      </c>
      <c r="B3113" s="2" t="n">
        <v>43135.51431712963</v>
      </c>
      <c r="C3113" t="n">
        <v>0</v>
      </c>
      <c r="D3113" t="n">
        <v>11</v>
      </c>
      <c r="E3113" t="s">
        <v>3116</v>
      </c>
      <c r="F3113">
        <f>HYPERLINK("http://pbs.twimg.com/media/DVMMphyUQAMNrgF.jpg", "http://pbs.twimg.com/media/DVMMphyUQAMNrgF.jpg")</f>
        <v/>
      </c>
      <c r="G3113" t="s"/>
      <c r="H3113" t="s"/>
      <c r="I3113" t="s"/>
      <c r="J3113" t="n">
        <v>0</v>
      </c>
      <c r="K3113" t="n">
        <v>0</v>
      </c>
      <c r="L3113" t="n">
        <v>1</v>
      </c>
      <c r="M3113" t="n">
        <v>0</v>
      </c>
    </row>
    <row r="3114" spans="1:13">
      <c r="A3114" s="1">
        <f>HYPERLINK("http://www.twitter.com/NathanBLawrence/status/960125831791091713", "960125831791091713")</f>
        <v/>
      </c>
      <c r="B3114" s="2" t="n">
        <v>43135.51401620371</v>
      </c>
      <c r="C3114" t="n">
        <v>0</v>
      </c>
      <c r="D3114" t="n">
        <v>92</v>
      </c>
      <c r="E3114" t="s">
        <v>3117</v>
      </c>
      <c r="F3114">
        <f>HYPERLINK("http://pbs.twimg.com/media/DVMBI-QW4AA_Ei1.jpg", "http://pbs.twimg.com/media/DVMBI-QW4AA_Ei1.jpg")</f>
        <v/>
      </c>
      <c r="G3114" t="s"/>
      <c r="H3114" t="s"/>
      <c r="I3114" t="s"/>
      <c r="J3114" t="n">
        <v>0.296</v>
      </c>
      <c r="K3114" t="n">
        <v>0.066</v>
      </c>
      <c r="L3114" t="n">
        <v>0.779</v>
      </c>
      <c r="M3114" t="n">
        <v>0.156</v>
      </c>
    </row>
    <row r="3115" spans="1:13">
      <c r="A3115" s="1">
        <f>HYPERLINK("http://www.twitter.com/NathanBLawrence/status/960069952559460352", "960069952559460352")</f>
        <v/>
      </c>
      <c r="B3115" s="2" t="n">
        <v>43135.35981481482</v>
      </c>
      <c r="C3115" t="n">
        <v>0</v>
      </c>
      <c r="D3115" t="n">
        <v>188</v>
      </c>
      <c r="E3115" t="s">
        <v>3118</v>
      </c>
      <c r="F3115">
        <f>HYPERLINK("http://pbs.twimg.com/media/DVJUMoaUMAA8QDf.jpg", "http://pbs.twimg.com/media/DVJUMoaUMAA8QDf.jpg")</f>
        <v/>
      </c>
      <c r="G3115" t="s"/>
      <c r="H3115" t="s"/>
      <c r="I3115" t="s"/>
      <c r="J3115" t="n">
        <v>0</v>
      </c>
      <c r="K3115" t="n">
        <v>0</v>
      </c>
      <c r="L3115" t="n">
        <v>1</v>
      </c>
      <c r="M3115" t="n">
        <v>0</v>
      </c>
    </row>
    <row r="3116" spans="1:13">
      <c r="A3116" s="1">
        <f>HYPERLINK("http://www.twitter.com/NathanBLawrence/status/960068409638531072", "960068409638531072")</f>
        <v/>
      </c>
      <c r="B3116" s="2" t="n">
        <v>43135.35555555556</v>
      </c>
      <c r="C3116" t="n">
        <v>11</v>
      </c>
      <c r="D3116" t="n">
        <v>4</v>
      </c>
      <c r="E3116" t="s">
        <v>3119</v>
      </c>
      <c r="F3116" t="s"/>
      <c r="G3116" t="s"/>
      <c r="H3116" t="s"/>
      <c r="I3116" t="s"/>
      <c r="J3116" t="n">
        <v>0.1969</v>
      </c>
      <c r="K3116" t="n">
        <v>0.165</v>
      </c>
      <c r="L3116" t="n">
        <v>0.625</v>
      </c>
      <c r="M3116" t="n">
        <v>0.209</v>
      </c>
    </row>
    <row r="3117" spans="1:13">
      <c r="A3117" s="1">
        <f>HYPERLINK("http://www.twitter.com/NathanBLawrence/status/960067946277101568", "960067946277101568")</f>
        <v/>
      </c>
      <c r="B3117" s="2" t="n">
        <v>43135.35428240741</v>
      </c>
      <c r="C3117" t="n">
        <v>6</v>
      </c>
      <c r="D3117" t="n">
        <v>2</v>
      </c>
      <c r="E3117" t="s">
        <v>3120</v>
      </c>
      <c r="F3117" t="s"/>
      <c r="G3117" t="s"/>
      <c r="H3117" t="s"/>
      <c r="I3117" t="s"/>
      <c r="J3117" t="n">
        <v>0</v>
      </c>
      <c r="K3117" t="n">
        <v>0</v>
      </c>
      <c r="L3117" t="n">
        <v>1</v>
      </c>
      <c r="M3117" t="n">
        <v>0</v>
      </c>
    </row>
    <row r="3118" spans="1:13">
      <c r="A3118" s="1">
        <f>HYPERLINK("http://www.twitter.com/NathanBLawrence/status/960065809144950784", "960065809144950784")</f>
        <v/>
      </c>
      <c r="B3118" s="2" t="n">
        <v>43135.34837962963</v>
      </c>
      <c r="C3118" t="n">
        <v>31</v>
      </c>
      <c r="D3118" t="n">
        <v>11</v>
      </c>
      <c r="E3118" t="s">
        <v>3121</v>
      </c>
      <c r="F3118" t="s"/>
      <c r="G3118" t="s"/>
      <c r="H3118" t="s"/>
      <c r="I3118" t="s"/>
      <c r="J3118" t="n">
        <v>-0.6996</v>
      </c>
      <c r="K3118" t="n">
        <v>0.266</v>
      </c>
      <c r="L3118" t="n">
        <v>0.734</v>
      </c>
      <c r="M3118" t="n">
        <v>0</v>
      </c>
    </row>
    <row r="3119" spans="1:13">
      <c r="A3119" s="1">
        <f>HYPERLINK("http://www.twitter.com/NathanBLawrence/status/960061583404646402", "960061583404646402")</f>
        <v/>
      </c>
      <c r="B3119" s="2" t="n">
        <v>43135.33672453704</v>
      </c>
      <c r="C3119" t="n">
        <v>0</v>
      </c>
      <c r="D3119" t="n">
        <v>413</v>
      </c>
      <c r="E3119" t="s">
        <v>3122</v>
      </c>
      <c r="F3119">
        <f>HYPERLINK("http://pbs.twimg.com/media/DVK5-cpVoAAr6Sf.jpg", "http://pbs.twimg.com/media/DVK5-cpVoAAr6Sf.jpg")</f>
        <v/>
      </c>
      <c r="G3119" t="s"/>
      <c r="H3119" t="s"/>
      <c r="I3119" t="s"/>
      <c r="J3119" t="n">
        <v>0</v>
      </c>
      <c r="K3119" t="n">
        <v>0</v>
      </c>
      <c r="L3119" t="n">
        <v>1</v>
      </c>
      <c r="M3119" t="n">
        <v>0</v>
      </c>
    </row>
    <row r="3120" spans="1:13">
      <c r="A3120" s="1">
        <f>HYPERLINK("http://www.twitter.com/NathanBLawrence/status/960061478597361665", "960061478597361665")</f>
        <v/>
      </c>
      <c r="B3120" s="2" t="n">
        <v>43135.33643518519</v>
      </c>
      <c r="C3120" t="n">
        <v>0</v>
      </c>
      <c r="D3120" t="n">
        <v>780</v>
      </c>
      <c r="E3120" t="s">
        <v>3123</v>
      </c>
      <c r="F3120">
        <f>HYPERLINK("http://pbs.twimg.com/media/DVJyX4PU8AAuE-H.jpg", "http://pbs.twimg.com/media/DVJyX4PU8AAuE-H.jpg")</f>
        <v/>
      </c>
      <c r="G3120" t="s"/>
      <c r="H3120" t="s"/>
      <c r="I3120" t="s"/>
      <c r="J3120" t="n">
        <v>0.8188</v>
      </c>
      <c r="K3120" t="n">
        <v>0.07000000000000001</v>
      </c>
      <c r="L3120" t="n">
        <v>0.622</v>
      </c>
      <c r="M3120" t="n">
        <v>0.308</v>
      </c>
    </row>
    <row r="3121" spans="1:13">
      <c r="A3121" s="1">
        <f>HYPERLINK("http://www.twitter.com/NathanBLawrence/status/960061377435000832", "960061377435000832")</f>
        <v/>
      </c>
      <c r="B3121" s="2" t="n">
        <v>43135.33615740741</v>
      </c>
      <c r="C3121" t="n">
        <v>0</v>
      </c>
      <c r="D3121" t="n">
        <v>184</v>
      </c>
      <c r="E3121" t="s">
        <v>3124</v>
      </c>
      <c r="F3121" t="s"/>
      <c r="G3121" t="s"/>
      <c r="H3121" t="s"/>
      <c r="I3121" t="s"/>
      <c r="J3121" t="n">
        <v>-0.2342</v>
      </c>
      <c r="K3121" t="n">
        <v>0.119</v>
      </c>
      <c r="L3121" t="n">
        <v>0.797</v>
      </c>
      <c r="M3121" t="n">
        <v>0.08400000000000001</v>
      </c>
    </row>
    <row r="3122" spans="1:13">
      <c r="A3122" s="1">
        <f>HYPERLINK("http://www.twitter.com/NathanBLawrence/status/960060834863988736", "960060834863988736")</f>
        <v/>
      </c>
      <c r="B3122" s="2" t="n">
        <v>43135.33465277778</v>
      </c>
      <c r="C3122" t="n">
        <v>0</v>
      </c>
      <c r="D3122" t="n">
        <v>1353</v>
      </c>
      <c r="E3122" t="s">
        <v>3125</v>
      </c>
      <c r="F3122">
        <f>HYPERLINK("http://pbs.twimg.com/media/DVKyaM1VMAAyUqH.jpg", "http://pbs.twimg.com/media/DVKyaM1VMAAyUqH.jpg")</f>
        <v/>
      </c>
      <c r="G3122" t="s"/>
      <c r="H3122" t="s"/>
      <c r="I3122" t="s"/>
      <c r="J3122" t="n">
        <v>0</v>
      </c>
      <c r="K3122" t="n">
        <v>0</v>
      </c>
      <c r="L3122" t="n">
        <v>1</v>
      </c>
      <c r="M3122" t="n">
        <v>0</v>
      </c>
    </row>
    <row r="3123" spans="1:13">
      <c r="A3123" s="1">
        <f>HYPERLINK("http://www.twitter.com/NathanBLawrence/status/960058486569578496", "960058486569578496")</f>
        <v/>
      </c>
      <c r="B3123" s="2" t="n">
        <v>43135.3281712963</v>
      </c>
      <c r="C3123" t="n">
        <v>0</v>
      </c>
      <c r="D3123" t="n">
        <v>445</v>
      </c>
      <c r="E3123" t="s">
        <v>3126</v>
      </c>
      <c r="F3123">
        <f>HYPERLINK("http://pbs.twimg.com/media/DVJhcsfVMAA_Y0R.jpg", "http://pbs.twimg.com/media/DVJhcsfVMAA_Y0R.jpg")</f>
        <v/>
      </c>
      <c r="G3123" t="s"/>
      <c r="H3123" t="s"/>
      <c r="I3123" t="s"/>
      <c r="J3123" t="n">
        <v>-0.5994</v>
      </c>
      <c r="K3123" t="n">
        <v>0.205</v>
      </c>
      <c r="L3123" t="n">
        <v>0.795</v>
      </c>
      <c r="M3123" t="n">
        <v>0</v>
      </c>
    </row>
    <row r="3124" spans="1:13">
      <c r="A3124" s="1">
        <f>HYPERLINK("http://www.twitter.com/NathanBLawrence/status/960058120444653569", "960058120444653569")</f>
        <v/>
      </c>
      <c r="B3124" s="2" t="n">
        <v>43135.32716435185</v>
      </c>
      <c r="C3124" t="n">
        <v>0</v>
      </c>
      <c r="D3124" t="n">
        <v>803</v>
      </c>
      <c r="E3124" t="s">
        <v>3127</v>
      </c>
      <c r="F3124">
        <f>HYPERLINK("http://pbs.twimg.com/media/DVJOVGFWkAIklv2.jpg", "http://pbs.twimg.com/media/DVJOVGFWkAIklv2.jpg")</f>
        <v/>
      </c>
      <c r="G3124" t="s"/>
      <c r="H3124" t="s"/>
      <c r="I3124" t="s"/>
      <c r="J3124" t="n">
        <v>0.6371</v>
      </c>
      <c r="K3124" t="n">
        <v>0.068</v>
      </c>
      <c r="L3124" t="n">
        <v>0.726</v>
      </c>
      <c r="M3124" t="n">
        <v>0.205</v>
      </c>
    </row>
    <row r="3125" spans="1:13">
      <c r="A3125" s="1">
        <f>HYPERLINK("http://www.twitter.com/NathanBLawrence/status/960057606625619968", "960057606625619968")</f>
        <v/>
      </c>
      <c r="B3125" s="2" t="n">
        <v>43135.32575231481</v>
      </c>
      <c r="C3125" t="n">
        <v>0</v>
      </c>
      <c r="D3125" t="n">
        <v>31</v>
      </c>
      <c r="E3125" t="s">
        <v>3128</v>
      </c>
      <c r="F3125">
        <f>HYPERLINK("http://pbs.twimg.com/media/DVLOpsBV4AAj018.jpg", "http://pbs.twimg.com/media/DVLOpsBV4AAj018.jpg")</f>
        <v/>
      </c>
      <c r="G3125" t="s"/>
      <c r="H3125" t="s"/>
      <c r="I3125" t="s"/>
      <c r="J3125" t="n">
        <v>0.0258</v>
      </c>
      <c r="K3125" t="n">
        <v>0</v>
      </c>
      <c r="L3125" t="n">
        <v>0.9389999999999999</v>
      </c>
      <c r="M3125" t="n">
        <v>0.061</v>
      </c>
    </row>
    <row r="3126" spans="1:13">
      <c r="A3126" s="1">
        <f>HYPERLINK("http://www.twitter.com/NathanBLawrence/status/960055714981953536", "960055714981953536")</f>
        <v/>
      </c>
      <c r="B3126" s="2" t="n">
        <v>43135.32053240741</v>
      </c>
      <c r="C3126" t="n">
        <v>0</v>
      </c>
      <c r="D3126" t="n">
        <v>7</v>
      </c>
      <c r="E3126" t="s">
        <v>3129</v>
      </c>
      <c r="F3126" t="s"/>
      <c r="G3126" t="s"/>
      <c r="H3126" t="s"/>
      <c r="I3126" t="s"/>
      <c r="J3126" t="n">
        <v>0</v>
      </c>
      <c r="K3126" t="n">
        <v>0</v>
      </c>
      <c r="L3126" t="n">
        <v>1</v>
      </c>
      <c r="M3126" t="n">
        <v>0</v>
      </c>
    </row>
    <row r="3127" spans="1:13">
      <c r="A3127" s="1">
        <f>HYPERLINK("http://www.twitter.com/NathanBLawrence/status/960055480721719296", "960055480721719296")</f>
        <v/>
      </c>
      <c r="B3127" s="2" t="n">
        <v>43135.31988425926</v>
      </c>
      <c r="C3127" t="n">
        <v>0</v>
      </c>
      <c r="D3127" t="n">
        <v>594</v>
      </c>
      <c r="E3127" t="s">
        <v>3130</v>
      </c>
      <c r="F3127">
        <f>HYPERLINK("http://pbs.twimg.com/media/DVKKynuW0AAsfjE.jpg", "http://pbs.twimg.com/media/DVKKynuW0AAsfjE.jpg")</f>
        <v/>
      </c>
      <c r="G3127" t="s"/>
      <c r="H3127" t="s"/>
      <c r="I3127" t="s"/>
      <c r="J3127" t="n">
        <v>0</v>
      </c>
      <c r="K3127" t="n">
        <v>0</v>
      </c>
      <c r="L3127" t="n">
        <v>1</v>
      </c>
      <c r="M3127" t="n">
        <v>0</v>
      </c>
    </row>
    <row r="3128" spans="1:13">
      <c r="A3128" s="1">
        <f>HYPERLINK("http://www.twitter.com/NathanBLawrence/status/960055333317046278", "960055333317046278")</f>
        <v/>
      </c>
      <c r="B3128" s="2" t="n">
        <v>43135.31947916667</v>
      </c>
      <c r="C3128" t="n">
        <v>0</v>
      </c>
      <c r="D3128" t="n">
        <v>1481</v>
      </c>
      <c r="E3128" t="s">
        <v>3131</v>
      </c>
      <c r="F3128">
        <f>HYPERLINK("http://pbs.twimg.com/media/DVHzSAyU0AAFMKi.jpg", "http://pbs.twimg.com/media/DVHzSAyU0AAFMKi.jpg")</f>
        <v/>
      </c>
      <c r="G3128" t="s"/>
      <c r="H3128" t="s"/>
      <c r="I3128" t="s"/>
      <c r="J3128" t="n">
        <v>0.4404</v>
      </c>
      <c r="K3128" t="n">
        <v>0.124</v>
      </c>
      <c r="L3128" t="n">
        <v>0.648</v>
      </c>
      <c r="M3128" t="n">
        <v>0.228</v>
      </c>
    </row>
    <row r="3129" spans="1:13">
      <c r="A3129" s="1">
        <f>HYPERLINK("http://www.twitter.com/NathanBLawrence/status/960048679125114880", "960048679125114880")</f>
        <v/>
      </c>
      <c r="B3129" s="2" t="n">
        <v>43135.30111111111</v>
      </c>
      <c r="C3129" t="n">
        <v>0</v>
      </c>
      <c r="D3129" t="n">
        <v>200</v>
      </c>
      <c r="E3129" t="s">
        <v>3132</v>
      </c>
      <c r="F3129" t="s"/>
      <c r="G3129" t="s"/>
      <c r="H3129" t="s"/>
      <c r="I3129" t="s"/>
      <c r="J3129" t="n">
        <v>0</v>
      </c>
      <c r="K3129" t="n">
        <v>0</v>
      </c>
      <c r="L3129" t="n">
        <v>1</v>
      </c>
      <c r="M3129" t="n">
        <v>0</v>
      </c>
    </row>
    <row r="3130" spans="1:13">
      <c r="A3130" s="1">
        <f>HYPERLINK("http://www.twitter.com/NathanBLawrence/status/960048444004970496", "960048444004970496")</f>
        <v/>
      </c>
      <c r="B3130" s="2" t="n">
        <v>43135.30046296296</v>
      </c>
      <c r="C3130" t="n">
        <v>0</v>
      </c>
      <c r="D3130" t="n">
        <v>246</v>
      </c>
      <c r="E3130" t="s">
        <v>3133</v>
      </c>
      <c r="F3130">
        <f>HYPERLINK("http://pbs.twimg.com/media/DVKlgsSVMAI6DEY.jpg", "http://pbs.twimg.com/media/DVKlgsSVMAI6DEY.jpg")</f>
        <v/>
      </c>
      <c r="G3130" t="s"/>
      <c r="H3130" t="s"/>
      <c r="I3130" t="s"/>
      <c r="J3130" t="n">
        <v>0.7846</v>
      </c>
      <c r="K3130" t="n">
        <v>0</v>
      </c>
      <c r="L3130" t="n">
        <v>0.723</v>
      </c>
      <c r="M3130" t="n">
        <v>0.277</v>
      </c>
    </row>
    <row r="3131" spans="1:13">
      <c r="A3131" s="1">
        <f>HYPERLINK("http://www.twitter.com/NathanBLawrence/status/960047455411650561", "960047455411650561")</f>
        <v/>
      </c>
      <c r="B3131" s="2" t="n">
        <v>43135.29773148148</v>
      </c>
      <c r="C3131" t="n">
        <v>0</v>
      </c>
      <c r="D3131" t="n">
        <v>9</v>
      </c>
      <c r="E3131" t="s">
        <v>3134</v>
      </c>
      <c r="F3131">
        <f>HYPERLINK("http://pbs.twimg.com/media/DVFK2cfVoAEup9D.jpg", "http://pbs.twimg.com/media/DVFK2cfVoAEup9D.jpg")</f>
        <v/>
      </c>
      <c r="G3131" t="s"/>
      <c r="H3131" t="s"/>
      <c r="I3131" t="s"/>
      <c r="J3131" t="n">
        <v>0</v>
      </c>
      <c r="K3131" t="n">
        <v>0</v>
      </c>
      <c r="L3131" t="n">
        <v>1</v>
      </c>
      <c r="M3131" t="n">
        <v>0</v>
      </c>
    </row>
    <row r="3132" spans="1:13">
      <c r="A3132" s="1">
        <f>HYPERLINK("http://www.twitter.com/NathanBLawrence/status/960047276075892736", "960047276075892736")</f>
        <v/>
      </c>
      <c r="B3132" s="2" t="n">
        <v>43135.29724537037</v>
      </c>
      <c r="C3132" t="n">
        <v>0</v>
      </c>
      <c r="D3132" t="n">
        <v>164</v>
      </c>
      <c r="E3132" t="s">
        <v>3135</v>
      </c>
      <c r="F3132">
        <f>HYPERLINK("http://pbs.twimg.com/media/DVKcQdWU8AUScI8.jpg", "http://pbs.twimg.com/media/DVKcQdWU8AUScI8.jpg")</f>
        <v/>
      </c>
      <c r="G3132" t="s"/>
      <c r="H3132" t="s"/>
      <c r="I3132" t="s"/>
      <c r="J3132" t="n">
        <v>0.5893</v>
      </c>
      <c r="K3132" t="n">
        <v>0</v>
      </c>
      <c r="L3132" t="n">
        <v>0.832</v>
      </c>
      <c r="M3132" t="n">
        <v>0.168</v>
      </c>
    </row>
    <row r="3133" spans="1:13">
      <c r="A3133" s="1">
        <f>HYPERLINK("http://www.twitter.com/NathanBLawrence/status/960047152209715202", "960047152209715202")</f>
        <v/>
      </c>
      <c r="B3133" s="2" t="n">
        <v>43135.29689814815</v>
      </c>
      <c r="C3133" t="n">
        <v>0</v>
      </c>
      <c r="D3133" t="n">
        <v>8</v>
      </c>
      <c r="E3133" t="s">
        <v>3136</v>
      </c>
      <c r="F3133">
        <f>HYPERLINK("http://pbs.twimg.com/media/DVK0KYwVoAEfNkW.jpg", "http://pbs.twimg.com/media/DVK0KYwVoAEfNkW.jpg")</f>
        <v/>
      </c>
      <c r="G3133" t="s"/>
      <c r="H3133" t="s"/>
      <c r="I3133" t="s"/>
      <c r="J3133" t="n">
        <v>0.5719</v>
      </c>
      <c r="K3133" t="n">
        <v>0.118</v>
      </c>
      <c r="L3133" t="n">
        <v>0.673</v>
      </c>
      <c r="M3133" t="n">
        <v>0.209</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