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<sst xmlns="http://schemas.openxmlformats.org/spreadsheetml/2006/main" uniqueCount="3181">
  <si>
    <t>id</t>
  </si>
  <si>
    <t>created_at</t>
  </si>
  <si>
    <t>fav</t>
  </si>
  <si>
    <t>rt</t>
  </si>
  <si>
    <t>text</t>
  </si>
  <si>
    <t>media1</t>
  </si>
  <si>
    <t>media2</t>
  </si>
  <si>
    <t>media3</t>
  </si>
  <si>
    <t>media4</t>
  </si>
  <si>
    <t>compound</t>
  </si>
  <si>
    <t>neg</t>
  </si>
  <si>
    <t>neu</t>
  </si>
  <si>
    <t>pos</t>
  </si>
  <si>
    <t>This Right Here 👇
If her memory wasn’t strong enough to testify 
Than why in the hell is this thing carrying on ? 
Oh because #moleg wants to oust greitens to get their greedy Tax credits back ! https://t.co/35Mi7DG17w</t>
  </si>
  <si>
    <t>RT @magathemaga1: Good morning to everybody but @scottfaughn 
TAX CREDIT COUP ARTISTS busy pushing 3 pronged attack last night on eve of s…</t>
  </si>
  <si>
    <t>@MariaChappelleN @ksdknews Our senator is Fierce ! she battles serious dangerous radioactive waste for her constituents</t>
  </si>
  <si>
    <t>@ksdknews WAKE UP It’s the  lawmakers that are not credible 
They took hundreds of thousands of dollars from from Low Income Housing Tax Credit Groups
Many of them are tainted !  They want greitens out so they can turn their scam back on
Follow the Money who side the 120k https://t.co/5ujkz81n4F</t>
  </si>
  <si>
    <t>@KathieConway @BigBadReporter @EricGreitens Kathie you took money from LIHTC groups 
Shut Up, you’re a paid schill to screw the people over https://t.co/1rLiOMIXLA</t>
  </si>
  <si>
    <t>RT @magathemaga1: @BigBadReporter @EricGreitens What?
Shes also majorly conflicted and prejudged the case https://t.co/Y3Zke2zOqo</t>
  </si>
  <si>
    <t>RT @ResignNowKim: A poem for Scott: “Fee Fie Foh @scottfaughn , I smell the stench of a hillbilly pawn. From law he can hide; pretend his c…</t>
  </si>
  <si>
    <t>@stltoday Good Luck to Jeff Small, drug addiction is an evil battle to fight.  Wish him well</t>
  </si>
  <si>
    <t>RT @Str8DonLemon: @ST_Designs @CaseyNolen @tonymess She isnt a victim.
KS ADMITS HER MEMORY ISN'T RELIABLE - AUDIO!
"...The Memory that I…</t>
  </si>
  <si>
    <t>RT @Str8DonLemon: @strmsptr @CaseyNolen "...The Memory that I have isn't strong enough to testify to..."
👉No evidence.
👉Memory unreliable.…</t>
  </si>
  <si>
    <t>@jrosenbaum @CaseyNolen The Stacey newman part of the story is not true , the text messages are not those of somebody stopping a story.</t>
  </si>
  <si>
    <t>@JCali1967 @jrosenbaum @CaseyNolen He was not elected when this occurred  and a few memebers of the Missouri Legislator have had affairs while in office with lobbyists.</t>
  </si>
  <si>
    <t>@RealTravisCook @blackwidow07 @Markknight45 @magathemaga1 @VisioDeiFromLA @Avenge_mypeople @grcfay @EricGreitens @TeamGreitens @Rep_TRichardson @joel_capizzi @RSF_LAW @SKOLBLUE1 @EdBigCon @Hope4Hopeless1 @strmsptr @Lautergeist @MOHouseGOP She could not testify to the phone!   If she could not testify to a phone that why the hell did Kim Gardner waste all that money trying to  make a case on something that didn’t happen.   It’s like saying a victim was shot , but there’s no gun and no bullets every hit them</t>
  </si>
  <si>
    <t>@HotPokerPrinces Add Rep. J. Eggleston
Rep. Curtis Trent, 
They take LIHTC $$</t>
  </si>
  <si>
    <t>@CaseyNolen What about the part where she cut Christ kosters hair too
And these tapes were offered to kosters / Roy temple</t>
  </si>
  <si>
    <t>@CaseyNolen It’s a lie about Stacey Newman... those are not the texts 
Of a person trying to stop a story https://t.co/8Kh9HdHvmI</t>
  </si>
  <si>
    <t>@FOX2now Trent &amp;amp; Eggleston take money from Low Income Housing Tax Credit Lobbyists</t>
  </si>
  <si>
    <t>Has anybody Seen Scott Faughn Today ? 
#FelonFaughn #BagManScott #scammingScott 
#moleg #suboenaEvader https://t.co/zeOhzdQzg2</t>
  </si>
  <si>
    <t>@andybankertv @FOX2now @stlcao @KPLR11 @EricGreitens Im pleased to say Kim Gardner is a moron , where are her beliefs in all the victims of violent crimes that she did not prosecute?</t>
  </si>
  <si>
    <t>@FOX2now Why doesn’t the FBI chase down Scott Faughn &amp;amp; the source of the 120 K cask,  sterling bank &amp;amp; JES holdings</t>
  </si>
  <si>
    <t>RT @MSTLGA: $.58 of every LIHTC was squandered away for decades.  Scamming taxpayers out 1.5 Billion Dollars.  Greitens stopped the scam&amp;amp; s…</t>
  </si>
  <si>
    <t>Hmmm Lots of Legislators took money from 
Low Income Housing Tax Credit Pac
Now they want to Impeach the Governor for shutting down the corrupt program they bilked the taxpayers for.
Where’s your moral turpitude  for scamming people ! 
#moleg #greitens #lihtc https://t.co/AtDCpesPAT</t>
  </si>
  <si>
    <t>@nicolergalloway How about auditing deadbeat Scott Faughn?  The public deserve to know about corrupt cash.     
He evaded his supoena have Jay Barnes haul him in.</t>
  </si>
  <si>
    <t>RT @nicolergalloway: The attorney general’s position deepens my concerns about the appropriateness of using taxpayer dollars for the govern…</t>
  </si>
  <si>
    <t>RT @Avenge_mypeople: Look, this special prosecutor is so biased, she would be good with convicting men by using anonymous women. That works…</t>
  </si>
  <si>
    <t>RT @EricGreitens: An honor to be with families in Kingdom City to remember the service and sacrifice of fallen firefighters. https://t.co/4…</t>
  </si>
  <si>
    <t>RT @Mizzourah_Mom: @EricGreitens Thank you, Governor! I appreciate all you are doing for the state of Missouri. Praying for you and your lo…</t>
  </si>
  <si>
    <t>@MoLawyersMedia @Change  https://t.co/3J1UR5QKus</t>
  </si>
  <si>
    <t>@MoLawyersMedia Lawyers sign the petition to allow Greitens Due Process
Oppose HR2 
Todd Richardson: Missouri Representatives Oppose HR 2. - Sign the Petition! https://t.co/VvLeFcBMWz via @Change</t>
  </si>
  <si>
    <t>@HotPokerPrinces These took money from LIHTC
These #Moleg are swamp creatures and have no moral turpitude and should not be voting in any impeach
⬇️⬇️⬇️
Todd Richardson 
Caleb Rowdan 
Shamed Dogan
Nicholas Schroer 
Elijah Haahr 
jamilah Nasheed 
Eric Schmitt 
Doug Libla 
kathie Conway</t>
  </si>
  <si>
    <t>RT @HotPokerPrinces: Let’s Play  
Is Your Legislator a Swamp Creature 🧟‍♂️🧟‍♀️
Go to https://t.co/RcPJFwdEMZ   Search candidates reports…</t>
  </si>
  <si>
    <t>@ChrisDavisMMJ @ksdknews #KimShady please just give it up already 
There is no picture 
Chase the violent criminals ! https://t.co/kelRHGz3nu</t>
  </si>
  <si>
    <t>RT @ChrisDavisMMJ: Eric Greiten’s attorney, Ed Dowd, explains what happened in court today. @ksdknews #Greitens https://t.co/4H21pYpNOz</t>
  </si>
  <si>
    <t>@KCStar Subpoena  sterling bank and Scott Faughn</t>
  </si>
  <si>
    <t>RT @SheenaGreitens: Last week, two bills passed the MO General Assembly that are great news for kids in foster care &amp;amp; for foster care &amp;amp; ado…</t>
  </si>
  <si>
    <t>@TrumpChess I don’t open my door for anybody !</t>
  </si>
  <si>
    <t>RT @SykesforSenate: Great news for #Missouri! #MOSen #MAGA https://t.co/DrFxc3BVtF</t>
  </si>
  <si>
    <t>Why people conceal carry 
My entire neighborhood is packing heat
This is f’d up !    Don’t do it kids !
#stl https://t.co/55VkDl13MW</t>
  </si>
  <si>
    <t>RT @YearOfZero: Support Gov. Eric Greitens by signing and sharing these two petitions. 
(1) Oppose impeachment and/or censure.  
https://t…</t>
  </si>
  <si>
    <t>No thanks https://t.co/J1YWbWMAXz</t>
  </si>
  <si>
    <t>@MariaChappelleN If Moleg put 1/4 the effort to tackle the ugly state statistic Of being #1 in Black Homocide over Impeachment efforts,  Missouri would be in a better place.   We don’t need another Summer of rising Homocides &amp;amp; people’s life’s skills shouldnt be trauma training ! Do better 4 MO</t>
  </si>
  <si>
    <t>@MariaChappelleN Day after day headlines are another violent Homocide, deflect to root cause solutions.   I can’t help but wonder what if all the squandered money LIHTC developers got &amp;amp; all the money wasted on Greteitens trial.  If all that money was invested in kids would we see this article ?</t>
  </si>
  <si>
    <t>@HennessySTL @Barnes_Law My treat,  a one way ticket !</t>
  </si>
  <si>
    <t>RT @HennessySTL: North Korea has a stronger sense of justice than the Crooks in the Missouri House of Representatives. Greasy Jay @Barnes_L…</t>
  </si>
  <si>
    <t>RT @Yankeeslayers: https://t.co/oaTGf8SGuS</t>
  </si>
  <si>
    <t>This is Why They want to impeach Governor Greitens.
Tax Credit Millionaires think they run Missouri 
They took 1.3 Billion dollars, #Greitens ended the scam &amp;amp; stood up to Them ripping us off ! What did #Moleg do ?  For Year, they awarded &amp;amp; allowed taxpaers to be ripped off https://t.co/611InOBNcn</t>
  </si>
  <si>
    <t>@angiericono @KathieConway @EricGreitens @KCTV5 Forget commas , Follow the 120k cash payments 
We need to know who is behind them &amp;amp; how they play out</t>
  </si>
  <si>
    <t>@tkinder @MissouriGOP @EricGreitens @GOP Same Here Terry.  Same !</t>
  </si>
  <si>
    <t>RT @tkinder: I have been a Republican my whole life. But if .@MissouriGOP intends to impeach and remove Governor .@EricGreitens I promise t…</t>
  </si>
  <si>
    <t>RT @tkinder: If the Republican #moleg thinks they don’t need the support of Governor .@EricGreitens and President .@realDonaldTrump voters,…</t>
  </si>
  <si>
    <t>RT @willscharf: This is awesome. https://t.co/fSfC4TWrcK</t>
  </si>
  <si>
    <t>RT @CStamper_: Unlike Soros-backed prosecutors, lobbyists, greedy special interests, self-interested politicians, and the liberal media, re…</t>
  </si>
  <si>
    <t>RT @HorwitzKelly: @FOX2now This legislature is getting pressure from lobbyists and big money!!  What has happened with our governor is abso…</t>
  </si>
  <si>
    <t>@Avenge_mypeople @jallman971 Bunch of sick f*cks</t>
  </si>
  <si>
    <t>RT @grcfay: Is there any Justice in the state of MO? https://t.co/V5dipMTZTg</t>
  </si>
  <si>
    <t>RT @stlouisbiz: Prosecutors said they are dropping the criminal charge against Gov. Eric Greitens and will seek a special prosecutor to ref…</t>
  </si>
  <si>
    <t>@stlouisbiz Sign the petition against the unjust proceeding 
Oppose HR 2
Allow Governor Greitens a fair Process
With a Defense &amp;amp; Cross examination 
https://t.co/W5F4uL57Bo https://t.co/BtWXQiViro</t>
  </si>
  <si>
    <t>@Ho8Go8L1N We have 2 petitions for Governor grietens , please sign
https://t.co/W5F4uL57Bo</t>
  </si>
  <si>
    <t>@stephenl65 Please sign the petition 
https://t.co/W5F4uL57Bo</t>
  </si>
  <si>
    <t>RT @KCStar: The top five reasons Missouri lawmakers must impeach Gov. Eric Greitens https://t.co/qc1gRaS47l</t>
  </si>
  <si>
    <t>@KCStar Please sign the petition to stop the witch hunts
Oppose HR2  Moleg is setting the rule as their accusations &amp;amp; not allowing Greitens a defense !
https://t.co/W5F4uL57Bo https://t.co/aiuP4tRWLf</t>
  </si>
  <si>
    <t>RT @AIIAmericanGirI: No charge on Greitens on campaign finance report https://t.co/4sPwF1XPYU @true_pundit #AAG</t>
  </si>
  <si>
    <t>@AIIAmericanGirI @true_pundit Sign the petition to stop HR2 Allow MoGov Greitens Due Process, defense, &amp;amp; cross examination during these witch hunt proceedings 
https://t.co/W5F4uL57Bo https://t.co/2UIGAxhosL</t>
  </si>
  <si>
    <t>@pielab201 @RadioFreeAllman I saw that too and thought dumb of @ksdk 
Why don’t they Investigate why Stacey newman was involved with collusion with mo House Dems , her stepson, Kim Gardner &amp;amp; greitens Mistress &amp;amp; her lawyers</t>
  </si>
  <si>
    <t>RT @bgyrl4life: St. Louis. Where children routinely get shot. They would rather patch them up than deal with the root issues of crime. http…</t>
  </si>
  <si>
    <t>RT @bgyrl4life: Paul McKee's scheme was clearly exposed. He didn't just over-inflate, he lied and defrauded taxpayers out of millions. Why…</t>
  </si>
  <si>
    <t>RT @bgyrl4life: They have more evidence against McKee than Greitens, real evidence of defrauding taxpayers millions that came to light duri…</t>
  </si>
  <si>
    <t>RT @FOX2now: Victim in homicide dropped off at hospital https://t.co/J96LleCApJ</t>
  </si>
  <si>
    <t>@FOX2now Sign the petition to OPPOSE HR2 #greitens 
https://t.co/W5F4uL57Bo https://t.co/Y445ToTmVq</t>
  </si>
  <si>
    <t>RT @JW1057: @FOX2now Support Gov. Eric Greitens by signing and sharing these two petitions. 
(1) Oppose impeachment and/or censure.  
http…</t>
  </si>
  <si>
    <t>@FOX2now Sign the petition to stop the Unjust Un American proceeding of HR2   Allow #greitens Due Process &amp;amp; denfense ! https://t.co/MRHMvUw38l</t>
  </si>
  <si>
    <t>RT @KMOV: Police investigating double homicide in North City https://t.co/WVGBso3bVR https://t.co/4FfJhMeXxl</t>
  </si>
  <si>
    <t>RT @KMOV: 2 injured in 2 different overnight shootings in South City https://t.co/8zMVe34DOP</t>
  </si>
  <si>
    <t>@MariaChappelleN Senator, set up an Amazon registry to benefit Missouri female inmates.  A good heart, a credit card &amp;amp; a few clicks can do a world of good ❤️</t>
  </si>
  <si>
    <t>RT @STLCrimeBeat: Two victims shot, killed in north St. Louis Saturday night https://t.co/mnhbehanv1</t>
  </si>
  <si>
    <t>@TwitterSupport  what’s up with the shaddow ban
Please remove  thanks 
#ShadowBanned  #help</t>
  </si>
  <si>
    <t>@Thomas1774Paine Todd Richardson: Missouri Representatives Oppose HR 2. - Sign the Petition! https://t.co/VvLeFcBMWz via @Change</t>
  </si>
  <si>
    <t>@therealroseanne @Thomas1774Paine Todd Richardson: Missouri Representatives Oppose HR 2. - Sign the Petition! https://t.co/VvLeFcBMWz via @Change</t>
  </si>
  <si>
    <t>@therealroseanne @Thomas1774Paine they are trying to do to our Governor @EricGreitens in Missouri 
All over him cutting a low income housing tax credit scam 
Missouri House of Representatives: Urgent! Stop the Coup Against Gov. Eric Greitens - Sign the Petition! https://t.co/YB43ZY94Jf via @Change</t>
  </si>
  <si>
    <t>RT @JCunninghamMO: What is it people don’t understand about conduct while “in office?”  Seems so simple and straight forward. #moleg. https…</t>
  </si>
  <si>
    <t>RT @HennessySTL: Jeff Sessions. Total failure.</t>
  </si>
  <si>
    <t>@JohnLamping Sign the petition to stop HR2 
Todd Richardson: Missouri Representatives Oppose HR 2. - Sign the Petition! https://t.co/ZiVF7fK7GH via @Change</t>
  </si>
  <si>
    <t>@Carl_Bearden The swamp wants to stay in office and impeach our governor. No way   Sign petition to stop HR2
Todd Richardson: Missouri Representatives Oppose HR 2. - Sign the Petition! https://t.co/ZiVF7fK7GH via @Change</t>
  </si>
  <si>
    <t>Keep this on your radar # Missouri 
Can you imagine 32 straight years of a reign of thieves ?
Hell No Mo !  NO career  #moleg https://t.co/kfMKfuMV4Z</t>
  </si>
  <si>
    <t>@JohnLamping Imagine 32 years straight of thievery .. HELL NO</t>
  </si>
  <si>
    <t>RT @JCunninghamMO: Why?  After two prosecutors dropped their cases for lack of evidence, moving forward by the legislature looks like a per…</t>
  </si>
  <si>
    <t>@JCunninghamMO @JohnLamping @Rep_TRichardson @ronrichard1 @Mikelkehoe @BobOnderMO @MikeCierpiot @elijahhaahr @RockneMiller @KeithJFrederick It’s a witch hunt</t>
  </si>
  <si>
    <t>RT @JCunninghamMO: After two prosecutors dropped their cases, moving forward against @EricGreitens looks suspect and not like justice. #mol…</t>
  </si>
  <si>
    <t>@MOHOUSECOMM @Rep_TRichardson Todd Richardson: Missouri Representatives Oppose HR 2. - Sign the Petition! https://t.co/ZiVF7fK7GH via @Change</t>
  </si>
  <si>
    <t>RT @TomJEstes: I know some people don’t want to hear this, but Sarah Sanders is an outstanding press secretary. https://t.co/FSF1NnX9cV</t>
  </si>
  <si>
    <t>@TomJEstes She’s awesome when u good u good</t>
  </si>
  <si>
    <t>@MarvinStehr @jaybarnes5 @NickBSchroer Sign this petition to oppose HR2
Todd Richardson: Missouri Representatives Oppose HR 2. - Sign the Petition! https://t.co/ZiVF7fK7GH via @Change</t>
  </si>
  <si>
    <t>@MarvinStehr @jaybarnes5 @NickBSchroer I feel the same</t>
  </si>
  <si>
    <t>RT @MarvinStehr: @jaybarnes5 @NickBSchroer #Moleg I will never support nor vote for anyone that supports or votes for #GreitensImpeachment!…</t>
  </si>
  <si>
    <t>@tkinder @EricGreitens #truth #moleg 💩’s on our vote 
&amp;amp; make their own rules to suit their donors</t>
  </si>
  <si>
    <t>RT @tkinder: Live from the #moleg special session to overturn the election of Governor .@EricGreitens https://t.co/GP0tYQIzXp</t>
  </si>
  <si>
    <t>@rnjulesb @FOX2now Oppose HR2
Todd Richardson: Missouri Representatives Oppose HR 2. - Sign the Petition! https://t.co/ZiVF7fK7GH via @Change</t>
  </si>
  <si>
    <t>RT @Avenge_mypeople: @Sticknstones4 @ResignNowKim @ScottCharton @HennessySTL @RightSideUp313 @SKOLBLUE1 @EdBigCon @blackwidow07 @RealTravis…</t>
  </si>
  <si>
    <t>@CristieMoss1963 Sign the petition, show Moleg we want to be heard 
Todd Richardson: Missouri Representatives Oppose HR 2. - Sign the Petition! https://t.co/ZiVF7fK7GH via @Change</t>
  </si>
  <si>
    <t>@SheenaGreitens Todd Richardson: Missouri Representatives Oppose HR 2. - Sign the Petition! https://t.co/ZiVF7fK7GH via @Change</t>
  </si>
  <si>
    <t>@chapman_sports @SheenaGreitens @GovGreitensMO Todd Richardson: Missouri Representatives Oppose HR 2. - Sign the Petition! https://t.co/ZiVF7fK7GH via @Change</t>
  </si>
  <si>
    <t>RT @chapman_sports: @SheenaGreitens Ms. Greitens, I had a thought as Todd Richardson was bragging on accomplishments of the past year, want…</t>
  </si>
  <si>
    <t>@SoCoTimes He’s got voters standing up for him 
Moleg want their 140 Million dollar LIHTC scam  back 
And greitens out.</t>
  </si>
  <si>
    <t>@JeffQuibell Please consider to sign this petition to stop the impeachment process 
Todd Richardson: Missouri Representatives Oppose HR 2. - Sign the Petition! https://t.co/ZiVF7fK7GH via @Change</t>
  </si>
  <si>
    <t>RT @JeffQuibell: People think that I am blindly supporting Gov Eric Greitens, but what they don’t understand is I don’t support impeaching…</t>
  </si>
  <si>
    <t>@TheEconomist Your article lacks  any facts about the accusations and motives behind the witch hunt  refer to this article 
The witnesses were paid by special interests 
https://t.co/PeTCiouYJe</t>
  </si>
  <si>
    <t>RT @Mizzourah_Mom: @VisioDeiFromLA Wow! How is that legal? I thought a defense team had the right to cross-examination. They don't want fai…</t>
  </si>
  <si>
    <t>RT @JW1057: @realDonaldTrump Gov. Eric Greitens: Sign petition in support and pass along link to petition.
https://t.co/k8iYXhjOl5</t>
  </si>
  <si>
    <t>@stlouisbiz End the witch hunts against greitens 
Todd Richardson: Missouri Representatives Oppose HR 2. - Sign the Petition! https://t.co/ZiVF7fK7GH via @Change</t>
  </si>
  <si>
    <t>@realist_tg Save our Governor, please sign the petition &amp;amp; RT 
Todd Richardson: Missouri Representatives Oppose HR 2. - Sign the Petition! https://t.co/ZiVF7fK7GH via @Change</t>
  </si>
  <si>
    <t>@mdpeavy @stevekraske @KCStarOpinion @ColleenMNelson Todd Richardson: Missouri Representatives Oppose HR 2. - Sign the Petition! https://t.co/ZiVF7fK7GH via @Change</t>
  </si>
  <si>
    <t>@mike_pence @HawleyMO @braun4indiana @JimRenacci @realDonaldTrump Todd Richardson: Missouri Representatives Oppose HR 2. - Sign the Petition! https://t.co/ZiVF7fK7GH via @Change</t>
  </si>
  <si>
    <t>@AmericasHitman @mike_pence @HawleyMO @braun4indiana @JimRenacci @realDonaldTrump Save Our Governor! oppose HR2
Todd Richardson: Missouri Representatives Oppose HR 2. - Sign the Petition! https://t.co/ZiVF7fK7GH via @Change</t>
  </si>
  <si>
    <t>RT @AmericasHitman: @mike_pence @HawleyMO @braun4indiana @JimRenacci @realDonaldTrump @HawleyMO threw away his chance at being a Senator wh…</t>
  </si>
  <si>
    <t>RT @RealTravisCook: Dear #MoLeg:  We elected Governor #Greitens.  We are pleased with his performance thus far.  We also elected you.  This…</t>
  </si>
  <si>
    <t>RT @CStamper_: These sham charges are disappearing left and right. It’s good to see that when push comes to shove and facts and evidence ar…</t>
  </si>
  <si>
    <t>@SKOLBLUE1 @FoxNews She’s got the wave down pat , it’s adorable</t>
  </si>
  <si>
    <t>@MariaChappelleN She is now HRH The Duchess of Sussex</t>
  </si>
  <si>
    <t>@ResignNowKim @ScottCharton @HennessySTL @RightSideUp313 @SKOLBLUE1 @EdBigCon @blackwidow07 @Avenge_mypeople @RealTravisCook @KMOV @HotPokerPrinces If anybody gets arrested may i suggest calling @RSF_LAW 
And let them go SCORCHED EARTH 🔥🌏 defense 
For stupid fake accusations</t>
  </si>
  <si>
    <t>@ResignNowKim @ScottCharton @HennessySTL @RightSideUp313 @SKOLBLUE1 @EdBigCon @blackwidow07 @Avenge_mypeople @RealTravisCook @KMOV @HotPokerPrinces Call @FBIStLouis  and ask them to trace the 120k cash that @scottfaughn delivered</t>
  </si>
  <si>
    <t>Why doesn’t #moleg want to get to the bottom of the 120K?
Yeah NO , we Demand to know who is buying your votes ! 
#greitens #followthemoney #NOIMPEACH https://t.co/NKDPmHrfmz</t>
  </si>
  <si>
    <t>@blackwidow07 @MarkCoulterKC @ResignNowKim @SammyPanettiere @AGJoshHawley @HennessySTL @Avenge_mypeople @EdBigCon @RightSideUp313 @Norasmith1000 @SKOLBLUE1 @RealTravisCook @HotPokerPrinces @EricGreitens @scottfaughn @JW1057 @stltoday @AP4Liberty Facts do matter! Fact is moleg allowed themselves to be controlled by LIHTC &amp;amp;  allowed them to be abused.  Greitens shut it down ! 
This a manufactured witch hunt</t>
  </si>
  <si>
    <t>I love this lady ! https://t.co/XyIdi8rccz</t>
  </si>
  <si>
    <t>@RadioFreeAllman @jallman971 Allman Army , please sign &amp;amp; rt
SAVE OUR GOVERNOR 
Todd Richardson: Missouri Representatives Oppose HR 2. - Sign the Petition! https://t.co/1Ar4wszzi5 via @Change</t>
  </si>
  <si>
    <t>@SpeakerTimJones @Rep_TRichardson Todd Richardson: Missouri Representatives Oppose HR 2. - Sign the Petition! https://t.co/1Ar4wszzi5 via @Change</t>
  </si>
  <si>
    <t>Todd Richardson: Missouri Representatives Oppose HR 2. - Sign the Petition! https://t.co/1Ar4wszzi5 via @Change</t>
  </si>
  <si>
    <t>RT @AndrewPollackFL: Do you support single point entries with metal detectors and armed guards for our schools?
Vote and retweet please!
#…</t>
  </si>
  <si>
    <t>@Eric_Schmitt My feelings about those in #moleg voting for Impeachment</t>
  </si>
  <si>
    <t>@StLCountyRepub @BillEigel Now uphold the will of the voters &amp;amp; stop the witch hunt</t>
  </si>
  <si>
    <t>@blackwidow07 That’s so cool !</t>
  </si>
  <si>
    <t>RT @tkinder: Live from the #moleg - We didn’t like the result of the last election so let’s undo it. Not so fast Swampy McSwampthing... htt…</t>
  </si>
  <si>
    <t>RT @tkinder: At this point #moleg is basically a runaway legislature believing it’s desire to undo the election of Governor .@EricGreitens…</t>
  </si>
  <si>
    <t>@tkinder @EricGreitens @MissouriGOP Feel exactly the same ! I will re register as an independent</t>
  </si>
  <si>
    <t>RT @tkinder: That won’t stop #moleg though. They aren’t about to be swayed by facts because they are on a mission to overturn the election…</t>
  </si>
  <si>
    <t>@magathemaga1 @GailBeatty @EricGreitens Word!  They’re all Mum about  Stacey newman &amp;amp; her LIHTC stepson</t>
  </si>
  <si>
    <t>@HennessySTL @EdBigCon Lol 😂 M.C BILL is at the 🎤 mic</t>
  </si>
  <si>
    <t>W O K E    A F    V O T E R 
#Democrats #Republicans #independents #libertarians
#turncoat #Moleg #Mosen #MoSen #DrainTheSwamp 
#lobbyists #LIHTC #Greitens #corruption  #VoteThemOut #IStandwithGreitens #fiscalconservative #missouri https://t.co/pRtvXxgU8o</t>
  </si>
  <si>
    <t>RT @melody_grover: "It is clear" is best translated as "I can't make a compelling argument with evidence so just take my word for it. I wen…</t>
  </si>
  <si>
    <t>RT @melody_grover: Those pushing impeachment are trying to oust #mogov over unproven allegations of "moral turpitude" and for calling his f…</t>
  </si>
  <si>
    <t>@ResignNowKim @KMOV @HawleyMO @HennessySTL @EdBigCon @RightSideUp313 @RealTravisCook @HotPokerPrinces @SKOLBLUE1 @Avenge_mypeople @blackwidow07 Priorities, read statues or protein shakes  &amp;amp; iron pumps</t>
  </si>
  <si>
    <t>RT @melody_grover: Someone call Ringling Brothers, because PT Barnum wants his circus back from @jaybarnes5. Somehow #moleg has managed to…</t>
  </si>
  <si>
    <t>@melody_grover @jaybarnes5 haul in the subpoena evading Elephant
And parade the source of the 120k cash</t>
  </si>
  <si>
    <t>@KMOVMatt @KMOV We’re tired of him &amp;amp; his BS witch hunt sham committee</t>
  </si>
  <si>
    <t>RT @JohnLamping: #moleg If special interests can take out a sitting MOGOV think what will happen to you when you don't vote as you're told…</t>
  </si>
  <si>
    <t>RT @JohnLamping: #moleg go home stay there till Veto Session. Youve been played by lobbyists n leadership. Think how much has changed since…</t>
  </si>
  <si>
    <t>RT @SheenaGreitens: Delighted to see the Missouri General Assembly pass both #SB819 and #SB800! We worked hard last year to develop many of…</t>
  </si>
  <si>
    <t>RT @JCunninghamMO: This decision is significant in bringing closure to the @EricGreitens investigations.  https://t.co/gBdo7vErBy</t>
  </si>
  <si>
    <t>@jrosenbaum @EricGreitens Here Kim Gardner declines to answers questions from Justin Andrews, she Too is an elected official 
https://t.co/rk9pGqiJ14</t>
  </si>
  <si>
    <t>RT @YearOfZero: Why don’t you audit the Low Income Housing Tax Credit or how much month was spent on lying Kim Gardner’s farce?
#moleg #mo…</t>
  </si>
  <si>
    <t>@J_Hancock @GailBeatty What about the criminal acts the Mo House Dem leadership &amp;amp; Stacey newman participated in With Katrina sneed and Kim Gardner ?</t>
  </si>
  <si>
    <t>RT @JW1057: @KCStar Evidence to support conviction of protestors. No evidence to support conviction of Greitens for alleged false statement…</t>
  </si>
  <si>
    <t>@MoLawyersMedia She ruined herself by trying to manipulate a witness, and issue a case without evidence.  There was no photo
She lied !  The public defenders office has complaints about Stlcao too. #kimshady won't make a case with hard evidence &amp;amp; witnesses. Acquittals are at record high</t>
  </si>
  <si>
    <t>@SorosInSTL The crooked crew of corruption</t>
  </si>
  <si>
    <t>RT @jrosenbaum: This is related to the MEC consent order that Greitens signed in April 2017. AG Hawley turned over evidence that @EricGreit…</t>
  </si>
  <si>
    <t>RT @BCunninghamN: @mattdpearce Your article on Greitens was just read verbatim on the MO Senate floor. How do we get more lawmakers to devo…</t>
  </si>
  <si>
    <t>@BCunninghamN @mattdpearce How do we get more lawmakers to follow the money ?
Enforce Scott faughns supoena 
And trace the money in all the LIHTC PACs to each politician 
Matt’s article was superior journalism</t>
  </si>
  <si>
    <t>RT @CStamper_: The words of a voter: “Guilty in the court of public opinion isn’t what we as Missourians should base our verdict on. Let th…</t>
  </si>
  <si>
    <t>@kcur Follow the Money , who gave Faughn the 12Ok cash to deliver https://t.co/uJJciObCoy</t>
  </si>
  <si>
    <t>RT @area1351: @DebFriedell @LRB What's really bizarre here is that your claim to being close to #SheenaGreitens and then you backstabbed he…</t>
  </si>
  <si>
    <t>RT @carlyle65270: Greitens: "Rural Missouri is coming back" https://t.co/XMVhdHzFTq</t>
  </si>
  <si>
    <t>@daniel4missouri @SykesforSenate @Change Mike Parsons isn’t better he’s worse, he will reinstate a Low Income house tax credit and let developers to continue to run amuck scamming Missouri taxpayers 
They took .60 for every dollar granted &amp;amp; spent .40to actually build.  140 Million per year  greitens ended it</t>
  </si>
  <si>
    <t>@SykesforSenate @Mizzourah_Mom @Change Thank you for standing Up !  This shows your character 
And eludes to how you will stand up in Washington DC and fight swamp corruption</t>
  </si>
  <si>
    <t>RT @SykesforSenate: Missouri House of Representatives: Urgent! Stop the Coup Against Gov. Eric Greitens - Sign the Petition! https://t.co/8…</t>
  </si>
  <si>
    <t>@APCentralRegion Missouri House of Representatives: Urgent! Stop the Coup Against Gov. Eric Greitens - Sign the Petition! https://t.co/YB43ZY94Jf via @Change</t>
  </si>
  <si>
    <t>@KMOV Excuses &amp;amp; blame .. failure to take responsibility for her own actions.  Remove greitens &amp;amp; look at her job performance, it’s just as poor.  Public defenders, judges, &amp;amp; alederman are not happy with her</t>
  </si>
  <si>
    <t>@971FMTalk @anniefreyshow @NickBSchroer Please sign the petition 
Missouri House of Representatives: Urgent! Stop the Coup Against Gov. Eric Greitens - Sign the Petition! https://t.co/YB43ZY94Jf via @Change</t>
  </si>
  <si>
    <t>@JCunninghamMO Please sign the petition 
Missouri House of Representatives: Urgent! Stop the Coup Against Gov. Eric Greitens - Sign the Petition! https://t.co/YB43ZY94Jf via @Change</t>
  </si>
  <si>
    <t>RT @JCunninghamMO: #MOLeg beware. This letter writer expresses what a lot of your base strongly think.  https://t.co/ReVLsgmItg</t>
  </si>
  <si>
    <t>@JCunninghamMO Thanks for sharing Jane, I strongly concur with the writer</t>
  </si>
  <si>
    <t>@JohnLamping Why don’t they enforce the supoena they issued ?
They are allowing The Hillbilly to Evade it 
#greitens #moleg  #followthemoney #lihtc #sterlingbank #findfaughn https://t.co/2o0FP7ewWM</t>
  </si>
  <si>
    <t>@NickBSchroer No way to review this evidence effectively,  jay Barnes needs to slow dow his witch hunt! Also why doesn’t he go to court to bring in his buddy Scott Faughn and find the source of the Money.Who gave Scott Faughn 70k Cash to deliver to al Watkins who is Skylerw 50k</t>
  </si>
  <si>
    <t>RT @Avenge_mypeople: Sounds like the description of the welfare state, to me. They get to perform cronyism, enriching their developer/donor…</t>
  </si>
  <si>
    <t>RT @JasonGCrowell: Follow the money trail behind the Greitens’ invasion of privacy case https://t.co/9PmkkLnOBP via @fox2now</t>
  </si>
  <si>
    <t>From June 30, 2017  The Governor’s Committee On simple,Fair,Low Taxes. Where did it go wrong ? 
Pages 13-19 ? Report was to Reform
Why isn’t #Moleg standing up for Taxpayers?  A witch hunt to oust #greitens &amp;amp; reinstate Low Income Housing Tax Credits.  
https://t.co/pzZ9ounZEU</t>
  </si>
  <si>
    <t>@RSF_LAW  
Best Interview of the week 
Go all out Scorched Earth 🔥 🌏 
New Hashtag #SorchedEarthScott 
#greitens #kimshady #stl https://t.co/9fCeH1TuUx</t>
  </si>
  <si>
    <t>@ws_missouri Will i have not attacked you or called your paper names! 
Please remove me from this tweet 
I actuall defended you yesterday in a thread praising your article on LIHTC and posted the link to the article in that thread</t>
  </si>
  <si>
    <t>@MissouriPress thank you for kicking out Scott Faughn &amp;amp; the Missouri Times.  He has lied about the money, and evading supoena is unethical.  His behavior is that of tabloid fakenews news</t>
  </si>
  <si>
    <t>@jrosenbaum  did you see this ⬇️
Coincidence payment 
Nah ,  more like execution payment.   Cash in hand let’s get down to business https://t.co/LFmfChAV8Y</t>
  </si>
  <si>
    <t>@dubvNOW Good we don’t want him to 
We elected him to do a job ,  hes exposed the Jefferson City swamp corruption &amp;amp; they want him out !</t>
  </si>
  <si>
    <t>@SuchHate Was a horrible read, yawn .. sounded like the author was jealous her friend got married &amp;amp; had a family.
The author was clearly a frienemy</t>
  </si>
  <si>
    <t>@stlpublicradio Expect it to stop ! It’s a witch Hunt 
SAY NO MORE  to SCAM ARTISTS with their LIHTC profits ripping off the taxpayers  LEAVE GREITENS ALONE
TIMES UP Moleg , you can no longer Bilk us for a profit of .60 cents on every dollar.</t>
  </si>
  <si>
    <t>RT @YearOfZero: 8. Please sign petition
Outlines point by point breakdown of why this is a total witch hunt &amp;amp; a coup
I encourage you to r…</t>
  </si>
  <si>
    <t>RT @YearOfZero: 2. For too long, rural #Missouri had been forgotten...
@TeamGreitens @MissouriGOP 
#moleg #mogov #greitens https://t.co/f…</t>
  </si>
  <si>
    <t>RT @YearOfZero: 1. Fighting for The Forgotten Man
@EricGreitens gives speech at the Bio-Disel Press Connferene in #Missouri
He also calls…</t>
  </si>
  <si>
    <t>@ABorealis77 @CStamper_ The LIHTC give money to Republicans &amp;amp; Democrats to keep passing there crooked scam through the Moleg
You are correct ! greitens said NO more.   They refused to reform their .60 cent on every dollar granted profit</t>
  </si>
  <si>
    <t>RT @CStamper_: At a housing project in Cape Girardeau “per apartment unit, (taxpayers paid) $376,000.” Per unit! Governor Greitens put a st…</t>
  </si>
  <si>
    <t>RT @cfsho444: @EricGreitens Governor, you have the full support of the people of MO, we know the career politicians of Jefferson City and t…</t>
  </si>
  <si>
    <t>@NewYorker @StLouisCountyPD  why is Governor Greitens depicted with wearing your uniform ? Is that even authorized ?</t>
  </si>
  <si>
    <t>@kolr10kozl nah that’s rubbish. She did a good job of ruining herself 
Fact the STLCAO is ad odds with the public defenders, the alderman, a bar complaint was filed against her for not pressing charges for a stabbing victim with Video of incident,  she just mislead a judge to release a gang</t>
  </si>
  <si>
    <t>@cturtle31 @JaneDueker The real question is why don’t they bring in their buddy Scott Faughn to testify who gave him the money ! 
They’ve allow faughn to evade supoena</t>
  </si>
  <si>
    <t>How can Jay Barnes go through all this discovery before the start of special session ?
This is what a witch hunt looks like !  #moleg #greitens
Give it up , the days of stuffing your pockets with inflated LIHTC profits is OVER!  You stole from the taxpayers! https://t.co/Lrgk5EiYjw</t>
  </si>
  <si>
    <t>@ksdknews Why didn’t they take Scott Faughn to court for evading supoena and find out where the money is from</t>
  </si>
  <si>
    <t>@ksdknews She ruined herself, she’s doing a crappy job on all other aspects not pertaining to greitens</t>
  </si>
  <si>
    <t>@ksdknews Ask MOLEG to quit the witch hunts 
Missouri House of Representatives: Urgent! Stop the Coup Against Gov. Eric Greitens - Sign the Petition! https://t.co/YB43ZY94Jf via @Change</t>
  </si>
  <si>
    <t>@ksdknews Sign the petition to stop the witch hunts
Missouri House of Representatives: Urgent! Stop the Coup Against Gov. Eric Greitens - Sign the Petition! https://t.co/YB43ZY94Jf via @Change</t>
  </si>
  <si>
    <t>RT @TinaRambo5: @ksdknews Stop wasting taxpayers money on a witch hunt. The governor is doing a great job. For those union reps who don't l…</t>
  </si>
  <si>
    <t>RT @TinaRambo5: @ksdknews Stop trying to impeach the Governor.</t>
  </si>
  <si>
    <t>@ksdknews Tell jay Barnes to end the witch hunts 
The days of him &amp;amp; his cronies stuffing their pockets with cash from the LIHTC is over! Please sign 
Missouri House of Representatives: Urgent! Stop the Coup Against Gov. Eric Greitens - Sign the Petition! https://t.co/YB43ZY94Jf via @Change</t>
  </si>
  <si>
    <t>@FOX2now Would jay Barnes just give up the witch hunt 
The days of LIHTC bilking the tax payers Is over 
Leave greitens alone 
Missouri House of Representatives: Urgent! Stop the Coup Against Gov. Eric Greitens - Sign the Petition! https://t.co/YB43ZY94Jf via @Change</t>
  </si>
  <si>
    <t>RT @Speedy62269: @FOX2now Give it up - he won the election.
Also, Trump won.  🇺🇸</t>
  </si>
  <si>
    <t>RT @sb65: @KMOV @mhollowed This is just further proof that Kim Gardner is completely incompetent. The city of St. Louis deserves better.  S…</t>
  </si>
  <si>
    <t>@KMOV Sign the petition to stop the witch hunts 
Missouri House of Representatives: Urgent! Stop the Coup Against Gov. Eric Greitens - Sign the Petition! https://t.co/YB43ZY94Jf via @Change</t>
  </si>
  <si>
    <t>@AnthonyBauman5 @KMOV Missouri House of Representatives: Urgent! Stop the Coup Against Gov. Eric Greitens - Sign the Petition! https://t.co/YB43ZY94Jf via @Change</t>
  </si>
  <si>
    <t>@KMOV And what’s up with the race card comment!  Here’s a factual statement Missouri is Number 1 in Black Homocide 
Go scorched earth on that ! end the violence</t>
  </si>
  <si>
    <t>@KMOV Alderman jack Coatar just had issue with her because she let an entire gang of thieves out without telling the judge
The history.</t>
  </si>
  <si>
    <t>@KMOV Take grietens out of the equation, she’s doing a horrible job running the Stlcao.  Stockley Fail, doesn’t build cases on violent crime with actual witnesses &amp;amp; evidence,  doesn’t provide evidence to public defenders in a timely manner to the law.  She fights with slmpd. #kimshady</t>
  </si>
  <si>
    <t>RT @AnthonyBauman5: @KMOV She ruined herself.. This is all a lie same as the entire case she built.</t>
  </si>
  <si>
    <t>@jrosenbaum Was President Obama in Ferguson ?</t>
  </si>
  <si>
    <t>RT @JohnLamping: It's the Jeff City insiders who are nervous. The plan was to get him to resign. He was supposed to be gone months ago. Whe…</t>
  </si>
  <si>
    <t>@Neilin1Neil @EricGreitens @inthejungle234 @liberty1776son @VisioDeiFromLA @DeplorableGoldn @blackwidow07 @edemery With all the boxes of discovery that was delivered 
There is no way or reason for a quick impeachment.   Jay Barnes is making it like a fast food drive thru , 1 deluxe  combo meal Impeachment  with super sized fries &amp;amp; Shake. 
He holds off on the condiments of crossexamination</t>
  </si>
  <si>
    <t>@MarshallGReport @EricGreitens @jmannies @jrosenbaum Who else would give Scott Faughn the cash to give to Al watkins ?  Sterling bank sponsors his show , buys ads in his paper &amp;amp; profits the most in LIHTC</t>
  </si>
  <si>
    <t>@ws_missouri Back to back state auditors reports deemed LIHTC ineffective.
Greitens &amp;amp; committee gave them the opportunity to reform 
And they chose not to
They don’t do this for people they do it for the profits.  They lucrative scam they had on the taxpayers</t>
  </si>
  <si>
    <t>RT @JohnLamping: Yes, they all know that and that's why the strategy has always been to get Eric to resign. They have as much to lose if it…</t>
  </si>
  <si>
    <t>@TwitterSupport  please remove my shadow ban</t>
  </si>
  <si>
    <t>@jrosenbaum Barnes is affraid of giving them supoena power</t>
  </si>
  <si>
    <t>RT @jrosenbaum: . @mattdpearce, like other reporters, noted that Faughn has connections to low-income housing tax credit developers. They n…</t>
  </si>
  <si>
    <t>@KMOV End the witch hunts 
Missouri House of Representatives: Urgent! Stop the Coup Against Gov. Eric Greitens - Sign the Petition! https://t.co/YB43ZY94Jf via @Change</t>
  </si>
  <si>
    <t>@sweetatertot2 https://t.co/PeTCiouYJe</t>
  </si>
  <si>
    <t>RT @strmsptr: @JohnAMDG 😂😂😂 almost spit water over the keyboard.</t>
  </si>
  <si>
    <t>@strmsptr @JohnAMDG Me too 😂😂😂</t>
  </si>
  <si>
    <t>@JohnLamping Can i get a front row seat for that !    The one time I’d actually be interested in watching a Missouri crimes production</t>
  </si>
  <si>
    <t>RT @Sally_0508: Missouri House of Representatives: Urgent! Stop the Coup Against Gov. Eric Greitens - Sign the Petition! https://t.co/30PcS…</t>
  </si>
  <si>
    <t>@YodaCon She ruined herself 
The judge told her to get a lawyer</t>
  </si>
  <si>
    <t>@kolr10kozl Stop Moleg ! 
Missouri House of Representatives: Urgent! Stop the Coup Against Gov. Eric Greitens - Sign the Petition! https://t.co/YB43ZY94Jf via @Change</t>
  </si>
  <si>
    <t>RT @SKOLBLUE1: #donnybrookstl Ray for once we agree! Eric Greitens WAS victimized! Thank you for recognizing this!</t>
  </si>
  <si>
    <t>RT @resalesue: @HawleyMO you are not doing yourself any good by going against Gov. Greitens!</t>
  </si>
  <si>
    <t>RT @resalesue: Not sure we can count on you. Throwing Greitens under the bus. https://t.co/qU6seFhZp3</t>
  </si>
  <si>
    <t>RT @resalesue: @HawleyMO No Don't throw Greitens under the bus!</t>
  </si>
  <si>
    <t>@SykesforSenate @EricGreitens Thank you for supporting governor greitens ! 
This witch hunts must end 
 https://t.co/1sTzKFfoMQ</t>
  </si>
  <si>
    <t>RT @SykesforSenate: Proud to be the only senate candidate at the St. Louis courthouse last Wednesday in support of @EricGreitens before the…</t>
  </si>
  <si>
    <t>RT @philip_saulter: If you believe that abusing our legal system to attack a political opponent and then using a dismissed case as the grou…</t>
  </si>
  <si>
    <t>RT @bearkatquilter: @Sticknstones4 @carysimond @FOX2now @Change I believe this is another witch hunt against a Conservative. Stop it now.</t>
  </si>
  <si>
    <t>@MissouriGOP @rnjulesb Back Governor Greitens and end the witch hunts 
Missouri House of Representatives: Urgent! Stop the Coup Against Gov. Eric Greitens - Sign the Petition! https://t.co/YB43ZYqFAN via @Change</t>
  </si>
  <si>
    <t>@gatewaypundit @NBCPolitics MS 13 are animals ! Dumbass fake news reporters</t>
  </si>
  <si>
    <t>@APCentralRegion She ruined herself !  She had No evidence 
Judge Burlison has yet to issue sanctions for her prosecutorial malfeasance</t>
  </si>
  <si>
    <t>@columbiatribune Missouri House of Representatives: Urgent! Stop the Coup Against Gov. Eric Greitens - Sign the Petition! https://t.co/YB43ZY94Jf via @Change</t>
  </si>
  <si>
    <t>@columbiatribune She had no photo lol she ruined herself with her own prosecutorial malfeasance</t>
  </si>
  <si>
    <t>@OzarkRadioNews Missouri House of Representatives: Urgent! Stop the Coup Against Gov. Eric Greitens - Sign the Petition! https://t.co/YB43ZY94Jf via @Change</t>
  </si>
  <si>
    <t>@christoferguson Missouri House of Representatives: Urgent! Stop the Coup Against Gov. Eric Greitens - Sign the Petition! https://t.co/YB43ZY94Jf via @Change</t>
  </si>
  <si>
    <t>@chasbottom Missouri House of Representatives: Urgent! Stop the Coup Against Gov. Eric Greitens - Sign the Petition! https://t.co/YB43ZY94Jf via @Change</t>
  </si>
  <si>
    <t>RT @chasbottom: #StLouis Prosecutor Kim Gardner wastes little time playing the race card: Greitens' lawyers threatened to 'ruin' her becaus…</t>
  </si>
  <si>
    <t>@chasbottom Lol she’s an incompetent idiot 
Regardless of gender or race</t>
  </si>
  <si>
    <t>@BryanLowry3 Bryan why didn’t they take their buddy money delivery man Scott Faughn to court for evading supoena ? 
WITCH HUNT 
Missouri House of Representatives: Urgent! Stop the Coup Against Gov. Eric Greitens - Sign the Petition! https://t.co/YB43ZY94Jf via @Change</t>
  </si>
  <si>
    <t>@FOX2now End the witch hunts , tell lawmakers to STOP
Missouri House of Representatives: Urgent! Stop the Coup Against Gov. Eric Greitens - Sign the Petition! https://t.co/YB43ZY94Jf via @Change</t>
  </si>
  <si>
    <t>@CaseyNolen @ksdknews @StLouisCityCA @EricGreitens Kim Gardner let out of jail a high level gang of robbers 
Prosecute the criminals &amp;amp; let greitens govern 
ENOUGH STOP 
End the witch hunts 
Missouri House of Representatives: Urgent! Stop the Coup Against Gov. Eric Greitens - Sign the Petition! https://t.co/YB43ZY94Jf via @Change</t>
  </si>
  <si>
    <t>@ksdknews How come Mo Lawmakers didn’t take Scott Faughn to court for evading his supoena they issued ? 
Moleg needs to just stop the witch hunts 
Missouri House of Representatives: Urgent! Stop the Coup Against Gov. Eric Greitens - Sign the Petition! https://t.co/YB43ZY94Jf via @Change</t>
  </si>
  <si>
    <t>@for_congress Awesome 👏🏻 speech</t>
  </si>
  <si>
    <t>RT @for_congress: https://t.co/e8mHvxKTFl</t>
  </si>
  <si>
    <t>@FOX2now Stop the witch hunt , tell Moleg ENOUGH 
Missouri House of Representatives: Urgent! Stop the Coup Against Gov. Eric Greitens - Sign the Petition! https://t.co/YB43ZY94Jf via @Change</t>
  </si>
  <si>
    <t>@blunt270 @FOX2now Sign the petition 
Missouri House of Representatives: Urgent! Stop the Coup Against Gov. Eric Greitens - Sign the Petition! https://t.co/YB43ZY94Jf via @Change</t>
  </si>
  <si>
    <t>@KMOV When are these witch hunts going to end ? 
Jay Barnes never sued his buddy Scott Faughn 
for not complying to his supoena 
Missouri House of Representatives: Urgent! Stop the Coup Against Gov. Eric Greitens - Sign the Petition! https://t.co/YB43ZY94Jf via @Change</t>
  </si>
  <si>
    <t>@EdBigCon @blackwidow07 @SKOLBLUE1 @ws_missouri @ResignNowKim @Mizzourah_Mom @Avenge_mypeople @HennessySTL @kmoxnews @stltoday @RiverfrontTimes @ChrisHayesTV @tonymess Money man is https://t.co/P9yDJYdhgr</t>
  </si>
  <si>
    <t>@SKOLBLUE1 @blackwidow07 @ws_missouri @ResignNowKim @Mizzourah_Mom @Avenge_mypeople @HennessySTL @EdBigCon @kmoxnews @stltoday @RiverfrontTimes @ChrisHayesTV @tonymess Lol I’m going like a wedding crasher, I &amp;amp; You have paid enough for their scam in our hard earned tax dollars they’ve scammed us out of. My admission to their soirée is based on entitlement, the way they felt entitled to scam our tax dollar</t>
  </si>
  <si>
    <t>@KRCG13 End these darn witch Hunts</t>
  </si>
  <si>
    <t>@KRCG13 Missouri House of Representatives: Urgent! Stop the Coup Against Gov. Eric Greitens - Sign the Petition! https://t.co/YB43ZY94Jf via @Change</t>
  </si>
  <si>
    <t>@ws_missouri @blackwidow07 @SKOLBLUE1 @ResignNowKim @Mizzourah_Mom @Avenge_mypeople @HennessySTL @EdBigCon @kmoxnews @stltoday @RiverfrontTimes @ChrisHayesTV @tonymess LIHTC is having their annual conference 
We should all go crash n learn how the scam works
And meet the players 
https://t.co/CWtvdCXeFR</t>
  </si>
  <si>
    <t>Greitens' attorney alleges former staffer stole Mission Continues list to use against him 
#DONNYBROOKSTL  #GREITENS #moleg 
https://t.co/YtmkCl3vpX</t>
  </si>
  <si>
    <t>@MarkReardonKMOX  can you please confirm what you said about  Scott Faughn is still in hiding evading supoena ?  House committee issued one ?   Why isn’t Jay Barnes suing the Missouri Times &amp;amp; Scott Faughn for not complying ?</t>
  </si>
  <si>
    <t>@blackwidow07 @SKOLBLUE1 @ResignNowKim @Mizzourah_Mom @ws_missouri @Avenge_mypeople @HennessySTL @EdBigCon @kmoxnews @stltoday @RiverfrontTimes @ChrisHayesTV @tonymess Actually peeps WILL did write a comprehensive article on LIHTC Before the fake sex scandal.   He knows what’s a stake !   Much attention needs to be paid to the Missouri times, politicians , lobbyists behinds this seedy scammy sector!  FOLLOW THE MONEY 
https://t.co/FDmsKNPZLx</t>
  </si>
  <si>
    <t>@FOX2now Missouri House of Representatives: Urgent! Stop the Coup Against Gov. Eric Greitens - Sign the Petition! https://t.co/YB43ZY94Jf via @Change</t>
  </si>
  <si>
    <t>@TheDaveWeinbaum Missouri House of Representatives: Urgent! Stop the Coup Against Gov. Eric Greitens - Sign the Petition! https://t.co/YB43ZY94Jf via @Change</t>
  </si>
  <si>
    <t>@KCStar We don’t want him to quit, finish the mission voters
Elected him to do 
Missouri House of Representatives: Urgent! Stop the Coup Against Gov. Eric Greitens - Sign the Petition! https://t.co/YB43ZY94Jf via @Change</t>
  </si>
  <si>
    <t>@KCStar Kim Gardner needs to just give it up 
There is no case 
Missouri House of Representatives: Urgent! Stop the Coup Against Gov. Eric Greitens - Sign the Petition! https://t.co/YB43ZY94Jf via @Change</t>
  </si>
  <si>
    <t>@BryanLowry3 @KCStar More witch hunts 
Missouri House of Representatives: Urgent! Stop the Coup Against Gov. Eric Greitens - Sign the Petition! https://t.co/YB43ZY94Jf via @Change</t>
  </si>
  <si>
    <t>@MSHPColonel Missouri House of Representatives: Urgent! Stop the Coup Against Gov. Eric Greitens - Sign the Petition! https://t.co/YB43ZY94Jf via @Change</t>
  </si>
  <si>
    <t>@MSHPTrooperA Missouri House of Representatives: Urgent! Stop the Coup Against Gov. Eric Greitens - Sign the Petition! https://t.co/YB43ZY94Jf via @Change</t>
  </si>
  <si>
    <t>@MSHPRecruiting Missouri House of Representatives: Urgent! Stop the Coup Against Gov. Eric Greitens - Sign the Petition! https://t.co/YB43ZY94Jf via @Change</t>
  </si>
  <si>
    <t>@KHQALynsey @MSHPTrooperB Missouri House of Representatives: Urgent! Stop the Coup Against Gov. Eric Greitens - Sign the Petition! https://t.co/YB43ZY94Jf via @Change</t>
  </si>
  <si>
    <t>@MSHPTrooperD @MSHPTrooperF Missouri House of Representatives: Urgent! Stop the Coup Against Gov. Eric Greitens - Sign the Petition! https://t.co/YB43ZY94Jf via @Change</t>
  </si>
  <si>
    <t>@MSHPTrooperG Missouri House of Representatives: Urgent! Stop the Coup Against Gov. Eric Greitens - Sign the Petition! https://t.co/YB43ZY94Jf via @Change</t>
  </si>
  <si>
    <t>@MSHPTrooperGHQ @KRCG13 Missouri House of Representatives: Urgent! Stop the Coup Against Gov. Eric Greitens - Sign the Petition! https://t.co/YB43ZY94Jf via @Change</t>
  </si>
  <si>
    <t>@NASDAnews @MoAgriculture @SteveDaines @WSDAgov @chrischinn @FarmersForTrade Missouri House of Representatives: Urgent! Stop the Coup Against Gov. Eric Greitens - Sign the Petition! https://t.co/YB43ZY94Jf via @Change</t>
  </si>
  <si>
    <t>@Mikelkehoe @SaraForMissouri @smokehousemeats @mikeparson respect Missouri voters  VOTE NO ON IMPEACHMENT</t>
  </si>
  <si>
    <t>RT @CStamper_: A Soros-backed prosecutor tried to put him in jail. Special interests, self-interested politicians &amp;amp; the liberal media are t…</t>
  </si>
  <si>
    <t>@SpeakerTimJones @realDonaldTrump Missouri House of Representatives: Urgent! Stop the Coup Against Gov. Eric Greitens - Sign the Petition! https://t.co/YB43ZY94Jf via @Change</t>
  </si>
  <si>
    <t>@Koenig4MO @paulcurtman Missouri House of Representatives: Urgent! Stop the Coup Against Gov. Eric Greitens - Sign the Petition! https://t.co/YB43ZY94Jf via @Change</t>
  </si>
  <si>
    <t>@mopns Missouri House of Representatives: Urgent! Stop the Coup Against Gov. Eric Greitens - Sign the Petition! https://t.co/YB43ZY94Jf via @Change</t>
  </si>
  <si>
    <t>@jrosenbaum Does this mean al Watkins charged Philip Snead over 120 K ?</t>
  </si>
  <si>
    <t>@RyanJParadis @DLoesch @HawleyMO @Change The money must be followed https://t.co/j85E7VlTnL</t>
  </si>
  <si>
    <t>@KevinS63103 @DLoesch Yeah No , This is Greitens &amp;amp; the people that voted for him 
Theme song 
https://t.co/TBooUBxr24</t>
  </si>
  <si>
    <t>@DLoesch @HawleyMO Missouri House of Representatives: Urgent! Stop the Coup Against Gov. Eric Greitens - Sign the Petition! https://t.co/YB43ZY94Jf via @Change</t>
  </si>
  <si>
    <t>@Biodiesel_Fnd Support  Governor Greitens tell Moleg to stop the Wotch Hunts 
Missouri House of Representatives: Urgent! Stop the Coup Against Gov. Eric Greitens - Sign the Petition! https://t.co/YB43ZY94Jf via @Change</t>
  </si>
  <si>
    <t>@KMOV Tell Moleg to end the witch hunts 
Enough is enough ! 
Missouri House of Representatives: Urgent! Stop the Coup Against Gov. Eric Greitens - Sign the Petition! https://t.co/YB43ZY94Jf via @Change</t>
  </si>
  <si>
    <t>@LucasABC17 Where was Moleg to evaluate the abuse by the Low Income Housing tax credit industry?  End the witch hunts
Missouri House of Representatives: Urgent! Stop the Coup Against Gov. Eric Greitens - Sign the Petition! https://t.co/YB43ZY94Jf via @Change</t>
  </si>
  <si>
    <t>@ABC17News @LucasABC17 Missouri House of Representatives: Urgent! Stop the Coup Against Gov. Eric Greitens - Sign the Petition! https://t.co/YB43ZY94Jf via @Change</t>
  </si>
  <si>
    <t>@NewsTribune Missouri House of Representatives: Urgent! Stop the Coup Against Gov. Eric Greitens - Sign the Petition! https://t.co/YB43ZY94Jf via @Change</t>
  </si>
  <si>
    <t>@JABuchanan Missouri House of Representatives: Urgent! Stop the Coup Against Gov. Eric Greitens - Sign the Petition! https://t.co/YB43ZY94Jf via @Change</t>
  </si>
  <si>
    <t>@andybankertv @FOX2now @EricGreitens @KPLR11 https://t.co/z10AfKizGK</t>
  </si>
  <si>
    <t>@JW1057 @MissouriGOP @GovGreitensMO I stand with Governor Greitens
 Moleg stop ripping us off</t>
  </si>
  <si>
    <t>@ws_missouri Sure am , are you familiar with this report 
https://t.co/UVNLeUkvcJ</t>
  </si>
  <si>
    <t>Missouri House of Representatives: Urgent! Stop the Coup Against Gov. Eric Greitens - Sign the Petition! https://t.co/YB43ZY94Jf via @Change</t>
  </si>
  <si>
    <t>Check this out: https://t.co/e5FfSiQwsg via @AddThis</t>
  </si>
  <si>
    <t>@ws_missouri Ask Moleg to reveal all their contributions from LIHTC PACs</t>
  </si>
  <si>
    <t>@ws_missouri Stop asking about the damn photo
You &amp;amp;  Kim Gardner don’t  have a copy, nobody has seen a copy of it , no device has transmitted it , no device has deleted it, no Photo was in the cloud .. enough ! Nobody gives a crap 💩 
Where were you press when LIHTC were scamming MO
#greitens</t>
  </si>
  <si>
    <t>RT @shesova: And to top it off....@molegislature I thought the lawyer did not know where the money came from but she sure sings when the @l…</t>
  </si>
  <si>
    <t>RT @shesova: Is @molegislature going to let this from the @latimes slip by and still try to impeach @EricGreitens  It is a witch hunt and y…</t>
  </si>
  <si>
    <t>RT @Mizzourah_Mom: @ChrisHayesTV And when Governor #Greitens actually did something about it he became the enemy and expendable. #MOswamp</t>
  </si>
  <si>
    <t>@andybankertv @FOX2now @EricGreitens @KPLR11 Tell My Governor we got his back 💪🏼Missouri Strong</t>
  </si>
  <si>
    <t>RT @Brianontheair: Governor Greitens: "No matter what they throw at me, when I look to my left I see you." Man in audience yells "We got yo…</t>
  </si>
  <si>
    <t>RT @Brianontheair: Missouri Gov. @EricGreitens is blasting political insiders and the tax credit lobby. He describes them as "ripoff artist…</t>
  </si>
  <si>
    <t>RT @Brianontheair: The main theme Gov. @EricGreitens is emphasising is that "rural Missouri is coming back." Greitens tells the audience th…</t>
  </si>
  <si>
    <t>We got your back Too ! @EricGreitens https://t.co/qPkiY0WsQ6</t>
  </si>
  <si>
    <t>HELL YES ! 
NO MORE https://t.co/J005tods2b</t>
  </si>
  <si>
    <t>@StevenDialTV @rossgarber @EricGreitens @41actionnews See @ChrisHayesTV report on following the money 
Did y’all u see see how much went to attorneys in LIHTC projects ?   This quibbling by Moleg is petty considering the have pipelined millions of our tax dollars to LIHTC &amp;amp; made many millionaires in that industry</t>
  </si>
  <si>
    <t>@StevenDialTV @41actionnews Follow @JW1057  he made an observant call on the dates with al Watkins cash</t>
  </si>
  <si>
    <t>@StevenDialTV @41actionnews https://t.co/z63bveSfDc</t>
  </si>
  <si>
    <t>RT @YearOfZero: Vote Democrat or  don’t show up.
#moleg #mogov #greitens https://t.co/7tM2EkmPEc</t>
  </si>
  <si>
    <t>@gatewaypundit Let’s follow it Jim !</t>
  </si>
  <si>
    <t>RT @gatewaypundit: Follow the money trail behind the Greitens’ invasion of privacy case – https://t.co/cTJgRtXvO6 https://t.co/0iLquxWMgd</t>
  </si>
  <si>
    <t>@BryanLowry3 Why is a Jewish Man Talking about Jesus Christ ? 
Oh cause he gets paid to stir the pot 
Nothing out of that Losers mouth is credible</t>
  </si>
  <si>
    <t>@MarkReardonKMOX Is she for hire to the House Special Session ?  That’s what Moleg deserves after screwing taxpayers by awarding &amp;amp; allowing LIHTC to be abused for decades.</t>
  </si>
  <si>
    <t>@PhilKlay @NewYorker Oh Phil i have this thread for journalists like you that 
Accuse Greitens of being a rapist  Enjoy 
And pretty cool on the 63% republican approval rating 
Look into the low income housing tax credit scam 
That greitens cut 
https://t.co/Tmj1se20cO</t>
  </si>
  <si>
    <t>@TwitterSupport @parscale 
Please help  and remove shadow ban</t>
  </si>
  <si>
    <t>Do All Missouri Bank Executives have 3.975 Million dollar Homes ? Or just the ones affiliated with LIHTC 
#moleg #sterlingbank #missouritimes #huntleigh #poplarbluff #greitens 
8 Radnor Road https://t.co/jT7GClMQyI</t>
  </si>
  <si>
    <t>the bank became a profitable entity 3 months after opening, and by May 2007, it had reached $100 million in assets.   How is that when banks were collapsing ?  #LIHTC #moleg 
Sterling Bank: The Sound of Success https://t.co/JCaH74zqYw via @LadueNews</t>
  </si>
  <si>
    <t>Check out the Ladue News &amp;amp; Town &amp;amp; style!   See the lavish cocktail parties sterling bank put on 
Clayton’s version of the Jefferson City  Missouri Times sleezy party pad of Scott Faughn 
#moleg #lihtc #missouri #sterlingbank #m1 #parsons #greitens #STLCards #stl  #Corruption</t>
  </si>
  <si>
    <t>@KMOV She needs to Resign , she does not serve St. Louis well 
She’s only after glory not justice .  Failed stockley failed greitens &amp;amp; she’s failed slmpd &amp;amp; failed to make slam dunk cases on violent crime with hard evidence &amp;amp; witnesses</t>
  </si>
  <si>
    <t>So many stories swirling about the truth behind that cash 
So Asinine Al Watkins  accepts 120k cash from an anonymous wealthy Republican  that it’s personal
Scott Faughn said it was HIS money 
Philip Sneed said it was for the fallout &amp;amp; trust funds for his kids 
#greitens https://t.co/I023k7ptDz</t>
  </si>
  <si>
    <t>I can’t even imagine 😢🙏🏻
I pray this man live a long &amp;amp; joyous life 
May he live to the fullest what he had been cheated 
May wrongful convictions not exist https://t.co/vjj7hLZlef</t>
  </si>
  <si>
    <t>RT @kanyewest: free thinking is a super power</t>
  </si>
  <si>
    <t>@HennessySTL the issue is this
1) the LITHC serves a need for affordable housing, nobody denies that need
2) the LITHC was Abused with the misuse of its funds, the LITHC didn’t want to reform it .  0nly 40 cents was being used for projects, leaving 60 cents to developers 
#moleg #greitens</t>
  </si>
  <si>
    <t>Greasy Jay Barnes is a bought &amp;amp; paid LIHTC
Politicians 
He’s a profits in my pockets before people kind of guy 
#moleg #missouri #lihtc #greitens #mosen #mogov 
#STLCards #stl https://t.co/ZjDufIMEcW</t>
  </si>
  <si>
    <t>Jefferson City Swamp Creatures 🧟‍♀️🧟‍♂️
We coming For You 🗡 🐉 🔥 
Get Ready to Rumble 
TIMES UP on your LIHTC scam
We’re Taking our State Back from corruption 
#moleg #greitens #STLCards #stl #teamgreitens 
#sterlingbank #missouri #lihtc #mogov #mosen https://t.co/Qk2sCI9wD0</t>
  </si>
  <si>
    <t>@FOX2now Time to follow the Money !  Why does Jay Barnes &amp;amp; Mike Parsons wants greitens out so bad https://t.co/H7Hv7TPXZv</t>
  </si>
  <si>
    <t>@FOX2now Kim Gardner doesn’t know law &amp;amp; doesn’t know who contributes to her campaign   Good lord does this lady know anything.</t>
  </si>
  <si>
    <t>RT @FOX2now: Follow the money trail behind the Greitens’ invasion of privacy case https://t.co/M5p9zwMxJT https://t.co/IDemVe7OoY</t>
  </si>
  <si>
    <t>@latimesfirehose @mattdpearce Follow the Money !  Moleg made many Missouri Millionaires at the expense of the taxpayers 
Greitens stopped it after they refused to reform the crooked program ! https://t.co/rKzEhzAeRk</t>
  </si>
  <si>
    <t>@mattdpearce The money needs to be followed !   @mattdpearce is HOT on the trail  behind the Jefferson City - Moleg Corruption https://t.co/5hrGeH1awm</t>
  </si>
  <si>
    <t>RT @RealTravisCook: @1057thePoint The charges against Governor #Greitens have been dismissed, so why haven't you fired Phil Sneed for makin…</t>
  </si>
  <si>
    <t>@FOX2now Another stellar piece @ChrisHayesTV ! 
Moleg has been screwing Missouri taxpayers,
 making Many Millionaires at the expense of the taxpayers.
Greitens was cutting the waste &amp;amp; that’s why they want him out.  Moleg needs to respect the voters</t>
  </si>
  <si>
    <t>Representative Jay Barnes did not respond to Fox 2/KPLR 11’s requests for an interview.
Say You’re  sorry to the taxpayers for screwing Us &amp;amp; Greitens ! 
Follow the money trail behind the Greitens’ invasion of privacy case – https://t.co/IhR9AhhOlZ https://t.co/weeDmwl0LM</t>
  </si>
  <si>
    <t>@Joop78CJ7 @tgounley @mattdpearce Look at the sole sponsors of the shown
Sterling Bank  &amp;amp;  anti greitens poltical commercials 
This week in mof politics looks more like they buy their own airtime and sell their own commercials</t>
  </si>
  <si>
    <t>RT @Joop78CJ7: @tgounley @mattdpearce Few journalists have their own TV show too.. doesn't make it not real</t>
  </si>
  <si>
    <t>RT @tgounley: "Scott Faughn does not have $50,000 in cash. There's no journalist in the state of Missouri, or anywhere else, that's rolling…</t>
  </si>
  <si>
    <t>Turn on radio free Allman.  @jallman971
Is talking Revolt !  Let’s Go to Jefferson City 
save Greitens. drain the swamp from screwing Us to voters 
https://t.co/SkMR0HkqHn</t>
  </si>
  <si>
    <t>RT @MariaChappelleN: .@mattdpearce continues to delve deep down into the issues as a true journalist would. His coverage of the Ferguson Up…</t>
  </si>
  <si>
    <t>@MarkReardonKMOX Mark u made the la times 
https://t.co/hZ9gc89MGi</t>
  </si>
  <si>
    <t>RT @HennessySTL: Following the money (which isn't all that great. These slimeballs aren't as loaded as they think.) https://t.co/zxCAJw7ujq</t>
  </si>
  <si>
    <t>@EdBigCon @blackwidow07 @ResignNowKim @Neilin1Neil @EricGreitens @RealTravisCook @YearOfZero @KathieConway @inthejungle234 @Norasmith1000 @liberty1776son @VisioDeiFromLA @DeplorableGoldn @Boothe08887997 @JW1057 @edemery @kmoxnews @HennessySTL @SKOLBLUE1 @stltoday @RiverfrontTimes @Avenge_mypeople How about a Scott Faughn piñata 
We all take a whack
And it explodes with cash</t>
  </si>
  <si>
    <t>Calling all Skeletons from Molegs closest 
Heck you don’t need to open a closet 
Start looking at your #Moleg on casenet https://t.co/CLtTnjP9hD</t>
  </si>
  <si>
    <t>RT @HennessySTL: Be the Pollster! Poll your Missouri State Rep. Record Results Here. "Impeachment, Yay or Nay?"
→ https://t.co/zNqPo8Rp20…</t>
  </si>
  <si>
    <t>@ScottCharton @EricGreitens Word of caution, I’d be more worried about your scamming buddy Scott Faughn.   He seems like a hillbilly Bernie madoff  YOU Better be careful 
https://t.co/hZ9gc89MGi</t>
  </si>
  <si>
    <t>RT @MattStoneABC: ABC News has obtained a photo of one of the two packages each containing $50,000 that attorney Al Watkins claims he recei…</t>
  </si>
  <si>
    <t>Greitens case unsealed: Judge's advice to STL prosecutor 
#kimshady is pretty shady 
https://t.co/Nw5DUD4aHw via @ksdknews</t>
  </si>
  <si>
    <t>RT @Lautergeist: IRS Form 8300 was filed, right #MoneyBagsAl #AlWatkins?
Wouldn't want the @IRSnews to think you were HIDING anything in t…</t>
  </si>
  <si>
    <t>@MattStoneABC @ABC @nicolergalloway @MissouriRevenue 
Will you be auditing Scott Faughn &amp;amp; all his companies 
To where he got this cash &amp;amp; all Missouri taxes paid on it</t>
  </si>
  <si>
    <t>@latimes https://t.co/P9yDJYdhgr</t>
  </si>
  <si>
    <t>HEY #MOLEG  LOOK AT HOW SLEEZY SCAMMING SCOTT FAUGHN IS !  LA TIMES IS HOT ! THEYRE FOLLOWING THE MONEY 💰 STERLING BANK ! TILLEY ! PARSONS ! 
#greitens #greitenswitchhunt https://t.co/i0x0Qc4Uko</t>
  </si>
  <si>
    <t>@latimes Dig further , look into JES Holdings LLC  Jeff Smith 
His company receives the largest amount of Low Income Housing Tax Credits.   Follow the Money! LIHTC have paid democrats &amp;amp; Republicans to keep the money following 
#Moleg is crooked  #greitens cut their money supply</t>
  </si>
  <si>
    <t>Wonder how we got to these Greitens witch hunts ? 
Don’t understand Low Income Housing Tax Credits or LIHTC for short 
Read  Here ⬇️⬇️⬇️  See how  Moleg scammed us 
https://t.co/pzZ9ounZEU</t>
  </si>
  <si>
    <t>over the past 10 fiscal years, Missouri has authorized over $1.6 billion of state LIHTC and received less than $192 million in return, for a loss of over $1.4 billion
 Moleg stop the witch hunts you have failed us for years by rewarding LIHTC to your millionaire donors</t>
  </si>
  <si>
    <t>Moleg ⬇️
Nicole Galloway said in a report that both the low income and historic tax credit programs “result in a low return on the state’s investment”  
‘No. More. Giveaways,’ Missouri governor says about tax credits for low income housing https://t.co/hXDrq8IIlt</t>
  </si>
  <si>
    <t>@RoyBlunt @ShopFloorNAM Support the will of the voters &amp;amp; support Governor greitens from the witch hunts !   Low income housing tax credit industry in Missouri was abusing taxpayers</t>
  </si>
  <si>
    <t>RT @tkinder: Porny Daniel’s Lawyer - The Avenatti Files: Slimy Porn Star Attorney Michael Avenatti Suspected of Defrauding Million Dollar N…</t>
  </si>
  <si>
    <t>RT @Avenge_mypeople: @martuk56 @gatewaypundit @jallman971 That's been my observation as well, but this #greitens issue made me realize that…</t>
  </si>
  <si>
    <t>@YearOfZero Here’s why this holds no merit, in 2016 phil/al tried to sell the tape to Roy Temple, Chris kosters campaign mgr. Roy listened &amp;amp; passed. nobody ever said omg it’s a crime let’s go to the police. This was all about blackmailing greitens.  Koster got his hair cut by Phils Ex wife</t>
  </si>
  <si>
    <t>@YearOfZero What do you think ?  The good ole boys at Moleg put him up to this, they use his party pad, they buy his over priced subscriptions,  you really think they are going to haul his fat ass in ?  Notice theres no out cry of moral turpitude for evading a supoena</t>
  </si>
  <si>
    <t>Jay Barnes, Todd Richardson, Elijah Haahr, Jamilah nasheed, Doug Libla, Gary Romine, Ron Richard , 
Gina Walsh, Rob Schaaf,Stacey Newman
I’m begging You to come Clean in how much money you’ve taken from the Low Income Housing Tax Credit Industry, all those sneaky PACs. #moleg https://t.co/hnmfWnNTEB</t>
  </si>
  <si>
    <t>@stlpublicradio I’m begging every Moleg to come Clean &amp;amp; divulge how much money they have taken from low income housing tax credit industry. Until then, none of these hearings are credible to voters.150 million in tax credit cuts LIHTC &amp;amp; Moleg abused taxpayers. Greitens saved taxpayers from abuse</t>
  </si>
  <si>
    <t>@lydakrewson If you’re not Kim Gardner’s boss, than who Is ? How do we make sure that she does not whip up another malicious prosecution full of prosecutorial malfeasance?  Her office is a wreckless hot mess, thousands wasted 
Check this out: https://t.co/dEOt5Yca8m via @AddThis</t>
  </si>
  <si>
    <t>@kmoxnews When is Kim Gardner resigning ?</t>
  </si>
  <si>
    <t>@JCunninghamMO Somebody is a registered lobbyist and gets paid to tweet nonsense 
Wait until the deposition is released , somebody is going to freak out</t>
  </si>
  <si>
    <t>For those complaining about paying Greitens lawyers fees
Where is your audit of the St. Louis circuit attorneys office?
State of Missouri gives them money !
You’re paying for the lawyers of perjured plea the fifth William Tisaby</t>
  </si>
  <si>
    <t>@JCunninghamMO Add to that list every legislator that took money from Low Income Housing tax credit recipients, they shouldn’t be voted their bias</t>
  </si>
  <si>
    <t>RT @JCunninghamMO: If every legislator who has never, ever had an improper relationship outside marriage or has not used non-profit organiz…</t>
  </si>
  <si>
    <t>RT @Brianontheair: UPDATE: Missouri Governor @EricGreitens plans to release the $4 million restriction for biodiesel for Missouri biodiesel…</t>
  </si>
  <si>
    <t>RT @mybabyforever10: @ROHLL5 @RobChristie11 It’s such a witch hunt!!!  Now, the Libs r trying to get Greitens on tax stuff.  #SupportGovGre…</t>
  </si>
  <si>
    <t>Would any of this be investigated if low income housing tax credits were not cut ?
There is  $140 Million reasons why this is happening!
No more Missouri millionaires on the tax payer dollar 
Greitens stood up to them for us!  Moleg doesn’t stand up for the Missouri taxpayer https://t.co/lziJXxgryD</t>
  </si>
  <si>
    <t>@Missourinet Would any of this be investigated if low income housing tax credits weren’t cut ?
There is 140 Million reasons cut  why this is happening
No more Missouri millionaires on the tax payer dollar 
Greitens stood up to them for us!</t>
  </si>
  <si>
    <t>@YahooNews Kim Gardner is out of whack, public defenders filed a complaint against her &amp;amp; she has a bar complaint too
There are still sanctions the judge will issue as well</t>
  </si>
  <si>
    <t>@YahooNews Aldermen plan to grill Circuit Attorney over cost of the Greitens' trial https://t.co/JwPGs4Thyh via @fox2now</t>
  </si>
  <si>
    <t>@YahooNews Did the Circuit Attorney use funding to prosecute Gov. Greitens over other criminal cases? https://t.co/fbaubMMyH0 via @fox2now</t>
  </si>
  <si>
    <t>@CStamper_ democrat operative Roy temple knew this was a fake sex accusation from the get go
He lied too</t>
  </si>
  <si>
    <t>@YearOfZero @BobOnderMO @EricGreitens @KevinCorlew @BooneCoMOGOP @paulcurtman Jeff smith llc
Sterling bank 
Lathrop &amp;amp; Gage
Politicians ( that’s a big cesspool  of bought n paid for )
Faughn 
Watkins
Tilley 
Parsons
These are some dots that need connecting ! 
140 million cut  because they were to greedy to reform 
Missouri tax payers were gettin scammed</t>
  </si>
  <si>
    <t>@Mizzourah_Mom @ksdknews 1.5 billion awarded , only 42 cents of every dollar stayed in state for the project ... the other 58 cents made many Missouri millionaires.   Greitens was draining the swamp, that’s why they want to impeach him.  It’s about profits &amp;amp; pockets not people</t>
  </si>
  <si>
    <t>RT @ksdknews: Greitens' lawyers want to publicly question witnesses https://t.co/i6qbcUzqXG https://t.co/qxKzQZd2jg</t>
  </si>
  <si>
    <t>@ksdknews Moleg should question &amp;amp; Audit all the recipients of low income housing tax credits for the last 20years</t>
  </si>
  <si>
    <t>RT @shesova: It saddens me too @Chiefdodd1 as well. I am going to D.C. next week to meet with @congressdotgov and give them the low down. I…</t>
  </si>
  <si>
    <t>RT @ResignNowKim: (2) All #moleg need to be required to do this. And if they aren’t willing to do it, then that entitles PUBLIC to an adver…</t>
  </si>
  <si>
    <t>Some people think Republicans are Dogs....
I strongly disagree , Dogs show loyalty 
The GOP of Missouri are Divisive canibals 
The winds that #moleg have blowing with witch hunts &amp;amp; 
Impeachment , Expect a Big Blue Tidal Wave https://t.co/Qap3y4kjRx</t>
  </si>
  <si>
    <t>@RGreggKeller Whipping votes on good ole bot status quo eh’ last i check the law and constitution were the same in all 50 states 
Does Missouri operate like a 3rd world banana republic that they are intimidated ?</t>
  </si>
  <si>
    <t>@RGreggKeller What difference what coast he comes from 
Is this like Tupac vs Biggie ?
Didn’t end well for either did it ?</t>
  </si>
  <si>
    <t>@JoeBReporter @BryanLowry3 @scottfaughn @MarkReardonKMOX @kmoxnews  mark here’s a good read for you! Hey please don’t call Scott your friend on air , I’d like to think of you as being a good person &amp;amp; not having scumbags for friends</t>
  </si>
  <si>
    <t>@JoeBReporter @BryanLowry3 @scottfaughn Al Watkins is a conniving attorney, he dances his narrative just enough to stay in bounds with the law.   If he think the governor really committed a crime, he would of filed a police report !  Never once is Ks or Ps filed one, why ? Because they knew it was always consensual</t>
  </si>
  <si>
    <t>RT @JoeBReporter: In a profanity-laced interview Tuesday w/@BryanLowry3, attorney Al Watkins contradicted @scottfaughn's claim that a $50,0…</t>
  </si>
  <si>
    <t>@JoeBReporter @BryanLowry3 @scottfaughn So Scott Faughn is a liar , no breaking news there!  Temple &amp;amp; Dems knew about the tapes before , but witnesses wouldn’t cooperate !    Moleg knew and did nothing because it was nothing!  Than tax credits cut &amp;amp; they made it something</t>
  </si>
  <si>
    <t>“a lot of politicians fear the insiders in this industry.” Greitens did Not , He fought for Missouri 
Moleg needs to stand up and vote No on Impeachment 
Tax credits for low-income housing dealt a blow by Missouri commission https://t.co/61Ap4wRwqh via @stltoday</t>
  </si>
  <si>
    <t>@Allie_Kite Good riddance , now he needs to be audited</t>
  </si>
  <si>
    <t>@YearOfZero they don’t care that #moleg was giving out 150 million in low income housing tax credits, 87,000,00 going to the tax credit millionaires pockets 63,000,00 going to actual projects for people All of it funded by taxpayers!   #Greitens cut &amp;amp; theyre pissed  
https://t.co/qTxK3DbhDN</t>
  </si>
  <si>
    <t>@RebeccaRoeber @rebeccaroeber34
RESPECT MY VOTE 
VOTE NO ON IMPEACHMENT https://t.co/PEGGqZqfu2</t>
  </si>
  <si>
    <t>@KevinCorlew  Please RESPECT My Vote
And VOTE NO on Impeachment https://t.co/jCJLcBsfML</t>
  </si>
  <si>
    <t>@KMOV @rnjulesb Where is Nicolle Galloway’s Audit on Scott faughns cash ?</t>
  </si>
  <si>
    <t>RT @ken_tompkins: @EricGreitens @jortego #StandFirm. God knows and sees all. With Jesus on your side everything is possible. #weallcare.</t>
  </si>
  <si>
    <t>RT @EricGreitens: Great to see @jortego, who is visiting the Capitol today for the final week of session. Jack led our office in our weekly…</t>
  </si>
  <si>
    <t>@FOX2now Wooten calls Tisaby “an honest and decent man” who was just doing his job.    If his job was to lie as Kim Gardner directed than that’s a factual statement</t>
  </si>
  <si>
    <t>RT @EricGreitens: Today is #PeaceOfficersMemorialDay, a day to remember the fallen heroes who gave their lives in pursuit of justice and pe…</t>
  </si>
  <si>
    <t>Audit Scott Faughn &amp;amp; Missouri Times
Where did the Cash Come From 
@nicolergalloway @MissouriRevenue https://t.co/gug39qRc7C</t>
  </si>
  <si>
    <t>Low Income Housing tax credits were deemed ineffective to the state, for ever $1 granted only .42 cents was staying in state, 58cents of every dollar went into POCKETS of tax credit millionaires.  #Greitens stopped them for ripping us off   #moleg 
https://t.co/qTxK3DbhDN</t>
  </si>
  <si>
    <t>@Neilin1Neil @EricGreitens @RealTravisCook @KathieConway @Norasmith1000 @liberty1776son @VisioDeiFromLA @DeplorableGoldn @Boothe08887997 @blackwidow07 @edemery They are pissed that their corrupt taxpayer abusive system was shut down,  150 million reasons why #moleg wants greitens out!  They want to bilk the taxpayers for their own pockets 
https://t.co/qTxK3DbhDN</t>
  </si>
  <si>
    <t>RT @JW1057: @MOHOUSECOMM @MOHouseGOP @MOHouseDems A friendly reminder that a vote to impeach/censure @GovGreitensMO is a vote against your…</t>
  </si>
  <si>
    <t>RT @robert_enna: What a waste of my taxpayer dollars. I won’t forget republican turncoats either. If you didn’t support the gov then you wo…</t>
  </si>
  <si>
    <t>RT @sweetatertot2: #Greitens was another victim of a political witch hunt. Democrats no longer believe in the Democratic process, they now…</t>
  </si>
  <si>
    <t>RT @BryanLowry3: BREAKING: St. Louis Metro Police now confirms it will investigate the alleged perjury by private investigator following me…</t>
  </si>
  <si>
    <t>@MarkReardonKMOX I Disagree with John Hancock
1) u just said you were going to have greitens on air this week. 2) he doesn’t owe anybody basement details, get details on Scott Faughns sleezy office lair 3) you do not resign if u are innocent, Greitens was elected to fight for us</t>
  </si>
  <si>
    <t>Low Income Housing Tax Credit Recipients 
⬇️⬇️💰💰
#moleg #felonfaughn https://t.co/7ltfNj67Dr</t>
  </si>
  <si>
    <t>RT @Mizzourah_Mom: @STL_Blonde @MissouriGOP The sad thing is the #moleg committee said that this will not change anything. They are full st…</t>
  </si>
  <si>
    <t>RT @JW1057: @EricGreitens It's obvious your persecution by Barnes' Star Chamber will continue. It's apparent the @MOHOUSECOMM has no respec…</t>
  </si>
  <si>
    <t>LISTEN TO KMOX 
Mark Reardon is discussing Greitens trial</t>
  </si>
  <si>
    <t>RT @Mizzourah_Mom: @Neilin1Neil @EricGreitens @RealTravisCook @Sticknstones4 @KathieConway @inthejungle234 @Norasmith1000 @liberty1776son I…</t>
  </si>
  <si>
    <t>@RSF_LAW @RSF_LAW  over here on Twitter we refer to her as #kimshady https://t.co/fl0zj6Iq60</t>
  </si>
  <si>
    <t>@ResignNowKim @FOX2now @SKOLBLUE1 @stlcao @HennessySTL @RSF_LAW https://t.co/T0NxAyS1YA</t>
  </si>
  <si>
    <t>@ResignNowKim @FOX2now @SKOLBLUE1 @stlcao @HennessySTL @RSF_LAW  thought y’all would appreciate this meme 
Fantastic work defending the wrongly accused !</t>
  </si>
  <si>
    <t>Missouri Voters that elected the Governor are being 
Underestimated by the corrupt status quo #Moleg https://t.co/cHxSqvpVoc</t>
  </si>
  <si>
    <t>@FitzpatrickMO #moleg #greitens 
PLEASE RESPECT MY VOTE
Vote No On Impeachment 
I support Governor Greitens https://t.co/jMrhVH6Y1f</t>
  </si>
  <si>
    <t>Wonderful ! Lock her &amp;amp; Tisaby Up
No playing the victim card either Kimmy!
you abused your power &amp;amp; duty for politics , Now you must be held Accountable for your actions 
Resign &amp;amp; Restore the office of the STLCAO 
#stl #kimshady https://t.co/BH6UTMLpZ9</t>
  </si>
  <si>
    <t>RT @jrosenbaum: INBOX: @EricGreitens attorneys will file a police report re: Tisaby depositions. https://t.co/Wx7A1Ybv44</t>
  </si>
  <si>
    <t>RT @Neilin1Neil: The hostile power in MO is from within #moleg! Very frightening! The people elected Greitens! @EricGreitens @RealTravisCoo…</t>
  </si>
  <si>
    <t>@Avenge_mypeople @magathemaga1 @Eric_Schmitt @Rep_TRichardson @willscharf @HotPokerPrinces @RealTravisCook @smart_hillbilly @paulcurtman @MissouriGOP @Norasmith1000 Absolutely !  Ask #moleg where their moral turpitude was when a low income tax credit benefactor was beating the crap out of women?  Did @jaybarnes5 investigate ? Nah they just kept rewarding their crooked crew with tax credits  #sterlingbank #greitens 
https://t.co/iTMI2xtDvY</t>
  </si>
  <si>
    <t>@RoyBlunt  DUE PROCESS HAS PLAYED OUT FOR GOVERNOR GREITENS. TELL THE MISSOURI LEGISLATORS TO END THE WITCH HUNT &amp;amp; RESPECT THE VOTERS !   THEY ONLY CARE ABOUT GETTING RICH OFF LOW INCOME HOUSING TAX CREDITS.  THEIR GREED IS DESTROYING  MISSOURI #greitens 
https://t.co/qTxK3DbhDN</t>
  </si>
  <si>
    <t>@beckyruth114   RESPECT MY VOTE 
VOTE NO ON IMPEACHMENT 
#moleg #greitens https://t.co/mnmkUlj00g</t>
  </si>
  <si>
    <t>@CoMissourian Isn’t anybody going to follow the Money behind the witch hunts?  Who gave Scott Faughn the cash to deliver ?</t>
  </si>
  <si>
    <t>RT @ws_missouri: Attorneys for @EricGreitens and the governor's office have proposed the following special session schedule. They also have…</t>
  </si>
  <si>
    <t>@StevenDialTV @EricGreitens @41actionnews Can we follow the Money on all the Shell PACs that funnel money from special interests thru lobbyist to politicians 
It’s time to end these Witch Hunts</t>
  </si>
  <si>
    <t>@Mikelkehoe @RonFRichard @jaybarnes5 @Rep_TRichardson 
RESPECT MY VOTE  
VOTE NO ON IMPEACHMENT 
I SUPPORT GOVERNOR GREITENS !
#moleg #greitens https://t.co/akP8TGVar9</t>
  </si>
  <si>
    <t>Please respect my vote !
Vote No on Impeachment. #moleg #greitens https://t.co/8KtTLluyay</t>
  </si>
  <si>
    <t>Please respect my Vote 
Vote No on Impeachement #moleg #greitens https://t.co/McppPjqtzS</t>
  </si>
  <si>
    <t>@BillEigel  RESPECT MY VOTE  VOTE NO ON IMPEACHMENT  #moleg #greitens https://t.co/tJJplch0zF</t>
  </si>
  <si>
    <t>@TIMremole RESPECT MY VOTE 
VOTE NO ON IMPEACHMENT   #greitens #moleg https://t.co/WqffKt0kcO</t>
  </si>
  <si>
    <t>@FritzCarltonSTL @jrosenbaum @EricGreitens @ksdknews Zeke wasn’t found guilty in a court of law was he ?</t>
  </si>
  <si>
    <t>RT @RSF_LAW: Scott Rosenblum discusses some of the various issues Governor Greitens’ defense team encountered over the past several months.…</t>
  </si>
  <si>
    <t>NATE WALKER 
RESPECT MY VOTE  CEASE IMPEACHMENT 
 #moleg #greitens https://t.co/ES2pDZaSX6</t>
  </si>
  <si>
    <t>@FritzCarltonSTL @jrosenbaum @EricGreitens @ksdknews Cmon fritz refile for what to waste more money 
For a bs case with no evidence
You heard Scott Rosenblum no special Prosecutor is going to try that case , they will open &amp;amp; close the file after review
Unseal the court records !</t>
  </si>
  <si>
    <t>@GreekSTL @BreitbartNews please Dm me who it’s memebers are 
We know who their cash delivery bag men are 
Who gave the 120k cash https://t.co/HC7YEgMQje</t>
  </si>
  <si>
    <t>@MarkReardonKMOX @charliekmox  kim Gardner has ignored the day to day nuts and bolts cases !  The office is run inefficient &amp;amp; Missouri is number 1 in the us for Black Homocide</t>
  </si>
  <si>
    <t>RT @GreekSTL: @Sticknstones4 @BreitbartNews It’s all about the #HaySeedMafia and their love of free food and beer.</t>
  </si>
  <si>
    <t>RT @Avenge_mypeople: There is some seriously underhanded, dirty politics in Missouri. Behind it all- the attempted prosecution of the gover…</t>
  </si>
  <si>
    <t>@MSTLGA @JohnLamping It’s always been about this group !</t>
  </si>
  <si>
    <t>@milescross @JohnLamping Lol how did Chris Koster buy a 1.85 M house 
https://t.co/OLpDP9Hx79</t>
  </si>
  <si>
    <t>@stevegardendeli @jrosenbaum @EricGreitens @HennessySTL  you two need to speak  RALLY IN SUPPORT OF GREITENS !</t>
  </si>
  <si>
    <t>@BreitbartNews @GreekSTL Time to follow the Money and run these corrupt crooks out of office &amp;amp;  Lobbyists influencing legislators with cash ⬇️
https://t.co/qTxK3DbhDN</t>
  </si>
  <si>
    <t>RT @stevegardendeli: @jrosenbaum @EricGreitens please have Eric call me today, have a republican meeting tonight and want to have a plan to…</t>
  </si>
  <si>
    <t>RT @Striderpuppy: @JohnLamping @CStamper_ Who are they to over turn a Elected Governor The People choose. The people must rise up an revolt…</t>
  </si>
  <si>
    <t>@CStamper_ Time to follow the Money and show #moleg their stupidity of thinking the voters are stupid.   Ignorant good ole boy mentality can kiss their asses goodbye 💋</t>
  </si>
  <si>
    <t>RT @CStamper_: How many Missourians is he calling stupid, #moleg ? How many voters in your district? https://t.co/JfaTABbvun</t>
  </si>
  <si>
    <t>RT @JakeGrayPoliSci: This is why I think #MoLeg should have waited to act. With all the new evidence coming out including Judge Burlison’s…</t>
  </si>
  <si>
    <t>@thesarahkelly You’re right I am  read the facts of the case ! 
https://t.co/Tmj1se20cO</t>
  </si>
  <si>
    <t>@939TheEagle They need to investigate who’s behind the witch hunt 
The source of the 120k 
What lobbyists bought &amp;amp; paid for legislators 
https://t.co/qTxK3DbhDN</t>
  </si>
  <si>
    <t>@CBSThisMorning Journalists follow the Money behind the witch hunt 
Who paid the 120k cash payments ⬇️
Low income housing tax credit &amp;amp; Missouri legislators are corrupt 
https://t.co/qTxK3DbhDN</t>
  </si>
  <si>
    <t>@independpress Journalist start to follow the Money behind the hit job 
https://t.co/qTxK3DbhDN</t>
  </si>
  <si>
    <t>@bridoc @NBCNews The case is no case no photo no evidence 
No special prosecutor will refile charges. Kim Gardner didn’t have to drop case, her hired Harvard special assistant Ron Sullivan could of tried the case as she testified.  The records must be un sealed will reveal more witness collusion</t>
  </si>
  <si>
    <t>@NBCNews Follow the Money behind the hit job
Where did the 120k cash payments come from ⬇️
https://t.co/qTxK3DbhDN</t>
  </si>
  <si>
    <t>@RamblingMother Follow the Money behind the hit ⬇️
https://t.co/qTxK3DbhDN</t>
  </si>
  <si>
    <t>RT @RamblingMother: "WAIT, WHAT? Circuit attorney drops Greitens case, asks for special prosecutor to refile charge. “I…"  https://t.co/WM5…</t>
  </si>
  <si>
    <t>@DiogenesToo The prosecutor is a slimeball, she never had a case</t>
  </si>
  <si>
    <t>@BACKFIREALLEY Legislators are scared 😱  They’re not working for the people they’re working for the lobbyists 
Greitens works for the people.The low income house tax credit was not effective to the state , it was profitingbthe pockets ⬇️
https://t.co/qTxK3DbhDN</t>
  </si>
  <si>
    <t>@thesarahkelly Follow the money!  Who paid the 120k cash ⬇️
https://t.co/qTxK3DbhDN</t>
  </si>
  <si>
    <t>@NBCNewsTHINK @kurtbardella Follow the Money behind the case !  LOW INCOME HOUSING TAX CREDIT industry was behind this. Who paid the 12Ok in cash payments for a fake sex scandal ? Follow the Lobbyists &amp;amp; their PACs to the Mo Legislators.  It’s a witch hunt  
https://t.co/qTxK3DbhDN</t>
  </si>
  <si>
    <t>@UniReEditor The case was BS they never had any evidence 
Prosecutor Kim Gardner needs to resign</t>
  </si>
  <si>
    <t>@columbiatribune Time for the media to follow the Money !  Who is behind the cash payments?  The Low income housing tax credit developers were out to ruin the governor for ruining their profits.  Profits they made at the expense of Missouri tax payers</t>
  </si>
  <si>
    <t>@semissourian Time for the media to follow the Money !  Who is behind the cash payments</t>
  </si>
  <si>
    <t>RT @JW1057: @ws_missouri May want to look into secret Mission Continues donor list. Not so secret when the names are posted on their websit…</t>
  </si>
  <si>
    <t>@jrosenbaum @EricGreitens @ksdknews Time to start following the money behind this spectacle 
Low income housing tax credits
All lobbyists and their PACs</t>
  </si>
  <si>
    <t>@RiverfrontTimes Time to start Following the other money !  Who was the source of Scott Faughns Cash ?  Who supplied the other 50 K to the mysterious Skyler ? Time to follow the Money trail  all donations &amp;amp; PACs affiliated with Low Income Housing Tax Credits</t>
  </si>
  <si>
    <t>@RiverfrontTimes @sarahfenske TIME TO START FOLLOWING THE MONEY ! 
Low Income Housing Tax Credit Recipents !</t>
  </si>
  <si>
    <t>RT @Avenge_mypeople: Notice how they lead you to believe that Hawley is the only candidate who has a chance against Claire? It's intentiona…</t>
  </si>
  <si>
    <t>RT @for_congress: The frivolous case against our Governor has been dismissed - they had no substantive evidence to back up their baseless i…</t>
  </si>
  <si>
    <t>EXCUSES !   YOU HAD NO CASE KIM 
JUST RESIGN , SOROS WILL REWARD YOU 
#kimshady #STLCards #stl https://t.co/cwm4fJWnWW</t>
  </si>
  <si>
    <t>@wjpennington52 @stltoday They’re was collusion that must not be ignored ! https://t.co/QFA8zTeNHA</t>
  </si>
  <si>
    <t>RT @wjpennington52: @stltoday Charges should not have been made to begin with, knowing they had no proof. The circuit attorney should be in…</t>
  </si>
  <si>
    <t>RT @c_watsup: @stltoday Circuit attorney Kim Gardner should be in jail. Lies, paid off witnesses, no evidence, where are the sanctions, whe…</t>
  </si>
  <si>
    <t>@RSF_LAW Fantastic Job!  The citizens of Stl &amp;amp; voters of Missouri appreciate your efforts.  Malicious, illegal Prosecutions have no place in modern society.</t>
  </si>
  <si>
    <t>RT @RSF_LAW: On what was to be the fourth day of jury selection in State v. Greitens, Circuit Attorney Kim Gardner has dismissed criminal c…</t>
  </si>
  <si>
    <t>RT @RSF_LAW: Click below to listen to Scott Rosenblum's first public comments regarding State v. Greitens: 
“And what we’ve seen in the Ci…</t>
  </si>
  <si>
    <t>@FOX2now How about No more hiring unnecessary outside special counsel Ronald Sullivan, it’s a wasted expense!  Sullivan could of tried the case, as she was called to witness ! The neglected youth of Stl need that wasted money for recreational resources. PEOPLE BEFORE POLITICS @LydaKrewson</t>
  </si>
  <si>
    <t>@FOX2now 1st stockley , now greitens, How many more divisive , expensive trials are they going to continue to allow Kim Gardner to pursue.  The after effects of her incompetence lingers long over us. Meanwhile crime couldnt be any higher, She needs to resign ! Her office is in shambles</t>
  </si>
  <si>
    <t>RT @FOX2now: Did the Circuit Attorney used funding to prosecute Gov. Greitens over other criminal cases? https://t.co/sDnnQ0QRNY https://t.…</t>
  </si>
  <si>
    <t>CALL TODAY !    Takes a few Minutes to Say 
END THE WITCH HUNT  END IMPEACHMENT 
You want Your Vote for #Greitens Respected https://t.co/akP8TGVar9</t>
  </si>
  <si>
    <t>RT @RightSideUp313: @FOX2now You’d best dig deep Elliott! Something shady going on when $250k is spent on a class D felony. Meanwhile 21 sh…</t>
  </si>
  <si>
    <t>@sigi_hill @scottfaughn @magathemaga1 @ResignNowKim @Str8DonLemon @VisioDeiFromLA @strmsptr @DeplorableGoldn @MariaChappelleN The criminal case is dropped, Faughn crawled out from under his rock.  I believe there is still a supoena issued by his crooked collusion buddies in the closed door house sham report committee.  Jay Barnes for the right price would make mother teressa out to be a harlot   #moleg</t>
  </si>
  <si>
    <t>@VisioDeiFromLA @ST_Designs @blackwidow07 @Boothe08887997 @Neilin1Neil @EricGreitens @RealTravisCook @YearOfZero @KathieConway @inthejungle234 @Norasmith1000 @liberty1776son @DeplorableGoldn @JW1057 Just read the transcript of the taped recording, there is consent .</t>
  </si>
  <si>
    <t>@Neilin1Neil @EricGreitens @RealTravisCook @KathieConway @inthejungle234 @VisioDeiFromLA @Boothe08887997 @JW1057 Kathie was on fox2 she sounded like an idiot</t>
  </si>
  <si>
    <t>@JCunninghamMO @JohnLamping It’s not about us the people it’s about their pockets</t>
  </si>
  <si>
    <t>RT @JCunninghamMO: A friend tweeted this: “It’s a shame some in #MoLeg are letting their distaste for the Gov ‘s actions cause them to take…</t>
  </si>
  <si>
    <t>@HennessySTL ROADTRIP !</t>
  </si>
  <si>
    <t>@blackwidow07 @HennessySTL ROADTRIP , the people are coming !</t>
  </si>
  <si>
    <t>RT @HennessySTL: Developing... https://t.co/itLuqK64rl</t>
  </si>
  <si>
    <t>RT @ResignNowKim: (1) #BadNews : Supporters of Lawful Government of and by the people and not oligarchs- I have heard from several sources…</t>
  </si>
  <si>
    <t>We Paid For It 
Kim Gardner please Resign 
#stl #slcao #lydakrewson #stlboa https://t.co/mgitUXg3He</t>
  </si>
  <si>
    <t>@scottfaughn Did they get paid up front in cash ?</t>
  </si>
  <si>
    <t>@CaseyNolen dropping truth bombs💣 on Scott Faughn
Sneaky Scott is out of hiding https://t.co/oZgY54cM09</t>
  </si>
  <si>
    <t>@tkinder @EricGreitens How much did they collude with Lobbyists &amp;amp; special interest groups?How much did the Low Income Housing tax credit industry pay them? Parsons would reinstate it, greitens would reform it to serve Missourians than their pockets. They want him out so they can have their cash back</t>
  </si>
  <si>
    <t>RT @tkinder: At this point it’s becoming clear #moleg isn’t concerned about the facts so much as removing Governor .@EricGreitens  from off…</t>
  </si>
  <si>
    <t>@ResignNowKim @ES03784893 @EricGreitens @GOP @MOGOP_Chairman @MOrepublicans @JaneDueker @jaybarnes5 But she got paid a lot to say that !</t>
  </si>
  <si>
    <t>@tkinder @EricGreitens I feel the same.   I feel very betrayed by an electorate body that is ignoring the outcome of the election.  They should suck it up and let him finish his term.   They abused Missouri and rewarded their cronies pockets by never reforming the low income housing tax credit</t>
  </si>
  <si>
    <t>RT @tkinder: That #moleg doesn’t pause to reconsider impeachment in light of the case against Governor .@EricGreitens only demonstrates how…</t>
  </si>
  <si>
    <t>UNSEAL THE TRANSCRIPTS https://t.co/PErKWTChHR</t>
  </si>
  <si>
    <t>@VisioDeiFromLA @willscharf @Shawtypepelina @RightSideUp313 @Neilin1Neil @RealTravisCook @SKOLBLUE1 @Rep_TRichardson @blackwidow07 @EricGreitens @RonFRichard @Mikelkehoe  ENOUGH ! Respect the voters</t>
  </si>
  <si>
    <t>RT @VisioDeiFromLA: It's COUP Time!
Not even an apology 4 dragging #greitens through the mud on false charges! 
Now #MoLeg looks to disre…</t>
  </si>
  <si>
    <t>@MarkReardonKMOX Get better friends mental cognitive skills 
She has greitens derangement disorder
Or she gets a nice pay check for her spin positions</t>
  </si>
  <si>
    <t>@MarkReardonKMOX God i hope not, we’re so divided and have been so divided fo so long from tactics like hers.  I hope we can unite and focus on more pressing matters failing our city.  19 shootings &amp;amp; 3 dead this weekend</t>
  </si>
  <si>
    <t>You don’t have to be a democrat or Republican 
Kim Gardner should not be prosecuting anybody 
  The Human Party requests for her Resignation 
#stl https://t.co/Hz0OtqYg4Y</t>
  </si>
  <si>
    <t>What Governor Greitens Said 
👇👇👇 https://t.co/j5FuIQ9xMJ</t>
  </si>
  <si>
    <t>RT @EricGreitens: Above all, I am sorry for the pain that this process and my actions have caused my family, my friends, and the people of…</t>
  </si>
  <si>
    <t>RT @EricGreitens: Today, the prosecutor dropped the false charges against me.
This was a great victory and a long time coming. I've said f…</t>
  </si>
  <si>
    <t>@magathemaga1 @FritzCarltonSTL @jrosenbaum @willscharf @Shawtypepelina @SKOLBLUE1 @RealTravisCook @Neilin1Neil @Avenge_mypeople @blackwidow07 @Hope4Hopeless1 @ByronYork @EricGreitens God no LOL rod u are not a hillbilly from west butler county</t>
  </si>
  <si>
    <t>@HennessySTL Time to go after the Low Income Housing tax credit Industry</t>
  </si>
  <si>
    <t>RT @HennessySTL: Now, that crooked Kim Gardner dropped fraudulent charges, it’s time for the people to take down the crooks trying to overt…</t>
  </si>
  <si>
    <t>Governor Eric Greitens Press Conference after Felony Invasion of Privacy Case was dropped 
We Have a great Mission Before us.
Continue to do Good Together 
In Time The truth comes out !
#greitens #greitenstrial #maga #missouri #moleg #kimshady #stl 
https://t.co/xN3kNTHYWP</t>
  </si>
  <si>
    <t>RT @EdBigCon: BREAKING! The entire case against @EricGreitens has been TOSSED!  #MOLEG #GreitensCriminalTrial</t>
  </si>
  <si>
    <t>RT @MarkReardonKMOX: The entire case against @EricGreitens has been TOSSED. Breaking now...</t>
  </si>
  <si>
    <t>@MarkReardonKMOX Hundreds of thousands of dollars wasted 
That could of gone to much other needier things
Within the city!   Kim Gardner is a disgrace</t>
  </si>
  <si>
    <t>That’s BULLSH*T 
KIM GARDNER MADE THIS MESS, SHE NEEDS TO MOP IT UP 
SHE WASTED HUNDREDS OFTHOUSANDS OF DOLLARS 
#greitens #stl #lydakrewson https://t.co/Pl16i5KAd2</t>
  </si>
  <si>
    <t>Hallelujah https://t.co/jQ6OMpakzV</t>
  </si>
  <si>
    <t>@NARALMissouri @SharkFu @reproaction @Rewire_News Newsflash .. your girls screwed up the coup 
Stacey Newman , Kim Gardner &amp;amp; Mo House Dem leadership.   Why is it that nobody made a police report ? 
Collusion , No Picture , No assault , No police report 
Judge Burlison has ruled she is not an assault victim https://t.co/Ejm4R7uAbi</t>
  </si>
  <si>
    <t>RT @KMOXKilleen: All sides in chambers for sudden meeting with judge in @EricGreitens case. Something is about to happen and it feels signi…</t>
  </si>
  <si>
    <t>@jrosenbaum @jaybarnes5 @Rep_TRichardson When you have the largest recipient of LIHTC using a lobbyist firm &amp;amp; an elected member of moleg works in that firm .  How does that work ?  You have the crooks protecting the crooks</t>
  </si>
  <si>
    <t>RT @Avenge_mypeople: @Neilin1Neil @magathemaga1 @jrosenbaum @jaybarnes5 @Rep_TRichardson @RightSideUp313 @Shawtypepelina @willscharf @EricG…</t>
  </si>
  <si>
    <t>RT @Neilin1Neil: @magathemaga1 @jrosenbaum @jaybarnes5 @Rep_TRichardson @RightSideUp313 @Shawtypepelina @willscharf @EricGreitens @Hennessy…</t>
  </si>
  <si>
    <t>RT @Str8DonLemon: Remember #MoLeg
No evidence.
She dont even have the photo!
The whole case based on that!
When do we disbar Crooked Kim…</t>
  </si>
  <si>
    <t>RT @KCStar: Newspaper booted from press corps over publisher's $50k payment in Greitens case https://t.co/5mCP1nB0Wv</t>
  </si>
  <si>
    <t>@ColleenMNelson NO  not at all  he would reinstate low income housing tax credits back to crooked developers &amp;amp; Lobbyists 
Follow the money 
Who paid the 120k cash https://t.co/pa8fLgexPM</t>
  </si>
  <si>
    <t>@JW1057 @RealTravisCook Soft peter rock</t>
  </si>
  <si>
    <t>@kevinconant62 @strmsptr He did away with 150 million in low income housing tax credits.  Only about .40 of every dollar was actually going to the project. The  LIHTC industry made billions 
They were pissed he cut off their money, they’re behind the coup &amp;amp; collusion 
https://t.co/qTxK3DbhDN</t>
  </si>
  <si>
    <t>@MarcGagne16 @strmsptr Don’t worry we got that one covered too !</t>
  </si>
  <si>
    <t>@RepAnnWagner Disagree with your statements on KMOX about Greitens 
He’s more than fit to lead
He lead Missouri out of ineffective  low income housing tax credits.   This is a witch hunt, no photo ! 
Follow the money behind the 120k cash payments
https://t.co/qTxK3DbhDN</t>
  </si>
  <si>
    <t>Confirmed No picture 
It’s Time the money behind this charade of a case be followed 
Who supplied the 120k cash 
#greitenstrial #greitens #moleg
#followthemoney  #findfaughn 
https://t.co/UzxGl3GwOg</t>
  </si>
  <si>
    <t>RT @eyokley: Bunch of lawmakers from another set of #MOLeg controversies finally got their wish. https://t.co/yu24gKJuai</t>
  </si>
  <si>
    <t>@jeffreyboyd @ronfrichard is the one holding up from governor signing 
Tell him to drive himself up to St. Louis and let’s get em signed</t>
  </si>
  <si>
    <t>@RonFRichard 
Give the Bills to the governor to sign 
Stop holding up signatures for your own political games 
Do the Right thing ! 
#moleg https://t.co/x7FZ0853Gz</t>
  </si>
  <si>
    <t>RT @jrosenbaum: What I’m wondering is if @jaybarnes5 will subpoena low income housing tax credit developers/lobbyists to ask them under oat…</t>
  </si>
  <si>
    <t>RT @CStamper_: We are about to find out what happens when a Soros-backed prosecutor takes a case to trial without literally any actual evid…</t>
  </si>
  <si>
    <t>@CDTCivilWar @MissouriTimes @scottfaughn @EricGreitens @MarkReardonKMOX @kmox
Missouri capital news association has revoked  Missouri crimes membership  due to Scott Faughns payments</t>
  </si>
  <si>
    <t>RT @magathemaga1: Who is “The Funder”?
The Funder likely has connection to following people:
1. #MoLeg
2. Scott Faughn
3. Skyler 
The Fu…</t>
  </si>
  <si>
    <t>RT @TomJEstes: School admins like this guy are now openly opposing a bill that would require public schools to work harder to make sure kid…</t>
  </si>
  <si>
    <t>@AaronBBrown @Nanci_TattooU @rxpatrick Actually the story was common knowledge before election
It would be better if Missouri press followed the money trail behind this circus.  Who is the source of the 120 K cash</t>
  </si>
  <si>
    <t>RT @CDTCivilWar: The Missouri Capitol News Association, by a 7-0 vote, has revoked the membership of @MissouriTimes due to the payments by…</t>
  </si>
  <si>
    <t>@CDTCivilWar @MissouriTimes @scottfaughn @EricGreitens Kudos !  Now Moleg needs to stop subscribing to it</t>
  </si>
  <si>
    <t>@ST_Designs @Neilin1Neil @EricGreitens @RealTravisCook @YearOfZero @KathieConway @inthejungle234 @Norasmith1000 @liberty1776son @VisioDeiFromLA @DeplorableGoldn @Boothe08887997 @blackwidow07 @JW1057 So is saying a picture was taking when it wasn’t 
And colluding with political operatives https://t.co/6GnsAc2xEs</t>
  </si>
  <si>
    <t>Many #Moleg Memebers let Missouri get ripped off for years
Governor Greitens put an end to it 
This is why they want to put an end to him 
150 Million Reasons why 
#greitens #greitenstrial #witchhunt https://t.co/611InOBNcn</t>
  </si>
  <si>
    <t>RT @BryanLowry3: A woman wearing a Greitens shirt is holding a sign near the parking entrance the governor will use that says “Got Your Bac…</t>
  </si>
  <si>
    <t>RT @rnjulesb: Gov. Greitens lawyer says prosecutors have given up on finding photo of ex-mistress https://t.co/IKtxw1EFIZ via @fox2now</t>
  </si>
  <si>
    <t>RT @JW1057: @AbbyLlorico @EricGreitens Do you know if there is good news? KG took ethics class over weekend and learned of her gross miscon…</t>
  </si>
  <si>
    <t>@JW1057 @AbbyLlorico @EricGreitens How about kg decides enough with the violence 19 shootings since Friday , 3 people dead</t>
  </si>
  <si>
    <t>Since Friday Afternoon 
19 shootings 3 people Dead 
Shame on Mayor Lyda Krewson , Shame on Kim Gardner
&amp;amp; Shame on The Board of Alderman
Blown Budgets on excessive unecessary spending &amp;amp; No prosecution for violence 
Poor Leadership  #stl #DonnyBrookSTL https://t.co/2mg7cn8R0o</t>
  </si>
  <si>
    <t>RT @AbbyLlorico: Greitens’ atty Scott Rosenbloom stopped and talked to a woman on his way in. She tells me she approached him to share that…</t>
  </si>
  <si>
    <t>RT @JW1057: @AbbyLlorico @EricGreitens @stlcao @SCRyanSTL You should ask why the CAO isn't complying with public records request. Why can't…</t>
  </si>
  <si>
    <t>@USATODAY 8 things the media is not covering in this witch hunt 
https://t.co/Tmj1se20cO</t>
  </si>
  <si>
    <t>The Special Interest Groups that think they could Run Missouri 
They Paid 120K Cash  to leak a fake sex scandal to try to strongarm #Greitens to Resign 
God Bless His Resillence to their Evil 
Time to come Clean Scott Faughn ! 
#moleg #GreitensTrial
https://t.co/qTxK3DbhDN</t>
  </si>
  <si>
    <t>@FOX2now Does Lyda Krewson See the news ?</t>
  </si>
  <si>
    <t>RT @HennessySTL: Missouri is more corrupt than Russia.  Missouri’s oligarchs are out to get @EricGreitens. The evil oligarchs want your tax…</t>
  </si>
  <si>
    <t>@NickBSchroer @robschaaf He just likes forking over the people of Missouri 
#schaafted Go FORK YOURSELF ROB</t>
  </si>
  <si>
    <t>RT @magathemaga1: @tonymess since U dont want people talking about Stacey Newman's friend or her inconsistent testimony (lies) &amp;amp; perhaps he…</t>
  </si>
  <si>
    <t>RT @Avenge_mypeople: @magathemaga1 @tonymess @blackwidow07 @Shawtypepelina @DerekGrier @MOHouseGOP @grcfay @mopns @Sticknstones4 @SpeakerTi…</t>
  </si>
  <si>
    <t>RT @RightSideUp313: @KMOXKilleen @EricGreitens Kevin, would you kindly investigate who’s paying for all this? City hall is silent so I’m wo…</t>
  </si>
  <si>
    <t>RT @Norasmith1000: @JW1057 @mffisher @EricGreitens @JamesMNHarris Kitty supposedly went to his house to "talk". There were many times that…</t>
  </si>
  <si>
    <t>RT @Neilin1Neil: @Sticknstones4 @liberty1776son @DeplorableGoldn @blackwidow07 @EricGreitens @RealTravisCook @YearOfZero @KathieConway @int…</t>
  </si>
  <si>
    <t>@magathemaga1 @RiverfrontTimes @sarahfenske @ChrisHayesTV @stltoday @KCStar @kmoxnews @KMOXKilleen @MarkReardonKMOX @MarcCox971 @971FMTalk @jallman971 @SpeakerTimJones @AbbyLlorico @ksdknews @CaseyNolen @JoplinGlobe @Emissourian @FOX2now @DJChurchdogg @jrosenbaum @juliematthews50 @TheNewRight Of course it was a planned Thing
They all did a lot of planning Democrats &amp;amp; Republicans 
Both parties have unclean hands in this Thing</t>
  </si>
  <si>
    <t>RT @magathemaga1: @RGreggKeller 
Was going through #MoLeg tweets &amp;amp; a tweet of yours caught my eye
Whipping votes?  
“Failure to see ‘The…</t>
  </si>
  <si>
    <t>RT @SKOLBLUE1: @Sticknstones4 61 homicides? It's not even mid year! With how hot it already is in #STL how are YOU/WE going to figure out t…</t>
  </si>
  <si>
    <t>@jeffreyboyd Mr Boyd how much is being spent on Greitens circus prosecution?  It’s a BS case,! All that money for sullivan , tisaby &amp;amp; expert witnesses could have been better spent serving more dire needs within the city.  Hundreds on thousands of dollars wasted</t>
  </si>
  <si>
    <t>@JGibsonDem Are you also aware that a Missouri publisher delivered 70k cash to the lawyer of the mistresses ex husband , he now is evading service of supoena 
&amp;amp; another mystery man delivered 50k in cash to the lawyer 
The money behind this must be followed https://t.co/AxIEltF5Ed</t>
  </si>
  <si>
    <t>@JGibsonDem Prove it , i have evidence of every single one of those statements , which one are you doubting
Also visit @JW1057  see more evidence that greitens is not a blackmailer</t>
  </si>
  <si>
    <t>@jeffreyboyd We sure can do better !  Stlcao office is a Hot Mess ! 
https://t.co/kte0GphRgY</t>
  </si>
  <si>
    <t>RT @MariaChappelleN: Table. Chairs. Back set. Sunburn. Where's @scottfaughn? https://t.co/BcrLz3hpaQ</t>
  </si>
  <si>
    <t>@JGibsonDem Bro you live in Illinois  you don’t vote in Missouri 
Learn the facts of the case 
https://t.co/Tmj1se20cO</t>
  </si>
  <si>
    <t>@JPCTumblr Find Fake News Scott Faughn &amp;amp; the source of the 120k cash !  It’s a witch hunt
https://t.co/Tmj1se20cO</t>
  </si>
  <si>
    <t>@StevenDialTV @41actionnews Find Scott Faughn 
FOLLOW THE MONEY !!!  Some  #moleg are corrupt https://t.co/bEFDVOTo8l</t>
  </si>
  <si>
    <t>@TomthunkitsMind https://t.co/Tmj1se20cO</t>
  </si>
  <si>
    <t>@springfieldNL I expect it to be dismissed , there’s no photo
And 120 K  in mysterious supplied cash</t>
  </si>
  <si>
    <t>@StevenDialTV @41actionnews Tell the national media to start following the money behind this witch hunt
120K cash must be followed , that’s the real story ! https://t.co/KORsjYCEJt</t>
  </si>
  <si>
    <t>@StevenDialTV @41actionnews History of being on trial for Alledgedy taking a photo 🤳 that does not exist, no witness that has seen this photo, no device that it taken or transmitted &amp;amp; no deletes</t>
  </si>
  <si>
    <t>@KDNLABC30 @38sport @Connections22 
By airing on location, you’re accessory to @scottFaughn evading a supoena 
You are condoning blantant disrespect for the court, collusion to unseat a duly elected governor &amp;amp; unaccounted for cash payments 
#greitens #followthemoney #moleg</t>
  </si>
  <si>
    <t>@ResignNowKim @RGreggKeller @scottfaughn @EricGreitens @BarklageCompany @Rep_TRichardson How much did he pay Scott for that fake write up in the Missouri Crimes of 50 you need to know ?</t>
  </si>
  <si>
    <t>@Neilin1Neil @liberty1776son @DeplorableGoldn @blackwidow07 @EricGreitens @RealTravisCook @YearOfZero @KathieConway @inthejungle234 @Norasmith1000 @VisioDeiFromLA @Boothe08887997 @JW1057 @HereLiesMoon @RizzShow Neil he needs to be subject to a forensic audit, all his finances must be audited.  State needs to make sure taxes were paid as well as IRS .</t>
  </si>
  <si>
    <t>Do a story on How Much the city of St. Louis is spending to prosecute a class D felony ! 
@LydaKrewson @PresReed @ElliottDavisTV @stltoday @KCStar @ksdk @FOX2now @KMOV @kmoxnews 
@nytimes @HuffPost @chicagotribune @gatewaypundit @GeraldoRivera @TuckerCarlson @seanhannity</t>
  </si>
  <si>
    <t>61st Homocide 
Go Lyda Krewson Go !   Your stellar leadship is setting records 
Crime Rises while you allow the city budget to be blown on political Non evidentiary prosecutions💸💸
Pay Attention No Photo just a bunch of dead &amp;amp; wounded
#stl #moleg #homocide #kimshady #stlboa https://t.co/SkTzxEZ4LG</t>
  </si>
  <si>
    <t>@liberty1776son @DeplorableGoldn @Neilin1Neil @blackwidow07 @EricGreitens @RealTravisCook @YearOfZero @KathieConway @inthejungle234 @Norasmith1000 @VisioDeiFromLA @Boothe08887997 @JW1057 @HereLiesMoon @RizzShow The republicans are in on this too ! They are far from Sainted.  The #hayseedmafia is a thing</t>
  </si>
  <si>
    <t>When you have cash payments , closed door sessions, indictments without evidence &amp;amp; witnesses evading a supoena   You better believe there’s nothing fair here! 
This witch Hunt is the actions of a banana republic government not America.  #moleg #greitens
 https://t.co/B7oHOsBZd7</t>
  </si>
  <si>
    <t>@MariaChappelleN Tax credits for developers are always at the root of Missouri Corruption</t>
  </si>
  <si>
    <t>RT @JW1057: 1/2 @MariaChappelleN I don't believe the $120k to Watkins was all the money spent. Where is the money for Scott Simpson coming…</t>
  </si>
  <si>
    <t>Looking at Greg Keller’s late night drunken twitter rants.
Dude would have been better served to just rub one out, and sleep it off .  At least he would have had hair gel
#moleg #missouri #lobbyist #corruption #greitens https://t.co/9chhQDGbAG</t>
  </si>
  <si>
    <t>@RGreggKeller Stanky Cigar Smokin’ Drama Queen 
You fake news generating, cash stuffing, lobbyists 
LOVE auto play up that non existent, no proof 👋🏻 slap
This mother’s day i hope yo mama 👋🏻 slaps You back to decency</t>
  </si>
  <si>
    <t>@Shawtypepelina @MissouriTimes @scottfaughn The anty went up , he was outted with 2 more cash payments of 10k each he neglected to tell us about 
It was a total of 70 k cash those chubby fingers laid their hands on.    He needs to be Audited by the state &amp;amp; IRS 
He’s evading a supoena to a court  DEMAND an audit</t>
  </si>
  <si>
    <t>@RGreggKeller The only thing i have in common with drunk, bad parent Alec Baldwin is I like to play word with friends 
You have something in common , Your custom suits are pretty ill fit.   May I suggest lay off the booze and hit the gym pudgy wudgy.</t>
  </si>
  <si>
    <t>@KMOXKilleen @EricGreitens  https://t.co/ulHCyRIZcm</t>
  </si>
  <si>
    <t>@lltwing @LeonardPittsJr1 https://t.co/Tmj1se20cO</t>
  </si>
  <si>
    <t>@Neilin1Neil @EricGreitens @RealTravisCook @YearOfZero @KathieConway @inthejungle234 @Norasmith1000 @liberty1776son @VisioDeiFromLA @DeplorableGoldn @Boothe08887997 @blackwidow07 @JW1057 Supoena evading Faughn needs a forensic audit 
Can’t cheat the state or federal government out of their portion of the 120K cash 
Nobody likes a tax cheat !   Maybe @KathieConway will spearhead an open door Audit Faughn committee</t>
  </si>
  <si>
    <t>@Avenge_mypeople Got s’mores</t>
  </si>
  <si>
    <t>RT @SKOLBLUE1: @dcexaminer Has anyone seen @scottfaughn ? Last seen with bags of money at least $70,000 paid to Al Watkins in #GreitensTria…</t>
  </si>
  <si>
    <t>@JW1057 @RonFRichard @VisioDeiFromLA @magathemaga1 @rxpatrick @joelcurrier @MarkReardonKMOX @CStamper_ @MOGOP_Chairman @StLCountyRepub What is change the dynamic of the criminal justice system mean ? Make laws to suit your political agendas</t>
  </si>
  <si>
    <t>RT @ResignNowKim: @stltoday Maybe they’ll hold a hearing about @staceynewman and @stlcao @kimgardner77th  and Newman’s son’s tax credit con…</t>
  </si>
  <si>
    <t>@TomJEstes Does debating get in the way of Hawleys workout schedule 
Surely he can muster up a few rebuttals between pumps &amp;amp; protein shakes 
@AP4Liberty  this vid is da bomb</t>
  </si>
  <si>
    <t>RT @TomJEstes: Austin Petersen continues to rise as the outsider candidate in the #mosen GOP primary. Austin’s dominance of GOP candidate f…</t>
  </si>
  <si>
    <t>@Lautergeist Momma k  that looks &amp;amp; sounds amazing  Happy Mother’s Day 🥩🥔🍷💐</t>
  </si>
  <si>
    <t>@Avenge_mypeople @JW1057 @RonFRichard @VisioDeiFromLA @magathemaga1 @rxpatrick @joelcurrier @MarkReardonKMOX @CStamper_ @MOGOP_Chairman @StLCountyRepub That would be a conflict of interest
@jaybarnes5  should have asked  @tommiepierson to recuse himself 
Sham witch hunt committee !</t>
  </si>
  <si>
    <t>RT @JW1057: 1/3 🚨MO Investigative Committee Conflict of Interest🚨 
@TommiePierson is a member of committee investigating @EricGreitens. Tom…</t>
  </si>
  <si>
    <t>RT @JW1057: Do you think a man who has taken a nonconsensual nude photo of you and sexually and physically abused you can be a good Governo…</t>
  </si>
  <si>
    <t>@blackwidow07 No carbs 👍🏻</t>
  </si>
  <si>
    <t>RT @ResignNowKim: @RGreggKeller Despicable: a word reserved for GOP Iagos (see Othello) like @Hafnermo @BarklageCompany @RGreggKeller @jayb…</t>
  </si>
  <si>
    <t>RT @HennessySTL: “Two children were among four people wounded in a shooting Friday evening, police said.” And the St. Louis City government…</t>
  </si>
  <si>
    <t>RT @tkinder: US Prisoners Freed From North Korea Release Statement Thanking God, Trump, Pompeo “God Bless America, The Greatest Nation In T…</t>
  </si>
  <si>
    <t>@JoeTweetsItReal @HennessySTL @JW1057 Let’s talk about this state rep and her involvement in the collusion https://t.co/9lZzPeH0Pe</t>
  </si>
  <si>
    <t>@JoeTweetsItReal @HennessySTL @JW1057 Greitens is bad for the greedy republican corruption of sucking the money out of the welfare tax credit 
Greitens is bad for Missouri millionaires 
For the every day hard working Missourian Greitens is great !</t>
  </si>
  <si>
    <t>@SKOLBLUE1 @wrap02 @EricGreitens @SheenaGreitens @stlcao Go after the TAX CHEATS , Follow the Money 
12O K cash must be audited</t>
  </si>
  <si>
    <t>RT @for_congress: It amazes me that those media outlets who spent the past four months condemning - then convicting Missouri Governor Greit…</t>
  </si>
  <si>
    <t>@dcexaminer Greitens was elected and he will be staying !
Follow the collusion &amp;amp; money behind this witch hunt 
Who paid the 120k cash payments?
There’s is No Photo !
Do a story on who profits from Missouri’s ineffective Low income housing tax credit That greitens cut off https://t.co/vRAgyJNH2y</t>
  </si>
  <si>
    <t>@dubvNOW There’s No Photo , phone was searched 16,000 images later no photo,no delete 
Follow the money , the 120k in cash payments made to lawyer of woman’s ex husband</t>
  </si>
  <si>
    <t>@Watersun555 @AP End the witch hunt ! No photo No Case @ap Follow the 120k cash money behind this 
The cash money needs to be followed</t>
  </si>
  <si>
    <t>RT @Johnstark1776: @President1Trump @JustSayingIt They have no grounds for impeachment. Like the bullying of Roy Moore, and now Eric Greite…</t>
  </si>
  <si>
    <t>@blackwidow07 @JW1057 @EricGreitens @Rep_TRichardson @RonFRichard @jeanielauer @shawnrhoads154 @gcmitts @TommiePierson @KevinLAustin1 @MarkReardonKMOX @HennessySTL Either that or he’s being paid in more cash for as he said 
“The fallout “</t>
  </si>
  <si>
    <t>RT @for_congress: https://t.co/sM1XtQ15oD Since Katrina "Kitty"Sneed apparently lied about the photo, and no proof of any photo ever being…</t>
  </si>
  <si>
    <t>@for_congress A little fun fact the media isn’t covering 
The Naked Truth 
#greitens #greitenstrial https://t.co/3iMz4jPFDD</t>
  </si>
  <si>
    <t>RT @kmoxnews: .@MarkReardonKMOX #Column: Let the Circus Begin in Greitens Trial https://t.co/vRiIYjuD2Q</t>
  </si>
  <si>
    <t>@kmoxnews @MarkReardonKMOX The Money Must Be Followed ! 
120k Cash Must be audited 
Scott Faughn is still evading a supoena 
Considering Jane is an attorney &amp;amp; her hubs is a judge her  comments on air being so cavalier about evasion make her seem the unethical paid schil she is</t>
  </si>
  <si>
    <t>RT @CampSakima: @kmoxnews @MarkReardonKMOX Motivations? Most reasonable people can speculate on the motivations. 
Follow the MONEY. That is…</t>
  </si>
  <si>
    <t>The Great Greitens Railroading 
There’s No Photo 
#greitens #greitenstrial #soros #missouri #stlouis #stl #kimshady 
https://t.co/zvjnZ1UdJe</t>
  </si>
  <si>
    <t>@KMOXKilleen @EricGreitens This lady is just spectacular, she Welled up with tears on fox 2.  She represents the emotions of all the people watching their elected candidate being witch hunted.
Malicious prosecution</t>
  </si>
  <si>
    <t>@monicadavey1 @juliebosman Please see my thread with facts 
Dm me  the money must be followed behind this witch hunt !  
https://t.co/Tmj1se20cO</t>
  </si>
  <si>
    <t>You’re so hung up on cheaters, Me Too 
I hate Tax Cheats!  Scott Faughn ‘s 70K needs a forensic Audit.  Missouri &amp;amp; Federal Government can’t be Cheated
120k cash must be followed #FollowTheMoney
#greitens #GreitensTrial #witchhunt #moleg #mogov #STLCards #STL  #KCRoyals #KCMO https://t.co/mLq0xqnWbJ</t>
  </si>
  <si>
    <t>@ScottCharton @EricGreitens @VP You’re so hung up on cheaters, Me Too 
I hate Tax Cheats!  Scott Faughn ‘s 70K needs a forensic Audit.  Missouri &amp;amp; Federal Government can’t be Cheated
120k cash must be followed #FollowTheMoney
#greitens #GreitensTrial #witchhunt #moleg #mogov #STLCards #STL  #KCRoyals #KCMO</t>
  </si>
  <si>
    <t>RT @AshleyRose360: Gov Greitens mistress continuously denies he took a picture of her, and now they can confirm he never deleted any photo…</t>
  </si>
  <si>
    <t>@warkabowt  https://t.co/SjYTx6ioBS</t>
  </si>
  <si>
    <t>@NYTNational There’s 120k in cash payments 70k coming from a local fake news publisher Scott Faughn the media has tainted the jury pool. No photo this is a witch hunt. The money must be followed !   DM ME 
https://t.co/Tmj1se20cO</t>
  </si>
  <si>
    <t>@HennessySTL Hafnermole’ sounds like rotten avocados</t>
  </si>
  <si>
    <t>@Shawtypepelina @RealTravisCook It’s was joke, only an 80s child knows a yugo 😂</t>
  </si>
  <si>
    <t>Does @mayorkrewson @presreed know? You’re letting @stlcao Kim Gardner spend a fortune prosecuting #Greitens with No Photo while violent cases are ignored!  #stl #greitenstrial
One dead, eight wounded on violent Friday evening in St. Louis https://t.co/zwjD0Tj5rO via @stltoday</t>
  </si>
  <si>
    <t>@FOX2now  https://t.co/ouAnbpdJqt</t>
  </si>
  <si>
    <t>@314TruthSeeker @HennessySTL Florida   at least it has better weather 
And Id take Rick Scott a a senator over Hawley any day</t>
  </si>
  <si>
    <t>@KMOV 16,000 photos later  NOTHING 
#greitenstrial https://t.co/9Cpnnm3HU7</t>
  </si>
  <si>
    <t>@RealTravisCook Lol what’s a yugo</t>
  </si>
  <si>
    <t>@HennessySTL Seriously if there is no security to voters in who they elect, why would anybody invest here ?</t>
  </si>
  <si>
    <t>@HennessySTL @JW1057 If they impeach Greitens I’m moving out of Missouri .
There is no point of investing in a state with such crooked leadership. It also Un American to live in a place where your vote doesn’t count.  #MOEXIT</t>
  </si>
  <si>
    <t>RT @JW1057: Katrina "Kitty" Sneed doesn't believe her own accusations against @EricGreitens. Kitty embraces metoo and refers to secret phot…</t>
  </si>
  <si>
    <t>@CaseyNolen What a waste of a perfectly good black T-shirt</t>
  </si>
  <si>
    <t>Let me guess ?  Parsons will pick Lobbyist
Steven Tilley 
#followthe money https://t.co/NdxVq7sQqO</t>
  </si>
  <si>
    <t>2nd quadruple shooting this week in St Louis 
But hey #Moleg let’s not make reducing Black Homocide in 
Missouri a priority , let’s just Witch Hunt #Greitens instead https://t.co/1JqDZ27rYV</t>
  </si>
  <si>
    <t>@stlpublicradio No photo and no evidence of a deleted photo 
How much is this spectacle costing St. Louis</t>
  </si>
  <si>
    <t>RT @cturtle31: @TonyRenner @stlpublicradio 16,000+ items looked at. No sign of photo, no sign of a deleted photo. The one thing Kim Gardner…</t>
  </si>
  <si>
    <t>@Neilin1Neil @EricGreitens @RealTravisCook @KathieConway @inthejungle234 @Norasmith1000 @liberty1776son @VisioDeiFromLA @DeplorableGoldn https://t.co/TBooUBxr24</t>
  </si>
  <si>
    <t>RT @EdBigCon: @sarahkendzior Isn’t it weird how Kitty cut @Koster4Missouri hair also?</t>
  </si>
  <si>
    <t>@olivec5919 See my pinned tweet , it’s a  witch hunt</t>
  </si>
  <si>
    <t>@CStamper_ when she has evidence she can make a case from, the perpetrator goes free</t>
  </si>
  <si>
    <t>@kmoxnews  @MarkReardonKMOX 
Listening to you Jane is incorrect 
Faughn said the money was for a book not attornies fees for phil Snead 
Why did Scott Faughn have debt that instantly has 70 K 
How much is faughn paying her for psycho spin ?</t>
  </si>
  <si>
    <t>Interesting ? 
Video Connects the Dots: Conspiracy Against Governor Coming Into Focus https://t.co/bfXIgABLiX</t>
  </si>
  <si>
    <t>@grcfay It’s like trying a murder case with no body or evidence that the person ever existed</t>
  </si>
  <si>
    <t>GOT MILK ?🐄🥛
No photo is more like spilt milk
#greitens #findfaughn https://t.co/r0mx0GZsgg</t>
  </si>
  <si>
    <t>@blackwidow07 Heheh i like that #scottfree except Scott Faughn he needs to be locked up</t>
  </si>
  <si>
    <t>I know how you feel @MariaChappelleN 
Ron F Richard thinks only his voice &amp;amp; thoughts are all that matters.  He’s abusing his power &amp;amp; manipulating it for his own evil agenda .  He doesn’t respect anyone, only those that put dollars in his pockets. https://t.co/htwMx2AS5t</t>
  </si>
  <si>
    <t>Public defenders are asking the court to take action against the St. Louis Circuit Attorney's Office for failing to follow the rules of discovery 
St. Louis Circuit Attorney's Office Refuses to Follow the Law, Public Defender Charges https://t.co/ZXTxkuE7wf</t>
  </si>
  <si>
    <t>@HennessySTL Greedy Boss Hogg’s ripping off Missourians</t>
  </si>
  <si>
    <t>RT @HennessySTL: The Tax Credit Lobby is Missouri's Russian Oligarchy. Inculturated corruption. And Speaker Richardson and Greasy Jay Barne…</t>
  </si>
  <si>
    <t>RT @HennessySTL: House Republicans and their corporate masters are turning #moleg Democrat for a generation (or longer!). Terrible humans w…</t>
  </si>
  <si>
    <t>@HennessySTL @robschaaf The one thing he should have Forked , he didn’t 
Schaaf Forked us over 🍴</t>
  </si>
  <si>
    <t>@rxpatrick @joelcurrier Oh pluze  publicly visable is Fake News 
He’s been plenty visable , just not at events you want to cover !    
The person that has the visability issue is Scott Faughn evading supoena!</t>
  </si>
  <si>
    <t>@PrivateJetLife7 🙏🏻</t>
  </si>
  <si>
    <t>RT @Str8DonLemon: One of my favs to describe this whole mess.
Follow the money!
#greitenstrial #GreitensCriminalTrial 
#Greitens #stlouis…</t>
  </si>
  <si>
    <t>RT @magathemaga1: Hmmm..... 
#MoLeg #MoGov #GreitensTrial #Greitens #stlouis #missouri #stl #kcmo https://t.co/CBrGbcgACF</t>
  </si>
  <si>
    <t>@gracehaun @EricGreitens some facts in the case 
https://t.co/Tmj1se20cO</t>
  </si>
  <si>
    <t>@kmbc @KrisKetzKMBC Where is Scott Faughn hiding ?
Delivers 50k, 10k &amp;amp; 10 k for total of 70K
Now hides to evade supoena https://t.co/6SF0GmHM8S</t>
  </si>
  <si>
    <t>@kmbc @KrisKetzKMBC 8 things the media hasn’t told you in the Greitens case 
https://t.co/Tmj1se20cO</t>
  </si>
  <si>
    <t>RT @KevinS63103: #GreitensTrial
A felon can kill someone at Ballpark Village or felons can hijack the governor's wife car and Kim Gardner w…</t>
  </si>
  <si>
    <t>@KevinS63103 C’mon it’s hard work to make a case about taking a picture with no actual picture</t>
  </si>
  <si>
    <t>#DONNYBROOKSTL   
Thread on 8 things the media isn’t telling you 
In #GreitensTrial   #greitens 
https://t.co/Tmj1se20cO</t>
  </si>
  <si>
    <t>#DONNYBROOKSTL   Senator Nadal is trying to find Scott Faughn 
https://t.co/ZW4zhspbpA</t>
  </si>
  <si>
    <t>@wingomiller @GovGreitensMO The naked truth Katrina sneed was not a victim 
She was a willing participant https://t.co/Wn8U3ax6FG</t>
  </si>
  <si>
    <t>@wingomiller @GovGreitensMO Collusion https://t.co/jRwq6mosbn</t>
  </si>
  <si>
    <t>@wingomiller @GovGreitensMO His ex mistress &amp;amp; her ex husband should have made a police report !  Instead they made some stupid tape to try to sell/blackmail,  2 years later somebody was willing to pay for it  120k cash 
Follow the money https://t.co/h5Vs3ycVqg</t>
  </si>
  <si>
    <t>@3JackMiguel @Liz_Wheeler How many days since Rep Stacey Newman, Mo House Dem Leadership, Prosecutor Kim Gardner , coerced, conspired &amp;amp; colluded  with His Ex Mistress to leak a fake sex scandal   #missouricollusion #soros https://t.co/KlSpOPqj81</t>
  </si>
  <si>
    <t>@RealBigRedBeard You really should get on board with @MariaChappelleN 
The senator has really Woke Me on many issues
She’s putting the rest of #Moleg to shame 
Don’t knock it til u try it ,   Bipartisanship can be beautiful https://t.co/5sD1EnPihu</t>
  </si>
  <si>
    <t>RT @PDEditorial: Editorial: While Greitens case gets all the attention, public defenders say other cases suffer https://t.co/Lv6QSOYRfG</t>
  </si>
  <si>
    <t>@mark_osmack @NARALMissouri @reproaction Consensual sex is not against the law</t>
  </si>
  <si>
    <t>@DorcasLyons4 @Mizzourah_Mom @shesova @EricGreitens @TuckerCarlson @FoxNews @molegislature Soros money has a direct pipeline through prosecutor Kim Gardner,   She hired attorney Robert steel as special prosecutor, any soros money can by funneled through his private law office. The 120K  is more likely from lobbyists, special interests in low income housing tax credits https://t.co/aFAvZJTClG</t>
  </si>
  <si>
    <t>RT @HotPokerPrinces: Fake News in the making
💰💵 + 👨🏼‍💻👨🏻‍💻 = Nothing Burger 🍔 
#findfaughn #greitens #moleg https://t.co/91Go8i3wjQ</t>
  </si>
  <si>
    <t>@memoriadei @RonFRichard @Rep_TRichardson They are abusing their power,  this legislation passed house &amp;amp; senate,   Stoping, holding and not signing into law 
Is playing games
We didn’t elect them to do a half assed job !
Finish the job ! Greitens can sign into Law !</t>
  </si>
  <si>
    <t>@memoriadei The problem is @RonFRichard @Rep_TRichardson
It’s not the governor 
https://t.co/Oz2SCbMRIO</t>
  </si>
  <si>
    <t>RT @realDonaldTrump: The highly anticipated meeting between Kim Jong Un and myself will take place in Singapore on June 12th. We will both…</t>
  </si>
  <si>
    <t>@memoriadei Same Girl Same , it’s disgraceful !</t>
  </si>
  <si>
    <t>RT @memoriadei: I am ashamed of #moleg the first time in the 15 yrs I have been in this great state.  Your pressure in posts and #media hav…</t>
  </si>
  <si>
    <t>@MariaChappelleN Suggestion  Amazon Prime has large quantity boxes 
How about a donation campaign where people can just click n ship ?</t>
  </si>
  <si>
    <t>RT @MariaChappelleN: Notable articles this morning. https://t.co/t2ibzc2ru7</t>
  </si>
  <si>
    <t>@rxpatrick Bless His Heart I’m sending him a note of Thanks &amp;amp; encouragement while he awaits release 11-16-18 
Booking Number 1707936
Innmate Benjamin Barber 
Washington County Jail
215 SW Adams Ave
Hillsboro Oregon 97123-3874</t>
  </si>
  <si>
    <t>RT @christoferguson: Remind me again why a bench trial was not allowed? #Moleg https://t.co/Es26FwocMA</t>
  </si>
  <si>
    <t>@J_Hancock @MariaChappelleN @scottfaughn @ScottSifton @BobOnderMO #findfaughn #moleg 
Ask what senators &amp;amp; their lobbyists gave Faughn the cash https://t.co/qZatC7P1sC</t>
  </si>
  <si>
    <t>@J_Hancock @MariaChappelleN @scottfaughn @ScottSifton @BobOnderMO #findfaughn https://t.co/tAliEvbnEV</t>
  </si>
  <si>
    <t>RT @J_Hancock: . @MariaChappelleN says she plans to go one by one through the 34-member Senate, asking each Senator if they know where @sco…</t>
  </si>
  <si>
    <t>@J_Hancock @MariaChappelleN @scottfaughn @ScottSifton @BobOnderMO Please tell Maria that Sticks the Non Bot just Loves Her</t>
  </si>
  <si>
    <t>RT @HotPokerPrinces: MEDIA, TIME TO STOP GETTING YOUR STRINGS PULLED BY SCOTT FAUGHN
 FOLLOW THE MONEY !
120K CASH BUYS A FAKE SEX SCANDA…</t>
  </si>
  <si>
    <t>@b_sparks6 @kmbc @KrisKetzKMBC Follow the Money behind this 
120K  in cash deliveries must be investigated 
Scott Faughn delivered 70 K of it https://t.co/NYQRUA3NOU</t>
  </si>
  <si>
    <t>RT @magathemaga1: @Sticknstones4 @shesova @EricGreitens @TuckerCarlson @FoxNews @molegislature Follow the money!
#MoLeg #mogov #Greitens #…</t>
  </si>
  <si>
    <t>@warkabowt https://t.co/Tmj1se20cO</t>
  </si>
  <si>
    <t>@joelcurrier @EricGreitens Bless his heart , must write him a thank you note</t>
  </si>
  <si>
    <t>@rep_am The case with No picture</t>
  </si>
  <si>
    <t>@NARALMissouri @CRCStLouis Rabbi Talve I see you standing here with Greitens Mistress
Katrina Sneed  April 26,2017 
You and Stacey Newman Know this was a consensual affair, but used this for poltical purposes 
shame on you !   Shame on CRC https://t.co/E02xN7tEdE</t>
  </si>
  <si>
    <t>@shesova @EricGreitens @TuckerCarlson @FoxNews @molegislature Late Motions reveal Faughns hands delivered a total of 70k
1 money bag drop of 50k and 2 others for 10k
So far we know 120k Cash is behind this witch hunt to try to oust Governor Eric Greitens</t>
  </si>
  <si>
    <t>RT @shesova: This man Faughn runs the Missouri Times. He has a real bone to pick with @EricGreitens Suddenly he has $50K in cash delivered…</t>
  </si>
  <si>
    <t>@mopns @mopns  DM ME</t>
  </si>
  <si>
    <t>@SuchHate I almost chocked on my lunch laughing</t>
  </si>
  <si>
    <t>RT @magathemaga1: #greitenstrial #donnybrookstl https://t.co/mzagomPcoJ</t>
  </si>
  <si>
    <t>Shadow ban help please @TwitterSupport 
Please remove 
Thanks 
@parscale</t>
  </si>
  <si>
    <t>@NARALMissouri The Naked Truth
There’s No Picture 
Katrina Sneed used FaceTime Nude 
#consenualaffair #greitens https://t.co/arZGFOM4pZ</t>
  </si>
  <si>
    <t>@NARALMissouri You stand for politicians &amp;amp; prosecutors
To coerce a fake story ? https://t.co/2Dyt0yjUyA</t>
  </si>
  <si>
    <t>Rabbi Talve is actually coming out to protest
She’s Fake !  She colluded with Stacey Newman &amp;amp; Katrina Sneed 
#greitens https://t.co/FEfwLT6C5B</t>
  </si>
  <si>
    <t>@NARALMissouri @CRCStLouis Rabbi Talve has been inonthe collusion
With the fake sex scandal from the beginning 
Fake sex scandals hurt the real victims
Shame on you ! https://t.co/MbK4DtJJzb</t>
  </si>
  <si>
    <t>Bench trial time https://t.co/zNflQdtGvO</t>
  </si>
  <si>
    <t>@NARALMissouri You stand for fake sex scandals with paid fake victims 
That were consensual relationalships ? https://t.co/pYODIQH32J</t>
  </si>
  <si>
    <t>@brettblumekmox  https://t.co/7GsmVRKZUd</t>
  </si>
  <si>
    <t>RT @SKOLBLUE1: #DonnybrookSTL can't wait for your show tonight! Hope we can talk about Collusion, Stacey Newman, Scott Faughn and the Corru…</t>
  </si>
  <si>
    <t>@kmbc How did we get Here ? https://t.co/W1iJHb1iWl</t>
  </si>
  <si>
    <t>@kmbc The money needs to be followed  in Greitens witch Hunt https://t.co/3zsxSsdlAH</t>
  </si>
  <si>
    <t>RT @Mattbeckyall: @Sticknstones4 If you follow the money trail it might not all lead to the same house, but it sure as hell will be the sam…</t>
  </si>
  <si>
    <t>RT @MSTLGA: FOLLOW THE MONEY
Who was the source of the 120K Cash ?
#Moleg #MoGov #Greitens https://t.co/d1nMvvWoBc</t>
  </si>
  <si>
    <t>RT @EdBigCon: @sarahkendzior @StaarVellocet #Fact Bought and paid for GOPe are the ones trying to impeach him.  Hafner was fired because he…</t>
  </si>
  <si>
    <t>RT @magathemaga1: Good Morning #MoLeg
We need to talk
We still dont know where Scott Faughn is
We still dont know where the money came f…</t>
  </si>
  <si>
    <t>@eseider Hawley is a joke</t>
  </si>
  <si>
    <t>@useurheadandwin @mattmfm @NYGovCuomo @RonanFarrow  https://t.co/7Kf7UYEdKy</t>
  </si>
  <si>
    <t>@useurheadandwin @mattmfm @NYGovCuomo @RonanFarrow We need Ronan Farrow here in Missouri to 
Follow the Money
120K Cash buys a fake sex scandal coup to try to force a governor to resign 
Missouri Collusion #MoLeg is corrupt https://t.co/nPMaibILEo</t>
  </si>
  <si>
    <t>@useurheadandwin @mattmfm @NYGovCuomo @RonanFarrow https://t.co/Tmj1se20cO</t>
  </si>
  <si>
    <t>@orlandosentinel https://t.co/Tmj1se20cO</t>
  </si>
  <si>
    <t>@VickiHartzler Seriously youre offended at how My elected governor dresses?  Get Real lady, who died and made you the poltical fashion police</t>
  </si>
  <si>
    <t>@ksdknews I wish the judge would enforce the rules on the Prosecutor 
Kim Gardner.  Sanctions Must be issued for the Prosecutorial Malfeasance https://t.co/7RDvdaa8Gq</t>
  </si>
  <si>
    <t>@Mattbeckyall No Doubt It’s a collaborative effort  of Republicans &amp;amp; Democrats in Missouri Collusion 
Time to start Following the Money 120K Cash 
#greitens #witchhunt #soros #lowincomehousingtaxcredits  #developers #lobbyists https://t.co/0h65KNkzrr</t>
  </si>
  <si>
    <t>@craasch @stltoday Build a wall</t>
  </si>
  <si>
    <t>@RonFRichard  @Rep_TRichardson 
Stop being Jackasses to the People of Missouri 
You’re Holding 30 Bills of passesd Legislation for no reason than your own personal Spite
WE DEMAND THESE BILLS BE SIGNED INTO LAW !
Governor #Greitens hand &amp;amp; Pen work just Fine 
#moleg https://t.co/4lH37ndcp6</t>
  </si>
  <si>
    <t>@APCentralRegion It’s time to Follow the money in Witch Hunt
Who Paid 120K Cash 
#greiteins https://t.co/68THkBph4S</t>
  </si>
  <si>
    <t>RT @DevDog1776: @DavidLimbaugh @kilmeade @HawleyMO Maybe if @HawleyMO showed some interest in taking on the rampant corruption in the City…</t>
  </si>
  <si>
    <t>@FreeCARadio Missouri Collusion #greitens https://t.co/p3JYyXwpuF</t>
  </si>
  <si>
    <t>You Don’t Tell my Governor to Resign without Due Process
Remember that on Election Day #Moleg https://t.co/JWiBAirCPx</t>
  </si>
  <si>
    <t>RT @HotPokerPrinces: WHEN THE SHERIFF GIVES YOU A HUG  &amp;amp; PATS YOU ONTHE BACK FOR SUPPORT 
YOU KNOW ITS A WITCH HUNT  !    GO GOVERNOR GREI…</t>
  </si>
  <si>
    <t>RT @JW1057: @KMOV Prosecution admits: No alleged photo. No witness who saw alleged photo. No evidence that alleged photo was transmitted to…</t>
  </si>
  <si>
    <t>@Mattbeckyall The money must be followed ! 
Witch Hunts are bought &amp;amp; Paid For
#greitens https://t.co/aBeJJY9RxS</t>
  </si>
  <si>
    <t>@ThisWeekABC Missouri Collusion
WITCH HUNT 
Follow the Money 
Corrupt Coup   #greitens #memesdontlie https://t.co/bm1EwOY4WT</t>
  </si>
  <si>
    <t>@ABCPolitics The case is based on a non existent photo https://t.co/IqBWeQxQec</t>
  </si>
  <si>
    <t>@ABCPolitics Follow the Money 
Who paid 120 K CASH 
CORRUPT COUP 
#greitens https://t.co/CROk4j84g3</t>
  </si>
  <si>
    <t>@ThisWeekABC Follow the Money 💰 
Who is the source behind the 120K cash Paid ?
#greitens  #memesdontlie https://t.co/6T9GQzVOEE</t>
  </si>
  <si>
    <t>@lindsaywise Follow the Money 💰Dont Believe Scott Faughn’s Spin
70 K cash his hands have delivered  #greitens #nothismoney https://t.co/Mfoe6jc63Y</t>
  </si>
  <si>
    <t>Scott Faughn evades Reporters Too https://t.co/QGtbvbw84k</t>
  </si>
  <si>
    <t>RT @Sticknstones4: @K___Garner If would be good if #Moleg would stop hiding scott faughn and get a list of lobbyists &amp;amp; special interests th…</t>
  </si>
  <si>
    <t>Any Fake news reporters rubbing their noses 
Take NOTE ⬇️ https://t.co/BBzKT29Kkj</t>
  </si>
  <si>
    <t>5 Fun Facts about ME
I’m Not a Bot 
I’ve Never Driven Drunk
I’ve Never had any Felonies or been arrested 
I’ve never had a tax lien federal or state, not even a late penalty
I’ve never had a civil suit filed against me or any business 
#botsdontlie #greitens #Followthemoney https://t.co/hzLbd0gjC6</t>
  </si>
  <si>
    <t>“SCOTT FAUGHN IS HORSE SHIT &amp;amp; A FAKE JORNALIST! “
PREACH !! MNC  PREACH !!! 
#moleg https://t.co/WJbjvqVsvb</t>
  </si>
  <si>
    <t>Watching this spectacle of a No Photo Fake Sex Scandal that the #moleg witch hunters thought would force the Governor to Resign
Kim Gardner should be forced to make reparations to the #stl taxpayers for this nonsense
PAID prosecutor, Liar to investigate, unexpert witnesses https://t.co/jQT2hmQdzX</t>
  </si>
  <si>
    <t>@SuchHate 2nd time this week</t>
  </si>
  <si>
    <t>@internalmonolo2 https://t.co/TBooUBxr24</t>
  </si>
  <si>
    <t>@internalmonolo2  https://t.co/CFPEBg8chJ</t>
  </si>
  <si>
    <t>@FOX2now The prosecution has no picture #greitens https://t.co/UTDqjuREBI</t>
  </si>
  <si>
    <t>RT @KMOV: Shooting in North St. Louis leaves 1 with life threatening injuries https://t.co/PyAEUDFmWl https://t.co/uXgMnXb9Os</t>
  </si>
  <si>
    <t>Howeowner Shoots a Burglar
2nd one this week 
#2A  #moleg #Stl https://t.co/q5SxQbAZq5</t>
  </si>
  <si>
    <t>@jmannies Follow The Money 
I mean really if you got a bag of cash you’d be all LOL’s too 
Who’s the financier of the Greitens With Hunt https://t.co/jlzB1eaqkN</t>
  </si>
  <si>
    <t>@MarkReardonKMOX @scottfaughn No mention of the extra 20K cash deliery 
No mention of accepting his supoena
Scott Lies by omission &amp;amp; simply is not credible
70K cash deliveries to Al Watkins
Follow the Money ! 
#greitens #greitensreport https://t.co/KDOLHvye42</t>
  </si>
  <si>
    <t>RT @Lautergeist: What's the source of the $50k CASH @scottfaughn paid to #MoneybagsAl Watkins, attorney for #PhilipSneed aka #MoonValjean @…</t>
  </si>
  <si>
    <t>WHO PAID FOR GREITENS POLITICAL HITJOB ?
📌 SHAM HOUSE COMMITTEE WONT TELL
📌THE MEDIA WONT TELL 
📌PROSECUTOR KIM GARDNER DOESNT WANT JURY TO KNOW
📌SCOTT FAUGHN  STORY IS BS
WHO IS THE SOURCE OF THE MONEY ?  120K CASH
FOLLOW THE MONEY 💰 
#moleg #Greitens #WitchHunt https://t.co/IgYDrNL5F5</t>
  </si>
  <si>
    <t>RT @MariaChappelleN: @Sticknstones4 @K___Garner Faughn has Democrats and Republicans protecting him. No one has answered why he keeps playi…</t>
  </si>
  <si>
    <t>RT @ResignNowKim: @RealTravisCook @Norasmith1000 True- but it’s also about the opportunism of the leadership of both political parties and…</t>
  </si>
  <si>
    <t>RT @RealTravisCook: Hey now--the kitty (Sneed, that is) screwed the Governor just as much as he screwed her.  She's just as much to blame f…</t>
  </si>
  <si>
    <t>@HennessySTL He was out for delivery delivery  💵💵💵 https://t.co/5fIoaGXO3b</t>
  </si>
  <si>
    <t>RT @VisioDeiFromLA: Outsider advice
U screwed a man. Lied about him. Released incomplete report, timed 4 maximum political damage
U all a…</t>
  </si>
  <si>
    <t>RT @Lautergeist: Surely someone reading this is still not blocked by @staceynewman &amp;amp;  will retweet this so Our Stace can see it?  Thanks!…</t>
  </si>
  <si>
    <t>@HennessySTL  https://t.co/bvNjdovpcJ</t>
  </si>
  <si>
    <t>RT @HennessySTL: Clarification on last night’s Hafner post. From source. Greitens fired Hafner because Barklage insisted Greitens run for L…</t>
  </si>
  <si>
    <t>@314TruthSeeker @MariaChappelleN Yes they accept donated tampons, they inspect items coming in</t>
  </si>
  <si>
    <t>RT @Sticknstones4: #MOLEG SENATORS 
WE APPRECIATE &amp;amp; SALUTE YOU
FOR RESPECTING YOUR CONSTITUENTS &amp;amp; THE WILL OF #MISSOURI VOTERS
SEN MARIA…</t>
  </si>
  <si>
    <t>@Joeysweettooth @scottfaughn No he doesn’t .. he didn’t address evading his supoena &amp;amp; he didnt address the extra 20,OOO cash he delivered to al Watkins  that’s 70k cash that he needs to account for, he’s simply not credible and skirting the issue.</t>
  </si>
  <si>
    <t>@SpeakerTimJones @staceynewman  https://t.co/Hf0Q4ahXYQ</t>
  </si>
  <si>
    <t>@SpeakerTimJones @staceynewman  https://t.co/UMTLM2FbXq</t>
  </si>
  <si>
    <t>@696_636 @MariaChappelleN No Fing  today , I don’t always agree with her politically but  when i can offer her support of something non partisan such as helping indigent women in prison have a tampon for their period i will , that’s the human party my friend.  She also didn’t sign greitens session</t>
  </si>
  <si>
    <t>RT @MariaChappelleN: PUBLIC SERVICE ANNOUNCEMENT: 
Please drop off feminine products to 6662 Delmar, the Which Wich Restaurant. My friend L…</t>
  </si>
  <si>
    <t>@Lautergeist Lots of No’s   Especially the No Photo</t>
  </si>
  <si>
    <t>RT @JohnLamping: End this sham, a Governor Tilley will never curb abuses. https://t.co/etisMr5nHt</t>
  </si>
  <si>
    <t>@Buschbeer2015 @Neilin1Neil @FOX2now I’m not pleased he had an affair, but the reality is that is not a crime.  It’s admirable than him &amp;amp; his wife dealt with their issues &amp;amp; moved on &amp;amp; have a beautiful family.  These events happened before he was elected.   He admitted th affair &amp;amp; he is fit to serve as elected</t>
  </si>
  <si>
    <t>@blackwidow07 @Neilin1Neil @BattLiz @EricGreitens He’s Stool Pigeon  in the collusion</t>
  </si>
  <si>
    <t>KS is not a victim, she will be referred to by her name  #greitens 
Former judge and US Attorney trade barbs in Greitens hearing https://t.co/1cDrUE3k81 via @fox2now</t>
  </si>
  <si>
    <t>3 people shot in Jennings 
St. Louis County Police called to triple shooting in Jennings https://t.co/oLtUq5kh5C via @fox2now</t>
  </si>
  <si>
    <t>4 people Shot in quadruple shooting 
#Stl 
Police investigating quadruple shooting in North City https://t.co/r31RSsuIf2 via @fox2now</t>
  </si>
  <si>
    <t>@scottfaughn #staceynewman #collusion 
But you know , you’re part of this https://t.co/cdxCbMhdql</t>
  </si>
  <si>
    <t>@scottfaughn Scott your information is sloppy.  let me fill in the blanks for you   THREAD ⤵️⤵️⤵️ 8 things the media isn’t telling you 
https://t.co/Tmj1se20cO</t>
  </si>
  <si>
    <t>@K___Garner If would be good if #Moleg would stop hiding scott faughn and get a list of lobbyists &amp;amp; special interests that gave him the cash 
Evading service a supoena is ignoring the law https://t.co/VmyZnEcRrW</t>
  </si>
  <si>
    <t>@ScottCharton I see How you Guys Get Your Locker Room Talk on 
Cigars, Cocktails &amp;amp; Lobbyists https://t.co/5Mk3GuUI5K</t>
  </si>
  <si>
    <t>@SuchHate There was a 2nd stabbing yesterday on demar &amp;amp; another sword attack lol knives were trending</t>
  </si>
  <si>
    <t>Kim Gardner doesn’t want jurors to know about the cash payments 120k   😂🤣😂🤣
LOL YEAH NO !    
This Case has No Picture 
Now she wants No Cash
Let’s just go for No Case  
DISMISS THE WITCH HUNT 
#kimshady #greitens https://t.co/bEaEdan0vb</t>
  </si>
  <si>
    <t>@internalmonolo2 @ScottCharton Paid lobbyists</t>
  </si>
  <si>
    <t>@blackwidow07 @Neilin1Neil @YearOfZero @ads302s @JW1057 @A_Tall_Turner @stltoday @EricGreitens Club of corruption having a temper tantrum they didn’t get their way.</t>
  </si>
  <si>
    <t>@BattLiz @EricGreitens If you’re really worried about spoiled white guys
Find Faughn  in hiding evading supoena 
He has 70,000 things to explain 
#findfaughn https://t.co/UDTzwbQo27</t>
  </si>
  <si>
    <t>RT @SKOLBLUE1: I see my boss in that meeting, well done! @EricGreitens you are doing a wonderful job! Thank you for your hard work and dedi…</t>
  </si>
  <si>
    <t>@NickBSchroer Don’t forget the part about Dem House Leadership , Stacey Newman , Kim Gardner colluding and coercing Greitens accusers 
has Anyone see Faughn Yet ? https://t.co/eHay8vu6mu</t>
  </si>
  <si>
    <t>RT @HotPokerPrinces: @MissouriRevenue 
Are you planning any Audits on all this Cash ?
120k to be exact https://t.co/tdKUaeA3UK</t>
  </si>
  <si>
    <t>If we’re talking taxpayer dime let’s #findfaughn
His Shenanigans are costing Missouri Taxpayers Money
He’s disrespected the state &amp;amp; the court by evading Supoena https://t.co/lHxHFBpVWj</t>
  </si>
  <si>
    <t>@MariaChappelleN 
There Needs to Be More Outrage From the Corrupt Club at #Moleg 
Sorry but the lackluster interest in Nobody wanting to 
#FindFaughn reeks of #WhitePrivelege 
Black People buying money order to pay rent harassed 
But  a white man with 70k  turns a blind eye https://t.co/dDJZJCSGzt</t>
  </si>
  <si>
    <t>RT @ResignNowKim: @LaurenTrager @KMOV @HafnerMO @EricGreitens @missioncontinue Lauren, in that vein 6) Will there be a criminal referral fo…</t>
  </si>
  <si>
    <t>@ResignNowKim @charliekmox @kmoxnews Sheena Greitens claims ex-husband of governor's mistress stalked her https://t.co/ILtaX0AspR</t>
  </si>
  <si>
    <t>#FindFaughn   
#AuditFaughn ‘ s 70k cash https://t.co/kpysoHXWK8</t>
  </si>
  <si>
    <t>https://t.co/aFTJfZf6TM</t>
  </si>
  <si>
    <t>RT @Norasmith1000: Kim Gardner conspired with lead witness and #moleg Dems to bring down our Governor. Dirty Dems are getting good at this…</t>
  </si>
  <si>
    <t>RT @Jesus_isPeace: Why #StLouis #CircuitAttorney #KimGardner Must Be Investigated—and Stopped!
#MOGovernor #EricGreitens #CCOT #PJNet #MoL…</t>
  </si>
  <si>
    <t>@charliekmox @kmoxnews  
1). PS the Ex routinely sent taunting tweets to Greitens
2)  Sheena Greitens said PS stalked her 
PS was not affraid to do this no basis of fear 
3) Scott Faughn is just a chicken sh*t ,the entire state should beat the crap out of him for the circus show</t>
  </si>
  <si>
    <t>@MariaChappelleN  Regardless if she’s blowing smoke 
Girls Rhyme Game is Strong 💪🏾
#followthemoney https://t.co/RRwanHumvK</t>
  </si>
  <si>
    <t>Drugs,shooting &amp;amp; stolen Guns 
Just Your average day in St louis https://t.co/V69fPIXBus</t>
  </si>
  <si>
    <t>Stabbed to Death 
Homocide by Knife 
Not Gun Problem  #STL https://t.co/taSJaFaYGX</t>
  </si>
  <si>
    <t>MISSOURI COLLUSION 
MEMES DONT LIE  BUT #MOLEG DOES
Corrupt Politicians, Prosecutor, Political Operatives
Payoff &amp;amp; Unite 
 #KimShady #StaceyNewman #FindFaughn #MoneyBagsAl #Soros #Demorats #Republicans #Greitens #stl #parsons
#greitensReport #kansascity #cashpayments
#STLCards https://t.co/98BicWMS3h</t>
  </si>
  <si>
    <t>RT @VisioDeiFromLA: @ScottCharton 
Kristoff ISNT CONSERVATIVE 
"Noted conservative" 
That's code for New York Times conservative, you kn…</t>
  </si>
  <si>
    <t>RT @Neilin1Neil: Missouri Governor Eric Greitens is being underestimated by his enemies. Greitens is not a quitter! @inthejungle234 @YearOf…</t>
  </si>
  <si>
    <t>@ResignNowKim With Faughn on the Run , it’s the understudy</t>
  </si>
  <si>
    <t>@StLCountyRepub @staceynewman  https://t.co/iHgUazl5T2</t>
  </si>
  <si>
    <t>@StLCountyRepub @staceynewman Missouri Collusion https://t.co/PXjApRGmTj</t>
  </si>
  <si>
    <t>RT @Neilin1Neil: Rep. Stacey Newman is shown here communicating with the woman at the center of the affair on January 11th, just one day af…</t>
  </si>
  <si>
    <t>RT @Neilin1Neil: Text message #1) From Democrat Missouri Representative Stacey Newman to the lead witness in the case (referred to as K.S.)…</t>
  </si>
  <si>
    <t>@Neilin1Neil @edemery @KathieConway @yoz Lol what does cranky kathie have to say</t>
  </si>
  <si>
    <t>@ws_missouri This is not advice
It’s Collusion #moleg https://t.co/JywdqBy7TZ</t>
  </si>
  <si>
    <t>@Beatlebaby64 @Aletheia_4Truth @Bren05_ @Lautergeist @88YahamaKeys @SpeakerTimJones @staceynewman She would look good behind bars https://t.co/NF6NDc4EBg</t>
  </si>
  <si>
    <t>RT @HotPokerPrinces: How in the Hell is Scott Faughn still in hiding
Evading a supoena?
I’m calling on the Members of #Moleg to cancel the…</t>
  </si>
  <si>
    <t>RT @HennessySTL: Meet the Mole: @HafnerMO. Will he feel the pressure leaning on him all at once or gradually over time? https://t.co/IRbSZl…</t>
  </si>
  <si>
    <t>@Lautergeist Hashtag on point !</t>
  </si>
  <si>
    <t>RT @magathemaga1: Good afternoon #MoLeg #MoGov except @Rep_TRichardson 
Based on recent filings, looks like “KS”  coordinated with the MO…</t>
  </si>
  <si>
    <t>RT @magathemaga1: #Missouri Media
Scott Faughn DICTATING journalism in state, as none of U, with few exceptions, will report where money h…</t>
  </si>
  <si>
    <t>RT @VisioDeiFromLA: #DONNYBROOKSTL 
Please discuss #Missouri legislature Collusion 
Thank you https://t.co/KT7DrSTPA9</t>
  </si>
  <si>
    <t>Ladies  - would be a great time to stock up &amp;amp; save
And a great time to purchase and donate https://t.co/ZXfJY5gcSq</t>
  </si>
  <si>
    <t>RT @DeplorableGoldn: RT🚨
Good afternoon #MoLeg #MoGov #mosen
Based on recent filings, looks like “KS”  coordinated with the MO House as we…</t>
  </si>
  <si>
    <t>RT @DeplorableGoldn: RT🚨
Let @staceynewman know we the people have had it with her destructive, hateful, Marxist, Alinsky tactics. #RFA #Ra…</t>
  </si>
  <si>
    <t>RT @melody_grover: Why all the interest in @HafnerMO? The ultimate #FakeNews is interviewing fired campaign consultants whose sense of ethi…</t>
  </si>
  <si>
    <t>RT @ResignNowKim: @HennessySTL #moleg #mogov https://t.co/TNRiH1sF1M</t>
  </si>
  <si>
    <t>@ResignNowKim @HennessySTL @BarklageCompany @jaybarnes5 @Rep_TRichardson Things Bout’ to Get Lit 🔥</t>
  </si>
  <si>
    <t>RT @MariaChappelleN: Do you believe feminine products (such as diapers, pads, tampons &amp;amp; panty liners) should be included in the annual Back…</t>
  </si>
  <si>
    <t>RT @VisioDeiFromLA: #DONNYBROOKSTL 
Please discuss #Missouri legislature Collusion 
Thank you https://t.co/6MPGUlAB58</t>
  </si>
  <si>
    <t>@HawleyMO @DurhamUtility You should be investigating the crap out of this ! 
Stacey Newman &amp;amp; the Mo Dems
And Find Scott Faughn  ! https://t.co/SkK6enD2HZ</t>
  </si>
  <si>
    <t>RT @HennessySTL: The way I heard it was Grietens fired Hafner when the campaign found out David Barklage inserted Hafner as a mole. Barklag…</t>
  </si>
  <si>
    <t>#DONNYBROOKSTL
Please discuss #MoLeg Collusion https://t.co/MtEfW3y0EZ</t>
  </si>
  <si>
    <t>RT @magathemaga1: WitchHunt Still On!
#ScammingScott running media while RUNNING FROM MEDIA!
#MoneyBagsAl got 20k MORE!
#KimShady is, well…</t>
  </si>
  <si>
    <t>@RealTravisCook @ResignNowKim @VisioDeiFromLA @joelpollak @gatewaypundit @HennessySTL @EdBigCon @Hope4Hopeless1 @HotPokerPrinces @strmsptr @SKOLBLUE1 @Avenge_mypeople @blackwidow07 @AWESOMECQ @hanniballecter Lol i think the exact same thing😂😂😂</t>
  </si>
  <si>
    <t>Faughn is not qualified to influence legislation 
Flashback to when he was Once an elected official back in Poplar Bluff 
Anybody that is influenced by this con man on the run 
Should get themselves In check ASAP https://t.co/4gQzNCGLuA</t>
  </si>
  <si>
    <t>@MariaChappelleN @scottfaughn The only thing True that we Truly know about Faughn
Is on all 5 pages of casenet. 
Slanted articles you don’t say ?   Wonder what lobbyist or special interest group slanted his pocket 💰</t>
  </si>
  <si>
    <t>RT @CStamper_: Why were #moleg Democratic leaders texting with the lead witness and communicating with Soros-backed prosecutor Kim Gardner…</t>
  </si>
  <si>
    <t>RT @VisioDeiFromLA: She knew.
#moleg #mogov #greitens #mosen #missouri #stl #kcmo #kansascity #StLouis #greitensindictment #witchhunt @joe…</t>
  </si>
  <si>
    <t>Loving Her ❤️ https://t.co/x1XYDyMHWQ</t>
  </si>
  <si>
    <t>BINGO https://t.co/BqC8chr2wd</t>
  </si>
  <si>
    <t>RT @RealTravisCook: She's become a bit of a bull in a China shop lately hasn't she?--first Allmann, then Greitens (by colluding with Katrin…</t>
  </si>
  <si>
    <t>@TomJEstes @MariaChappelleN @scottfaughn Maria is Killin’ It</t>
  </si>
  <si>
    <t>@zuzuridesagain @Neilin1Neil @EricGreitens @sdieckhaus @KathieConway @inthejungle234 @YearOfZero @SykesforSenate @magathemaga1 @RealTravisCook @Norasmith1000 @liberty1776son @realDonaldTrump Disagree , he’s governing for the people that elected him and doing what he was elected to do 
The swamp culture like Ron Richard holding up passed bills for signature is what is derelict. 
And of course Stacey Newman and her House Dem Leadership colluding with the mistress https://t.co/TvH8xXofNh</t>
  </si>
  <si>
    <t>@SpeakerTimJones @staceynewman You left off conspiracy to unseat a duly elected Governor 
And collusion to coerce a narrative of a fake sexual assault scandal https://t.co/krA1QfeYkt</t>
  </si>
  <si>
    <t>Missouri Collusion 
@MOLegDems  @walshgina @GailBeatty @staceyNewman
I Missed this juicy detail in your outraged press conferences 
You too Greasy Jay Barnes @jaybarnes5 wasn’t in ur sham report 
#schemes #moleg #greitens #greitensreport #greitenscase #GreitensIndictment https://t.co/3l4XP1fAEG</t>
  </si>
  <si>
    <t>RT @STLCrimeBeat: St. Louis man, woman shot after answering knock at their door https://t.co/5lQuYapedt</t>
  </si>
  <si>
    <t>RT @STLCrimeBeat: St. Louis man shot in toe while surrounded by children at park https://t.co/404gZUq713</t>
  </si>
  <si>
    <t>RT @Norasmith1000: I would tell you directly Stacey but you have me blocked. You've already failed the #metoo movement by conspiring with f…</t>
  </si>
  <si>
    <t>@kmoxnews No picture, No witness &amp;amp; No transmission.
What a fricken waste of money to prosecute this case @charliekmox  the wasted cost of this prosecution could of paid for the STL Loo   At least something would be flushed effectively than flushing money down the toilet🚽   #greitens</t>
  </si>
  <si>
    <t>@ResignNowKim @internalmonolo2 @tonymess I think he sucks because he blocked me &amp;amp; accused me of being a bot .  He really should unblock everyone since greitens accuser is no longer a sex victim as he maintained</t>
  </si>
  <si>
    <t>RT @STLCrimeBeat: Brentwood store apologizes after three black men are falsely accused of stealing https://t.co/0vNNv93CEo</t>
  </si>
  <si>
    <t>@STLCrimeBeat How quickly a situation can spiral out of control.  Kudos to the young men &amp;amp; kudos to the police in how both reacted.
Shame On Nordstrom’s Rack management &amp;amp; Securitystaff &amp;amp; nosey customer.  Good Luck to these young men.</t>
  </si>
  <si>
    <t>RT @STLCrimeBeat: Car fleeing St. Louis police crashes, killing man in second vehicle https://t.co/Ex2wKaJbKg</t>
  </si>
  <si>
    <t>RT @STLCrimeBeat: Would-be robber dead in St. Louis shootout after victim, 74, pulls own gun https://t.co/VZ8BkUwpeU</t>
  </si>
  <si>
    <t>RT @Str8DonLemon: Good morning #moleg 
Where is Scott Faughn?
Where did his money come from?
FOLLOW THE MONEY
Notice certain people who…</t>
  </si>
  <si>
    <t>RT @JW1057: @jrosenbaum @EricGreitens @mattmfm 
Greitens vs Schneiderman. 
#moleg #mogov #greitens #KimShady #IStandWithGreitens https://…</t>
  </si>
  <si>
    <t>@Capitalist1818 @staceynewman She needs to be behind bars.  People like her divide us with her intolerance.</t>
  </si>
  <si>
    <t>RT @DeplorableGoldn: RT-ing 🚨
Geeezzee Loueeeeze..
Somebody is having a bad day. 
Gettin’ mentioned in some pretty troublesome tweets..…</t>
  </si>
  <si>
    <t>@internalmonolo2 Please, he’s no journalist , he’s a con man on the run https://t.co/82B8q4WOqk</t>
  </si>
  <si>
    <t>RT @ResignNowKim: @Sticknstones4 @SpeakerTimJones @staceynewman Are all the folks leading the Illegal Coup against @EricGreitens term limit…</t>
  </si>
  <si>
    <t>RT @shesova: The @StLouisCityCA is trying to pin charges against @EricGreitens WITHOUT A PHOTO of the so called "transmission of a photo" t…</t>
  </si>
  <si>
    <t>@shesova @POTUS https://t.co/rYhn1xVJCj</t>
  </si>
  <si>
    <t>RT @gatewaypundit: My favorite @RealDonaldTrump Schneiderman tweet. 😂😂😂 https://t.co/Phu6vvAnBl</t>
  </si>
  <si>
    <t>Listening to Radio Free Allman this morning @jallman971  
“I want Eric Greitens to Win &amp;amp; Win Big”- Mark Kasen  🙌🏻
#greitens #RadioFreeAllman</t>
  </si>
  <si>
    <t>RT @CStamper_: Soros-backed prosecutor Kim Garner “needs to be removed from office in order to send a message to prosecutors around the nat…</t>
  </si>
  <si>
    <t>RT @CStamper_: Soros-backed Kim Gardner “has ignored cases that were easy wins, prosecuted cops with what looks like outright malice, and l…</t>
  </si>
  <si>
    <t>RT @CStamper_: While Soros-backed prosecutor Kim Gardner focused on her political witch hunt, “almost half of all felony cases from 2018 ha…</t>
  </si>
  <si>
    <t>RT @CStamper_: In Soros-backed prosecutor Kim Gardner’s witch hunt, “Missouri House Democratic leadership were actively conspiring with the…</t>
  </si>
  <si>
    <t>RT @CStamper_: Prior to opening an investigation, and without disclosing it, Soros-backed prosecutor Kim Gardner communicated “with Missour…</t>
  </si>
  <si>
    <t>RT @CStamper_: “A prosecutor knows not to meet a witness alone. It’s simply not done.” Yet Soros-backer prosecutor Kim Gardner and her “lea…</t>
  </si>
  <si>
    <t>RT @CStamper_: “One of the lead witnesses in this case... was paid for his testimony and participation, by forces unknown. The prosecutor k…</t>
  </si>
  <si>
    <t>RT @chrisregniertv: Civil Courts building in downtown St. Louis. Jury selection set to start here Thursday in the felony invasion of privac…</t>
  </si>
  <si>
    <t>Karma may be catching up to him https://t.co/08PyDNevws</t>
  </si>
  <si>
    <t>@SpeakerTimJones @staceynewman Do you really think that makes a difference?  She never legislated anyways !  People like her just spread hate filled havoc regardless of a title.</t>
  </si>
  <si>
    <t>@TwitterSupport 
Help please with shadow ban  @parscale</t>
  </si>
  <si>
    <t>RT @VisioDeiFromLA: So predictable scott.
Sorry but your lame narrative wont work.
Everybody knows the KS blackmail story is fake includi…</t>
  </si>
  <si>
    <t>RT @magathemaga1: Why would Eric resign over a fake story?
You still believe that ?
✔Contradictory testimony (she lied)
✔Money dropped of…</t>
  </si>
  <si>
    <t>Homocide count as of Sunday Night 57, Up 3 from last year 
St. Louis records 11 killings in 11 days https://t.co/5hcfDfj2dV via @stltoday</t>
  </si>
  <si>
    <t>RT @TrumpChess: @DeplorableGoldn @staceynewman Mo lawmakers will block you in less than 2 seconds--they can't allow others to see us puttin…</t>
  </si>
  <si>
    <t>RT @TomJEstes: Things continue to go down hill for poor Scott. #findscott #MOLeg https://t.co/nNIYRsTxdp</t>
  </si>
  <si>
    <t>@MariaChappelleN @scottfaughn Felonious Faughn is on the Run 
Evading a supoena  is so Cowardly https://t.co/PTl7GQYDO0</t>
  </si>
  <si>
    <t>Greasy Jay Barnes 
SHAME ON YOU !
#moleg  #greitens https://t.co/2Vhl4IK5td</t>
  </si>
  <si>
    <t>RT @HennessySTL: Bagman @scottfaughn is on the lamb, and the $$$$ he’s paid for “background” on a book is up to $70k. Who’s hiding him? Bar…</t>
  </si>
  <si>
    <t>RT @magathemaga1: Apparently 70 grand dropped off 2 #MoneyBagsAl not 50k
✔Meanwhile, who is Skyler?
✔What was money for?
✔Where did #Scamm…</t>
  </si>
  <si>
    <t>RT @magathemaga1: I wasn't joking #Missouri media
0 reporting on where money to #MoneyBagsAl came from makes U look like puppets &amp;amp; like Sc…</t>
  </si>
  <si>
    <t>RT @magathemaga1: #Missouri Media
Scott Faughn DICTATING journalism in state, as none of U, with few exceptions, will report on where mone…</t>
  </si>
  <si>
    <t>@NoMoSocialism75 @magathemaga1 @SKOLBLUE1 @Shawtypepelina @EdBigCon @Eric_Schmitt @Avenge_mypeople @jrosenbaum @HennessySTL @HotPokerPrinces @Norasmith1000 Sorry can’t get it to work</t>
  </si>
  <si>
    <t>@J_Hancock @scottfaughn Felonious Behavior, what a con  He criticized Eric Greitens on a fake accusation 
and he runs off like a big chicken 
70K in Cash payement delivered to Al Watkins</t>
  </si>
  <si>
    <t>@NoMoSocialism75 Hilarious 😂</t>
  </si>
  <si>
    <t>We’ve been wondering what the Heck that 
“Sexy Workout”  KS went to Greitens House to Do https://t.co/wQAIyG1P2B</t>
  </si>
  <si>
    <t>@NoMoSocialism75 @magathemaga1 @Shawtypepelina @EdBigCon @Eric_Schmitt @SKOLBLUE1 @Avenge_mypeople @jrosenbaum @HennessySTL @HotPokerPrinces @Norasmith1000 I don’t think it was substantiated with proof that the husband actually paid his own money, he testified that in the house committee and they did not cross examine or investigate the the witnesses statement.  He could have said i rode a unicorn , but that wouldn’t make them real</t>
  </si>
  <si>
    <t>@NoMoSocialism75 @magathemaga1 @Shawtypepelina @EdBigCon @Eric_Schmitt @SKOLBLUE1 @Avenge_mypeople @jrosenbaum @HennessySTL @HotPokerPrinces @Norasmith1000 Court today revealed an additional 20k cash  for total of 120k to al Watkins attorney for the ex husband</t>
  </si>
  <si>
    <t>RT @mopns: Rep. Stacy Newman &amp;amp; Key Prosecution Witness Collude But Judge Allows Her Testimony Anyway https://t.co/r0uL66A0IW</t>
  </si>
  <si>
    <t>@Avenge_mypeople @staceynewman I’m getting a shirt that reads I’m rooting for anyone honest</t>
  </si>
  <si>
    <t>How Many 
Feel Lied To by the Media  ?
Feel Betrayed By #Moleg House Investigative Committee ?   🙋‍♂️🙋🏽‍♀️🙋‍♂️🙋🏻‍♂️🙋🏼‍♀️🙋🏿‍♂️🙋🏻‍♀️🙋🏼‍♂️🙋🏿‍♀️
DEMAND THE TRUTH ⚖️  NO MORE FAKE NEWS
DEMAND #Moleg RESPECT YOUR VOTE 🗳 
THIS IS A WITCH HUNT</t>
  </si>
  <si>
    <t>8)  NO COERCION  👇👇👇
Katrina testified to giving Consent 
The behind closed door 🚪 house committee lead a series of questions to suit their narrative   #greitens #moleg https://t.co/RFMqWDdnVe</t>
  </si>
  <si>
    <t>6 &amp;amp; 7     THE BARE NAKED TRUTH  👇👇👇
6 ) NO PHOTO &amp;amp; NO WITNESS TO TESTIFY THEY EVER SAW SUCH PHOTO 
7) KATRINA NAKED FACETIMED .. shocking a woman that alleged she was a victim of felony invasion of privacy over a non existent photo , FaceTimes NUDE with #Greitens https://t.co/wv19o9rAi6</t>
  </si>
  <si>
    <t>5) Katrina can not testify to in both the house committee and in deposition  the following 
👇👇👇 https://t.co/js9qhzf3Zq</t>
  </si>
  <si>
    <t>4) The Proscutor Kim Gardner has repeatedly lied 
Judge Rex Burlison says the case reeks of sanctions 
👇👇👇 https://t.co/YVh9BBiFK0</t>
  </si>
  <si>
    <t>3) constitutually unable to present Evidence
* He did say he would speak to committee after criminal case was over   👇👇👇 https://t.co/s5WYMOHQhV</t>
  </si>
  <si>
    <t>2) consensual 👇👇👇 https://t.co/cxINmWMs65</t>
  </si>
  <si>
    <t>Greitens Felony Invasion of Privacy Case  
Thread Time 
Follow Along  
See What the Media Isn’t Telling You👇👇👇 https://t.co/YDzVm6xD2U</t>
  </si>
  <si>
    <t>@BillEigel @MarkReardonKMOX 
Give Me a break senator 
You don’t address Stacey Newman’s involvement , mo house dem leadership, cash payments, &amp;amp; closed door sessions
Those are witch hunts , talk about your buddies LIHTC &amp;amp; Lobbyists</t>
  </si>
  <si>
    <t>@MarkReardonKMOX  Jim Martin said the extra 20k was delivered by scott  by Al</t>
  </si>
  <si>
    <t>@StLCountyRepub Considering Scott Faughn is in hiding &amp;amp; has paid at least 70k in greitens witch hunt , it would be best NO political parties refer to the Missouri times while he has any affiliation .  No more fake news or pay for play stories from lobbyists or special interests https://t.co/7ININb2RSv</t>
  </si>
  <si>
    <t>@StLCountyRepub @RoyBlunt Too bad so many Moleg republicans signed</t>
  </si>
  <si>
    <t>This Is Everything  @RoyBlunt
Is correct ! https://t.co/3iatJrvVn6</t>
  </si>
  <si>
    <t>@MarkReardonKMOX  I’m listening to you today
Can’t wait to hear what u thInk of Scott Faughn in hiding
To evade a supoena , &amp;amp; apparently he delivered and extra 20k to al Watkins.  Whose 20 was that ?</t>
  </si>
  <si>
    <t>@jrosenbaum @scottfaughn Hi Jason, Any update on faughn receiving a supoena or is he still in hiding ?  Did judge issue a Bench Warrant ?</t>
  </si>
  <si>
    <t>@jrosenbaum I kind of think the fact there is no picture at the heart of this is pretty blowing !</t>
  </si>
  <si>
    <t>@jenniferkrneta @jhm1701 @kmoxnews This is more like a season of Ozark meets House of Cards</t>
  </si>
  <si>
    <t>@Lautergeist @Avenge_mypeople I listened &amp;amp; loved it , my new morning jam
Coffee with RFA</t>
  </si>
  <si>
    <t>@jenniferkrneta @jhm1701 @kmoxnews Maybe this woman is a player in the game as well
She LOL’d her friend in a text message about getting rich off this as the news broke, plus PS the ex has mentioned trust accounts for his kids, which they share 2 kids</t>
  </si>
  <si>
    <t>Mo’ Money Mo’Money Mo’Money 
Wow now we know Scott Faughn made 2 bag drops to 
Al watkinns
Oh #FindFaughn explain that extra 20 K 
You better look deep into your stein of BS 
#Moleg https://t.co/OjNfgVWsCc</t>
  </si>
  <si>
    <t>RT @jrosenbaum: But Robert Dierker, when asked by Judge Burlison, says prosecution does not have photo or copy of photo. That’s important b…</t>
  </si>
  <si>
    <t>At the end of the day 
There is still No Photo or copy of any Photo 
When the judge asks the Prosecution 
No Picture , zero , Nada, Nein , None , zilch 
#greitens #moleg https://t.co/PNh8yaW9Hf</t>
  </si>
  <si>
    <t>@MOLegDems @GailBeatty And tell about Stacey newman  &amp;amp; KS here ate the capital
Back in April , is this when you all first begun to collude https://t.co/5IfZuUyRaH</t>
  </si>
  <si>
    <t>@MOLegDems @GailBeatty Before you do this can you tell me about Stacey newman
And the dem house leadership conspiring with the circuit attorney and kS 
https://t.co/9pP3fLxjaJ</t>
  </si>
  <si>
    <t>RT @JW1057: @BryanLowry3 That @stlcao is seeking a warrant for cell phone and e-mail account a week before trial says everything. (1) This…</t>
  </si>
  <si>
    <t>@314TruthSeeker @magathemaga1 @blackwidow07 @BigJShoota @HotPokerPrinces @SKOLBLUE1 @EdBigCon @Hope4Hopeless1 @Norasmith1000 @willscharf @Lautergeist Don’t stop with her , call Croked Jay Barnes, Todd Richardson , Gary Romine, Ron Richard, Jamilah Nasheed 
Doug Libla, Rob Schaaf , give them all a piece of your mind !</t>
  </si>
  <si>
    <t>#KimShady is really Shady and this one Has nothing to do with Eric Greitens
We saw the carnage of Stockley, We’re living in the circus of Greitens,   Drug Dealers &amp;amp; Killers are seeing no charges or record acquittals 
How Much more does St Louis have to take ? https://t.co/fjGOMmZet2</t>
  </si>
  <si>
    <t>@JW1057 @stltoday @TeamGreitens @stlcao @StLCountyRepub @MissouriGOP @SheenaGreitens @CStamper_ @VisioDeiFromLA More Shady from #KimShady  @PresReed  @LydaKrewson 
Need to address the disarray of the stlcao 
It’s affecting the city &amp;amp; state.   #stl</t>
  </si>
  <si>
    <t>@jmillitzer Make em good ones like hopefully he just throws out the whole stupid case</t>
  </si>
  <si>
    <t>@Lautergeist shame on all politicians that appeared on TWIMP
Shame on all Media for hiring Faughn as a pundit</t>
  </si>
  <si>
    <t>@JW1057 @AbbyLlorico @EricGreitens @stlcao Kim will go to every extent &amp;amp; expense to make something out of nothing But 
ignores Something to become Nothing 
Hard evidence &amp;amp; no money spent on this case , killers go free 
https://t.co/hbjuqdtC4P</t>
  </si>
  <si>
    <t>@JW1057 @AbbyLlorico @EricGreitens @stlcao st Louis is 10 for  10 ! 10 Homocides in 10days
And she’s futzing around with email 
https://t.co/T9EVwvAi0b</t>
  </si>
  <si>
    <t>@jhm1701 @kmoxnews James Agree, so Many truth Bombs are coming to Light that the media have neglected to report 
Bottom line there was a lot of cash &amp;amp; it padded a lot of pockets &amp;amp; manipulated a story</t>
  </si>
  <si>
    <t>RT @jhm1701: @Sticknstones4 @kmoxnews The part that gets me is the assumption that after she had an ongoing, consensual “50 Shades” style a…</t>
  </si>
  <si>
    <t>@twittersupport please remove shaddowban 
I have done nothing</t>
  </si>
  <si>
    <t>@kmoxnews The best decision would be to dismiss this entire circus 
Of a sham case</t>
  </si>
  <si>
    <t>@TomJEstes Anybody can Be a Leader In Missouri 
It just takes a bag of Cash and a few strings
#moleg https://t.co/xwB0Jqe9Fu</t>
  </si>
  <si>
    <t>RT @TomJEstes: I came across this today. Is this a thing? Is Scott hiding from a subpoena?? #moleg https://t.co/bJD6lj7Ofs</t>
  </si>
  <si>
    <t>@TomJEstes @VisioDeiFromLA Deliberately evading service, hillarious for a guy that’s always has his hand on the pulse of the #Greitens case
Suddenly goes missing and won’t talk in a courtroom under oath only only in front of a camera 
Missouri &amp;amp; the Media GOT PLAYED  #moleg https://t.co/vhe1k4d8oU</t>
  </si>
  <si>
    <t>@blackwidow07 @PresReed @LydaKrewson @joelcurrier @LydaKrewson @PresReed  How much has been transferred to Stlcao.  When you have 10 killing in 10 days 
And Kim can make a case out of hard evidence &amp;amp; justice for a slain toddler,we’re asking !  We need some answers
This is a leadership issue now, no blame on slmpd catch&amp;amp;release</t>
  </si>
  <si>
    <t>Ask @PresReed @LydaKrewson 
Don’t depend on the media
How much taxpayer monies are being used by Kim Gardner for #Greitens prosecution ? 
All those special counsel, investigators, expert witnesses, travel , expenses , lodging &amp;amp; Attorney fees for tisaby. Weren’t cheap ! https://t.co/K3aorXC8ab</t>
  </si>
  <si>
    <t>LOL 😂 tis the story of empty pocket that was needing wads of cash , then then lobbyists stuffed them full 
And that’s the way we became the shady bunch 
#greitens https://t.co/Ze0cOv4uXv</t>
  </si>
  <si>
    <t>@Shawtypepelina @JW1057 @Str8DonLemon @Hope4Hopeless1 @YearOfZero @VisioDeiFromLA LOL 😂 ‘‘tis the story of empty pocket that was needing wads of cash , then then lobbyists stuffed them full 
And that’s the way we became the shady bunch</t>
  </si>
  <si>
    <t>@MariaChappelleN  listening to my man @jallman971 
Talking about you 🙌🏻 Stacey newman has not been around weekend after weekend for Black Community !  It’s True 
We’re HERE FOR YOU, If we can help stop crime it improves all community. 10 dead in 10 days all hands on deck !</t>
  </si>
  <si>
    <t>@ES03784893 I’ll do my civic duty &amp;amp; send cases of free condoms to 
The next Lobbyist sponsored party for Moleg
The next judges conference
All Lawyer Parties 
All Legislative sessions
&amp;amp; I’ll even throw in travel size personal hygiene kits for Moleg out of state travel 
THEY SCREW !</t>
  </si>
  <si>
    <t>Kim Gardner knew upfront about the cash continued devising a malicious prosecution knowing about outside cash influence on witnesses 
Any lawyer that finds this an eithical prosecution should have their bar license revoked
This has been a straight up bipartisan witch hunt</t>
  </si>
  <si>
    <t>Listened nick, fact 
Jay Barnes &amp;amp; Committee lead a one sided sham , behind closed door with no investigation or cross examination 
For Months Stacey Newman’s presence was questioned &amp;amp; ignored  !  Truth Bomb came out in Ks Text messages 
More Ruth bombs to come !</t>
  </si>
  <si>
    <t>@NickBSchroer looking forward to listening to you on Radio Free Allman.  I’ll admit I’m really pissed off your signature is on that special session</t>
  </si>
  <si>
    <t>Is Scott Faughn on the Run Still Pulling your strings ?
Jay Barnes &amp;amp; Todd Richardson 
What was your cash price to pull your strings ? 💰💰
#greitens  #FindFaughn #Moleg https://t.co/DqUmHnf3XW</t>
  </si>
  <si>
    <t>@ES03784893 @EricGreitens nice try if you read that full house 24 page sham report 
Show me the page that involved actual Penetration! 
Maybe KS should have kept her mouth off it 
How many Moleg members are baby daddy’s with paternity suits</t>
  </si>
  <si>
    <t>@KMOV You left out the part where rep Stacey Newman &amp;amp; Mo House  Dem Leadership  &amp;amp; Kim Gardner, pre conspired &amp;amp; colluded with KS,  you left off Kim Gardner knew about the anonymous cash up front knowing a paid operative was involved 
You’re reporting is not accurate &amp;amp; not up to date https://t.co/ukRyeZMq0R</t>
  </si>
  <si>
    <t>LISTENING NOW To RADIO FREE ALLMAN 📻 
Welcome Back @jallman971</t>
  </si>
  <si>
    <t>RT @ResignNowKim: @HennessySTL Let’s do it. Start with @rep_trichardson &amp;amp;@jaybarnes5 getting gone. They’re one eyed jacks.  We’ve seen thei…</t>
  </si>
  <si>
    <t>None of you #Moleg could stop and honor the hard working state employees of Missouri?
SHAME ON YOU ! 
#Greitens is perfectly fit to carry out his duties, it’s the  conniving Legislature that is the Problem ! 
@repdaron_mcgee you’re disrectful to state employees &amp;amp; voters https://t.co/4vUAXkYUHl</t>
  </si>
  <si>
    <t>RT @aaron_hedlund: Translation: the liberal media wants Greitens to resign even if he's innocent. There is nothing that could possibly happ…</t>
  </si>
  <si>
    <t>RT @Sticknstones4: #moleg Lawmakers need to cancel your Missouri Times https://t.co/PkBkvlnnis</t>
  </si>
  <si>
    <t>Missouri got Played 
#Moleg https://t.co/FSSQ8JAPMI</t>
  </si>
  <si>
    <t>10 Homocides is 10 days 
One a day was a Vitamin, Not a Homocide 
#moleg #stl #drugtrafficking https://t.co/CW6emhWXVp</t>
  </si>
  <si>
    <t>@juliematthews50 stacey needs to Resign 
https://t.co/9pP3fLxjaJ</t>
  </si>
  <si>
    <t>@KathieConway @aaron_hedlund What are you guilty of kathie that hasn’t been proven ?</t>
  </si>
  <si>
    <t>RT @JW1057: @StLCountyRepub @EricGreitens @TeamGreitens @SheenaGreitens 
I am truth and justice and @stlcao and @jaybarnes5 are frauds!…</t>
  </si>
  <si>
    <t>RT @HotPokerPrinces: @jaybarnes5  @Rep_TRichardson @MOHouseGOP 
Now that Scott Faughn has established himself as an un ethical journalist/…</t>
  </si>
  <si>
    <t>#moleg Lawmakers need to cancel your Missouri Times https://t.co/PkBkvlnnis</t>
  </si>
  <si>
    <t>We’re coming for you #Moleg
If you signed special session
Expect a Lawn Job ! https://t.co/jppZ4kYMfg</t>
  </si>
  <si>
    <t>@jaybarnes @gcmitts @KevinLAustin1 @TommiePierson @jeanielauer @shawnrhoads154 
How did your sham investigation miss
📌Rep Stacey Newman, Mo Dem leadership ,Kim Gardner &amp;amp; KS influenced colluded &amp;amp; conspired a story 
📌al Watkins Reported cash to Kim Gardner Upfront
You sure https://t.co/osiFFnc0k7</t>
  </si>
  <si>
    <t>@melody_grover It was a fakenews story to begin with defense issued a statement 
https://t.co/2WjfM5AV58</t>
  </si>
  <si>
    <t>@ResignNowKim @K___Garner @BarklageCompany @RobertKnodell @johnrhancock @RGreggKeller @cody4mo @EricGreitens Think there’s any character issues here ?
https://t.co/8AyvlNtECz</t>
  </si>
  <si>
    <t>Ill take that list of tax credit queens
DMs are open
Send it to me 
#moleg https://t.co/QVDjCdodhw</t>
  </si>
  <si>
    <t>RT @PaidRussianBot: Everyone is acting so surprised that #ScottFaughn is hard to find now that he needs to answer for his part in this whol…</t>
  </si>
  <si>
    <t>@JW1057 @JeffSmithMO @ScottCharton @EricGreitens Greitens legal team responds to earlier Missourinet report https://t.co/LM8IZOM3M4</t>
  </si>
  <si>
    <t>RT @VisioDeiFromLA: Its idiotic tweets like this why bench trial needed
Judge should have never declined, but if I had to guess, he probab…</t>
  </si>
  <si>
    <t>RT @HennessySTL: The villains, in this case, are the ones conducting the witch hunt. Crooked Jay Barnes, weirdo Scott Faughn, slow Kim Gard…</t>
  </si>
  <si>
    <t>Oh dear God , yet another shooting  to add 
This weekends violence 
Has it even been a full hour since  i tweeted out the last
Homocide?
#moleg #drugtrafficking #stl https://t.co/yygKoz2r2J</t>
  </si>
  <si>
    <t>RT @SKOLBLUE1: Has anyone in #Missouri seen @scottfaughn ? Has anyone seen a #corrupt politician or owner of the #MissouriTimes ? Rachel Du…</t>
  </si>
  <si>
    <t>His opinion hasn’t  changed since last week 
@RoyBlunt knows it’s a witch hunt and believes in Due Process https://t.co/ytNUxaPCdJ</t>
  </si>
  <si>
    <t>Another Homocide
To add to this weekends Violent Tolls 
#stl #moleg #drugtrafficking #heroin #buildthewall https://t.co/wcBLY2RqKV</t>
  </si>
  <si>
    <t>@Avenge_mypeople @jdavidsonlawyer @RGreggKeller @ZGare @blackwidow07 @ResignNowKim @ChrisHayesTV @SKOLBLUE1 @JW1057 @scottfaughn @cody4mo @kmoxnews @tonymess @KCStar @stltoday @EricGreitens @FDIC_OIG @MarkReardonKMOX @KMOXPD @DebbieMonterrey A rusted out double wide in the woods with a front yard graveyard of old cars goes real far ..😂</t>
  </si>
  <si>
    <t>Maybe Lobbysists are Hiding Scott Faughn ?
Where There’s Lobbyists &amp;amp; Liquor , Scott’s a near 
#FindFaughn #Moleg #BiasJournalism https://t.co/8qWhKSLSFm</t>
  </si>
  <si>
    <t>@ResignNowKim @internalmonolo2 @VisioDeiFromLA @staceynewman @KimGardnerSTL @KMOXKilleen @kmoxnews @KMOX @D_Towski Exact tweet was
https://t.co/9pP3fLxjaJ</t>
  </si>
  <si>
    <t>This Pretty Much Sums it Up 👇 https://t.co/oW8KZc53Fx</t>
  </si>
  <si>
    <t>@SKOLBLUE1 Maybe he took his Stein on the Anheisser Busch Brewery tour.  He might be Hiding out between a Clysdale or Two</t>
  </si>
  <si>
    <t>@SKOLBLUE1 I will bet you a Giant Kit Kat &amp;amp; A sam’s club case of M &amp;amp; M’s
He’s not in Mizzourah , Did he flee by Plane Train or Automobile?</t>
  </si>
  <si>
    <t>Taking Friendly Wagers where is Scott Faughn
Any guesses Twitter ?
Where does the Candy Man Hide with His Money 
And not get served a supoena 
Judge Burlison should Issue a Bench Warrant !
 #moleg  #findfaughn https://t.co/BGZ1BkYN69</t>
  </si>
  <si>
    <t>RT @SKOLBLUE1: Where in the World is Carmen (AKA Scott Faughn) San Diego? #Moleg #STL #Mosen #Mogov @JaneDueker @ES03784893 you crazy cats…</t>
  </si>
  <si>
    <t>@ES03784893 I’d be concerned about ks hygiene, ps has admitted to at least ✋🏼 Affairs , traveling musicians, groupies ect</t>
  </si>
  <si>
    <t>The fact that the media would report this falsehood is just another indication of how biased the coverage of this case has become.” – attorneys for Governor Eric Greitens  #greitens 
Greitens legal team responds to earlier Missourinet report https://t.co/LM8IZOM3M4</t>
  </si>
  <si>
    <t>RT @shesova: Looks likes  .@Rosie  SHOULD be in a lot of trouble. I emphasize SHOULD because the Democrats have been getting away with ever…</t>
  </si>
  <si>
    <t>RT @BigLeague2020: @TonjandHaleg @Vets4AP @StandBsideHer @Hope4Hopeless1 @JoshAlterity @HotlineJosh @AP4Liberty @RLibertyCaucus @SykesforSe…</t>
  </si>
  <si>
    <t>And that key player was Stacey Newman.  Texts were found from her to Ks conspiring with house dem leadership &amp;amp; Kim Gardner Explains Why Ks attorney fought to not turn over the cell phone   #greitens #withhunt #moleg https://t.co/tnocdg1VMZ</t>
  </si>
  <si>
    <t>RT @HotPokerPrinces: HAS ANYBODY SEEN SCOTT FAUGHN  &amp;amp; HIS STEIN OF BS
WHERE IS JEFF HIDING YOU ?
#moleg https://t.co/oz9FBbLMzS</t>
  </si>
  <si>
    <t>#moleg has already begun to cut their wrists
1) Stacey Newman &amp;amp; Dem Leadership Conspired with Kim Gardner 
2) Jay Barnes formed a closed door sham committee https://t.co/1UWVr7UNoI</t>
  </si>
  <si>
    <t>RT @VisioDeiFromLA: And u would know this how?
Somebody in #moleg leaking you info, kind of how it seems they are leaking other people inf…</t>
  </si>
  <si>
    <t>RT @VisioDeiFromLA: Why #STL CA Kim Gardner Must Be Investigated—and Stopped
"#StLouis CA Kim Gardner has clearly, repeatedly &amp;amp; consistent…</t>
  </si>
  <si>
    <t>@SuchHate Spending a fortune to try a case with no Evidence and ignoring cases with tons of evidence</t>
  </si>
  <si>
    <t>RT @VisioDeiFromLA: One of them parson tax credit bots again projecting! 
Even if what U were saying is true, it doesnt take away from fac…</t>
  </si>
  <si>
    <t>Where is Scott Faughn Hiding ?
Sauget Strip Clubs ?
Casino’s ?
Sizzler’s All U Can Eat Buffet ?
Lake of the Ozarks ?
Branson ? 
Germany ?
Switzerland (  I hear they have good banking )
#FindFaughn #MoneyBagsAl #KimShady #StaceyNewman #FollowTheMoney #MoLeg #Greitens https://t.co/e3FlO0qa84</t>
  </si>
  <si>
    <t>@HelloERGstaff @ResignNowKim @jdavidsonlawyer @blackwidow07 @RGreggKeller @ChrisHayesTV @SKOLBLUE1 @JW1057 @scottfaughn @cody4mo @kmoxnews @tonymess @KCStar @stltoday @EricGreitens @FDIC_OIG @MarkReardonKMOX @KMOXPD @DebbieMonterrey Bro, I’m tanning &amp;amp; flipping a grass fed burger as i type
Life is Good 🍔</t>
  </si>
  <si>
    <t>@HelloERGstaff @JW1057 @EricGreitens @SheenaGreitens @TeamGreitens @CStamper_ @MactavishShawn @melody_grover @MissouriTimes @MarkReardonKMOX @jeanielauer @Rep_TRichardson @gcmitts @jaybarnes5 @RonFRichard @TommiePierson @SCRyanSTL Office ? Oh hell No that’s so confining , the weather is so lovely &amp;amp; i must get my tan on. Just a  Green Money in the bank , paid my taxes, kind of person</t>
  </si>
  <si>
    <t>@Norasmith1000 @Avenge_mypeople @stltoday That’s true,  actually Nora Al Watkins represented Anthony Lamar Smiths family, and is now suing the state again reopening the civil case.  Coincidental or Deliberate these 2 are again involved an expensive mone drain on St. Louis</t>
  </si>
  <si>
    <t>@HelloERGstaff @JW1057 @EricGreitens @SheenaGreitens @TeamGreitens @CStamper_ @MactavishShawn @melody_grover @MissouriTimes @MarkReardonKMOX @jeanielauer @Rep_TRichardson @gcmitts @jaybarnes5 @RonFRichard @TommiePierson @SCRyanSTL Lol i wish , maybe you parson bot could get Scotty to drop me off a bag of cash or you could jus share yours with us 
#botsthatballout</t>
  </si>
  <si>
    <t>@ZGare @jdavidsonlawyer @blackwidow07 @ResignNowKim @RGreggKeller @ChrisHayesTV @SKOLBLUE1 @JW1057 @scottfaughn @cody4mo @kmoxnews @tonymess @KCStar @stltoday @EricGreitens @FDIC_OIG @MarkReardonKMOX @KMOXPD @DebbieMonterrey LIHTC lobbied Republicans &amp;amp; Democrats.  They greased both sides to keep those ineffective programs in place.
Dems have big campaign coiffers &amp;amp; look good to their base w housing &amp;amp; GOP keep their donors happy by keeping cash flowing.</t>
  </si>
  <si>
    <t>@ZGare @jdavidsonlawyer @blackwidow07 @ResignNowKim @RGreggKeller @ChrisHayesTV @SKOLBLUE1 @JW1057 @scottfaughn @cody4mo @kmoxnews @tonymess @KCStar @stltoday @EricGreitens @FDIC_OIG @MarkReardonKMOX @KMOXPD @DebbieMonterrey Maybe it’s a collaborative effort</t>
  </si>
  <si>
    <t>@blackwidow07 @JW1057 #FindFaughn Follow the Money 💰 
Where is the Bag Man Hiding Out 
Lake of the Ozarks ?
Sauget Strip Clubs ? 
Destin Beach ?
Germany ?
Cayman Islands ? https://t.co/TXkKgmAkDs</t>
  </si>
  <si>
    <t>Missouri has A Drug Trafficking Problem
 #Moleg #stl https://t.co/Rka3RvXssT</t>
  </si>
  <si>
    <t>@FOX2now Slmpd catches them &amp;amp; slcao lets them go free 
https://t.co/AAq09IBrry</t>
  </si>
  <si>
    <t>@Neilin1Neil @JW1057 I’m pissed off at every one of those signatures 
I just want to move out of Missouri theyre so crooked</t>
  </si>
  <si>
    <t>@696_636 @stltoday Not soon enough</t>
  </si>
  <si>
    <t>@MariaChappelleN @blackwidow07  i don’t think Felon Faughn ever held a job or title position at sterling Bank.  They did buy advertising. He would be able to hold a bank account there no problems.  I suspect his hands were good at holding a bag of cash from there.</t>
  </si>
  <si>
    <t>@MariaChappelleN It’s the Lords Day Preach MCN ! I’m listening to you</t>
  </si>
  <si>
    <t>I’m just Loving You ❤️  MCH https://t.co/01CI1EhhcT</t>
  </si>
  <si>
    <t>@blackwidow07 @stltoday That’s not cool with me.  You’re human , I’m human &amp;amp; we speak the same language. We’re members of the human party, we should not be in chaos, but involved in conversation.  I don’t care what color someone is , if they want to talk, let’s talk.  Everyone contributes something</t>
  </si>
  <si>
    <t>RT @blackwidow07: @Sticknstones4 @Avenge_mypeople @stltoday @stltoday refuses to look into the use of the taxpayer money she has. Where is…</t>
  </si>
  <si>
    <t>@blackwidow07 @Avenge_mypeople @stltoday The Soros Way !</t>
  </si>
  <si>
    <t>RT @blackwidow07: @Sticknstones4 @stltoday All strange. It's like she is trying to keep criminals on the street. Keep chaos in the communit…</t>
  </si>
  <si>
    <t>@blackwidow07 @stltoday Chaos is the operative goal of George Soros 
The more the better !</t>
  </si>
  <si>
    <t>RT @Margare03880660: Sadly,Stick, they will never solve these problems with the current administration.  The city needs to have programs fo…</t>
  </si>
  <si>
    <t>@Margare03880660 I think it’s beyond kids having a place to play.  It’s a Drug Trafficking Problem !  Drug dealers like to use kids to do their dirty work &amp;amp; if they get caught theyre prosecuted as juveniles</t>
  </si>
  <si>
    <t>This could be , but putting violent killers of any color back on the streets does not serve any race. 
The Slmpd did their job,  #kimshady didn’t do hers ! 
Fact is Missouri is number 1️⃣ in Black Homocide 
#stl #stlboa #lydakrewson https://t.co/i0Oy2WSLVh</t>
  </si>
  <si>
    <t>RT @Margare03880660: I guess a witch hunt against a sitting Governor is more important than the real issues like black on black violence an…</t>
  </si>
  <si>
    <t>@ResignNowKim @CDTCivilWar @MikeWolffSTL @jaybarnes5 @BarklageCompany What dos that law professor saw about Kim Gardner’s misconduct ?
https://t.co/SvpLBLvlBk</t>
  </si>
  <si>
    <t>@jdavidsonlawyer @ChrisHayesTV https://t.co/SvpLBLvlBk</t>
  </si>
  <si>
    <t>@Avenge_mypeople @stltoday Missouri is number 1 in black Homocide. The ages are just getting younger &amp;amp; younger. it’s truly heartbreaking. There’s chatter for a need for youth programs, all the wasted greitens prosecution funds  could have funded a few! We need to crack down on DRUG TRAFFICKING PROBLEM</t>
  </si>
  <si>
    <t>@Shawtypepelina @stlcao @StLouisCityCA @stltoday Hundreds of thousands tax payer dollars being spent on #greitens no picture, yet no justice for a slain toddler 
3 stolen guns , a stolen car &amp;amp; Drugs &amp;amp; she can’t make a case.  She can’t spend the money on a private investigator or special prosecutor for justice for this baby #stl</t>
  </si>
  <si>
    <t>Dead toddler, stolen guns, stolen car &amp;amp; Drugs, Kim Gardner’s office cant make a case out of THIS but can make a case on #Greitens
They were accused in the road rage shooting of a toddler, but St. Louis prosecutors have dropped charges https://t.co/CBV1PxImo6 via @stltoday</t>
  </si>
  <si>
    <t>@jaybar5 YOU &amp;amp; YOUR SHAM COMMITTEE NEED TO READ ! 
ALL OF MOLEG NEEDS TO READ ! 
#moleg #greitens 
Why St. Louis Circuit Attorney Kim Gardner Must Be Investigated—and Stopped https://t.co/0AH4R0fHt5</t>
  </si>
  <si>
    <t>RT @dsm012: Glory Days for Missouri Republicans https://t.co/GQp2PTEcaD</t>
  </si>
  <si>
    <t>@NickBSchroer Please have a conversation with @Robschaaf , instead of forking Greitens , he should have been sticking his fork in this ! He really forked Missouri over on this</t>
  </si>
  <si>
    <t>@DeplorableGoldn @GMieir @ChrisHayesTV @Brianontheair @scottfaughn For a person so willing to comment on by way of Radio, Tv &amp;amp; Print on Greitens every move.  Faugn knows there is a supoena issued for him,  funny why now he wants to shut up!  It appears Missouri got scammed again by Scott.</t>
  </si>
  <si>
    <t>@Str8DonLemon Republicans thank @robschaaf for supporting this</t>
  </si>
  <si>
    <t>@jdavidsonlawyer @ResignNowKim @blackwidow07 @RGreggKeller @ChrisHayesTV @SKOLBLUE1 @JW1057 @scottfaughn @cody4mo @kmoxnews @tonymess @KCStar @stltoday @EricGreitens @FDIC_OIG @MarkReardonKMOX @KMOXPD @DebbieMonterrey https://t.co/SvpLBLvlBk</t>
  </si>
  <si>
    <t>RT @KMOV: Man shot in back in Wells-Goodfellow neighborhood, police say https://t.co/CijXqCJrO0 https://t.co/GNPTTGPUFC</t>
  </si>
  <si>
    <t>RT @Sticknstones4: #Moleg  &amp;amp; #KimShady Shame on You !   You conspired to unseat a duly elected governor 
#greitens #witchhunt 
Gov. Greite…</t>
  </si>
  <si>
    <t>@Missourinet And the Missouri times publisher with the cash is hiding to evade a supoena 
https://t.co/qvBw2p0vao</t>
  </si>
  <si>
    <t>@Missourinet Another development 
https://t.co/FFe2YtdZAh</t>
  </si>
  <si>
    <t>@Missourinet New development
https://t.co/9pP3fLxjaJ</t>
  </si>
  <si>
    <t>@Neilin1Neil @KathieConway @SykesforSenate @ParksKMBZ @RealTravisCook @EricGreitens @sdieckhaus @inthejungle234 @magathemaga1 @Norasmith1000 @YearOfZero Kathie when is your town hall ? Your pro greitens republican constituents want to talk to you ? 
@Hope4Hopeless1 @SKOLBLUE1 @Shawtypepelina</t>
  </si>
  <si>
    <t>RT @Neilin1Neil: @KCStar 1) Now who is Josh Hawley again? And 2) We love that Eric Greitens, though. We’d vote for him again tomorrow and t…</t>
  </si>
  <si>
    <t>RT @Neilin1Neil: The media is attacking Greitens for things from when he dipped Peggy’s pigtails in the ink well! @KathieConway @SykesforSe…</t>
  </si>
  <si>
    <t>RT @EdBigCon: @GovGreitensMO Speaking at the Missouri Law Enforcement Memorial.
What a solemn event honoring those that gave all. #moleg ht…</t>
  </si>
  <si>
    <t>RT @SKOLBLUE1: @stlpublicradio @ScottCharton "It's too bad we couldn't have gotten the Missouri Legislature to go after the crime in St. Lo…</t>
  </si>
  <si>
    <t>RT @WesleyWeglarek: Governor Greitens is currently speaking at the annual Law Enforcement Memorial Service to remember all of those officer…</t>
  </si>
  <si>
    <t>RT @RealTravisCook: So basically, we're celebrating a bunch of thieves.  Not so different than the border jumpers of today!  #CincoDeMayo h…</t>
  </si>
  <si>
    <t>@RealTravisCook That’s cool , cause i didn’t need a special holiday to drink margaritas overeat insane amounts chips salsa &amp;amp; guacamole.  I’m always down for taco Tuesday</t>
  </si>
  <si>
    <t>RT @Markknight45: @BryanLowry3 @EricGreitens Gardner is not interested in justice, she interested in incarcerating a Republican governor</t>
  </si>
  <si>
    <t>@TomJEstes @robschaaf sold out our Governor &amp;amp; he sold out Missouri trying to push his fake crap on us!  We know better than to trust someone in the pocket &amp;amp; bedroom of a lobbyist</t>
  </si>
  <si>
    <t>RT @Norasmith1000: @Sticknstones4 @jaybarnes5 If anyone at all doubted this was a witch hunt, they only need to see this to change their mi…</t>
  </si>
  <si>
    <t>That is a problem. How in hell can you know someone is guilty but not know what he is guilty of? Sounds like a sham to me! It's premature for impeachment to be considered at this time!
@jaybarnes5 &amp;amp; crew shame on you !
#witchhunt #moleg #housereport #shamjob #greitens https://t.co/PKesH3wCPj</t>
  </si>
  <si>
    <t>GOOD MORNING CROOKED #MOLEG 
@mikelkehoe @elijahhaahr @DougLibla25 @robschaaf
@RonFRichard @jaybarnes5 @shawnrhoads154 @Rep_TRichardson 
@MariaChappelleN HAS PUT YOU ALL TO SHAME !
SHAME ON YOU ! 
HER DRAGON🐉ENERGY IS STANDING UP FOR MISSOURI 
JUSTICE 
YOU GO GIRL❤️ https://t.co/gCSphwLDJv</t>
  </si>
  <si>
    <t>@Neilin1Neil @KathieConway @EricGreitens Or this one 👇🏻
https://t.co/FFe2YtdZAh</t>
  </si>
  <si>
    <t>@Neilin1Neil @KathieConway @EricGreitens What does @KathieConway have to saw about this recent development 
https://t.co/9pP3fLxjaJ</t>
  </si>
  <si>
    <t>@jrosenbaum Super cute kids Jason , happy cinco de mayo !
Enjoy your weekend , we’ll be here when you come back</t>
  </si>
  <si>
    <t>@blackwidow07 @tkinder @ChrisHayesTV @scottfaughn @FBIStLouis Missouri has a need for Low income Housing. A new program could be formed that’s more effective to tax payers &amp;amp; less profitable to banks/developers. This coup is not about the people it’s about profits in pockets !  Remember those that stood up for people</t>
  </si>
  <si>
    <t>@GMieir @ChrisHayesTV @Brianontheair @scottfaughn Evading service of supoena</t>
  </si>
  <si>
    <t>@blackwidow07 @tkinder @ChrisHayesTV @scottfaughn @FBIStLouis Sterling Bank has made a niche profiting off LIHTC, which were deemed ineffective to Missouri tax payers.</t>
  </si>
  <si>
    <t>@theknobboy @JW1057 @jrosenbaum @EricGreitens @LaurenTrager @scottfaughn Many married people sleep with others.  It may be morally wrong , but the fact is:  it’s not a crime.</t>
  </si>
  <si>
    <t>@Norasmith1000 @magathemaga1 @blackwidow07 @BigJShoota @SKOLBLUE1 @HotPokerPrinces @Hope4Hopeless1 @philip_saulter @EdBigCon @Lautergeist I don’t always agree with @MariaChappelleN politically,but we are sisters together in the human party.  In all fairness there has been multiple times she has defended people from being attacked from the wrath of many. She deserves props👍🏼 Appreciate that quality.</t>
  </si>
  <si>
    <t>This is a gift @MariaChappelleN 
We Thank you for your fairness 😘❤️
Peace ✌️ https://t.co/xQy7MNbZsi</t>
  </si>
  <si>
    <t>@JackSuntrup @MariaChappelleN @stltoday https://t.co/PNCkoCAyCb</t>
  </si>
  <si>
    <t>@RetNavy93 @stl7thward @EricGreitens Gov. Greitens’ lawyers: ‘The lying and concealing has not stopped’ – https://t.co/IhR9Ah0dur https://t.co/o6bdjZi1qp</t>
  </si>
  <si>
    <t>@jes_holdings  hey Jeff where are you hiding Scott Faughn?  🛫🗺</t>
  </si>
  <si>
    <t>@Markknight45 @magathemaga1 @Str8DonLemon @EricGreitens @SKOLBLUE1 @HotPokerPrinces @Hope4Hopeless1 @philip_saulter @Norasmith1000 @strmsptr @toadtws @ErgoStreetNurse @ChrisHayesTV @ChrisHayesTV has has the most comprehensive reporting no bias</t>
  </si>
  <si>
    <t>@celestebott @GilbertBailon And this text
https://t.co/FFe2YtdZAh</t>
  </si>
  <si>
    <t>@celestebott @GilbertBailon You’re article lacked import detail , don’t you think readers deserved the exact content of the text from the motion ?
https://t.co/9pP3fLxjaJ</t>
  </si>
  <si>
    <t>RT @BowmanK9Life: @BlueAlertUs Candlelight vigil for Missouri LEO Memorial. Thin Blue Line runs deep, as Gov. Greitens lit up Capital with…</t>
  </si>
  <si>
    <t>@KOMUnews https://t.co/o6bdjZi1qp</t>
  </si>
  <si>
    <t>@AmfellinAlicia @jallman971 I’m all set up for Monday !</t>
  </si>
  <si>
    <t>#Moleg  &amp;amp; #KimShady Shame on You !   You conspired to unseat a duly elected governor 
#greitens #witchhunt 
Gov. Greitens' lawyers: 'The lying and concealing has not stopped' https://t.co/AeJdFbkeSf via @fox2now</t>
  </si>
  <si>
    <t>@Eric_Schmitt Check out @ChrisHayesTV recent developments in greitens</t>
  </si>
  <si>
    <t>RT @VisioDeiFromLA: Alexandra 
How does it feel to know news is coming out the "accuser" is a liar and coordinated with #MoLeg on this sca…</t>
  </si>
  <si>
    <t>😂 our beloved @blackwidow07  has suggested a BOLO 
( be on the look out) 👀  Scott Faughn might be hiding 
In a grocery store 
Where’s Scott Faughn ? 
I’m guessing he’s off some hwy exit Cracker Barrel https://t.co/c4HcL4OKxp</t>
  </si>
  <si>
    <t>RT @blackwidow07: @ResignNowKim @Sticknstones4 @ChrisHayesTV @SKOLBLUE1 @JW1057 @JaneDueker @scottfaughn @RGreggKeller @cody4mo @kmoxnews @…</t>
  </si>
  <si>
    <t>@Dogan4Rep The bag man has gone into hiding to evade supoena 
https://t.co/qvBw2p0vao</t>
  </si>
  <si>
    <t>@Dogan4Rep https://t.co/FFe2YtdZAh</t>
  </si>
  <si>
    <t>@Dogan4Rep https://t.co/9pP3fLxjaJ</t>
  </si>
  <si>
    <t>@ResignNowKim @blackwidow07 @ChrisHayesTV @SKOLBLUE1 @JW1057 @tonymess @stltoday @KCStar @KCStarOpinion @MarkReardonKMOX @kmoxnews @LaurenTrager @Koster4Missouri Kity failed to report some major deposits and I’m not talking cash</t>
  </si>
  <si>
    <t>@blackwidow07 @EdBigCon @Shawtypepelina @RealTravisCook @HennessySTL @HotPokerPrinces @Eric_Schmitt @jrosenbaum @Avenge_mypeople @SKOLBLUE1 We don’t respect Jay Barnes, he’s a communist comrade</t>
  </si>
  <si>
    <t>@blackwidow07 @ResignNowKim @ChrisHayesTV @SKOLBLUE1 @JW1057 @tonymess @stltoday @KCStar @KCStarOpinion @MarkReardonKMOX @kmoxnews @LaurenTrager @Koster4Missouri Momma always says what doesn’t come out in the wash comes out in the rinse ,  the agitator is spinning the wheels of Justice hard</t>
  </si>
  <si>
    <t>@blackwidow07 @EdBigCon @Shawtypepelina @RealTravisCook @HennessySTL @HotPokerPrinces @Eric_Schmitt @jrosenbaum @Avenge_mypeople @SKOLBLUE1 💥 This was definitely immoral collusion https://t.co/njyEbSqdzy</t>
  </si>
  <si>
    <t>@blackwidow07 @ChrisHayesTV @SKOLBLUE1 @JW1057 I thought she was a hair dresser, but hey it’s none of my business if politicos are into man-scaping 😂
Not judging</t>
  </si>
  <si>
    <t>What on earth is he affraid of ? It’s HIS money
@MarkReardonKMOX 
Breaking Scott Faugn went into Hiding 
#greitens https://t.co/pAyeN8fcci</t>
  </si>
  <si>
    <t>#greitens motion says politics were in play starting 1-11 when MO Rep texted alleged victim “my House Dem leadership insist you need a lawyer fast.” Motion says same Rep texted a week later- “STL Circuit Attorney Kim Gardner, she said you can have your attorney call her
Oh #MOLEG https://t.co/GesfDrFbve</t>
  </si>
  <si>
    <t>#GREITENS defense says recently discovered text messages reveal possibility alleged victim could profit. Court motion quotes text from friend "it’s kind of cool – you might become rich off it." Court motion says K.S. responded, "LOL!!!!” https://t.co/N7bsXEHNv2</t>
  </si>
  <si>
    <t>@ChrisHayesTV No wonder she fought releasing her phone 
She was no victim , more like a co conspirator</t>
  </si>
  <si>
    <t>@blackwidow07 @ChrisHayesTV @SKOLBLUE1 @JW1057 Wax ?</t>
  </si>
  <si>
    <t>@Beatlebaby64 @Jimi971 @Lautergeist U can be @jallman971  back up crew</t>
  </si>
  <si>
    <t>@Jimi971 @Beatlebaby64 @Lautergeist U guys are hilarious always crack me up</t>
  </si>
  <si>
    <t>Rep. Brandon Ellington, D-Kansas City
Rep. Jay Mosley, D-Florissant
Rep. Joshua Peters, D-St. Louis
Rep. Clem Smith, D-Velda Village Hills</t>
  </si>
  <si>
    <t>Rep. Mike Moon, R-Ash Grove
Rep. Jim Neely, R-Cameron
Rep. Randy Pietzman, R-Troy
Rep. Jeff Pogue, R-Salem
Rep. Holly Rehder, R-Sikeston
Rep. Bryan Spencer, R-Wentzville
Rep. Bill White, R-Joplin
Rep. Michael Butler, D-St. Louis
Rep. Pat Conway, D-St. Joseph</t>
  </si>
  <si>
    <t>Rep. Rick Brattin, R-Harrisonville
Rep. Wanda Brown, R-Lincoln
Rep. Gary Cross, R-Lee's Summit
Rep. Paul Curtman, R-Washington
Rep. Chris Dinkins, R-Annapolis
Rep. Lyndall Fraker, R-Marshfield
Rep. Keith Frederick, R-Rolla
Rep. Mike Kelley, R-Lamar
Rep. Andrew McDaniel, R-Deering</t>
  </si>
  <si>
    <t>MISSOURI HOUSE OF REPRESENTATIVES 
WE APPRECIATE &amp;amp; SALUTE YOU
FOR RESPECTING YOUR CONSTITUENTS &amp;amp; THE WILL OF #MISSOURI VOTERS
22 REPRESENTATIVES  ( see names in thread ) 
THANK YOU FOR NOT SIGNING PETITION FOR SPECIAL SESSION 
 #greitens #dueprocess https://t.co/1pK6Bj1lnA</t>
  </si>
  <si>
    <t>RT @CStamper_: “The actions of the Circuit Attorney and her sidekick investigator are reprehensible. They have greatly prejudiced the defen…</t>
  </si>
  <si>
    <t>RT @CStamper_: Soros-backed prosecutor Kim Gardner’s “pattern of skirting the rules and law which are the foundation of the criminal justic…</t>
  </si>
  <si>
    <t>RT @CStamper_: A Democrat state rep texted the alleged victim encouraging her to get a lawyer and providing Soros-backed prosecutor Kim Gar…</t>
  </si>
  <si>
    <t>RT @CStamper_: “There is no doubt that this case smells of politics. Missouri Times and Scott Faughn’s heavy cash involvement leaves little…</t>
  </si>
  <si>
    <t>RT @CStamper_: “He sat twelve inches from her, he took ten pages of notes, he asked for specific quotes, he asked her to spell names, and s…</t>
  </si>
  <si>
    <t>RT @CStamper_: “In order to conceal the video and then notes taken by Mr. Tisaby, everyone had to be on the same page. So, in her depositio…</t>
  </si>
  <si>
    <t>RT @CStamper_: “As the old saying goes, ‘you don’t know what you don’t know.’ Who else is being paid for their testimony? What other inform…</t>
  </si>
  <si>
    <t>RT @CStamper_: Soros-backed prosecutor Kim Gardner has already been sanctioned by the court in this witch hunt. Her handpicked investigator…</t>
  </si>
  <si>
    <t>#MOLEG SENATORS 
WE APPRECIATE &amp;amp; SALUTE YOU
FOR RESPECTING YOUR CONSTITUENTS &amp;amp; THE WILL OF #MISSOURI VOTERS
SEN MARIA CHAPELLE NADAL  
SEN WAYNE WALLINGFORD 
SEN DAN BROWN 
SEN BRIAN MUNZLNGER 
THANK YOU FOR NOT SIGNING PETITION FOR SPECIAL SESSION 
 #greitens #dueprocess https://t.co/zXqGt4MuGa</t>
  </si>
  <si>
    <t>RT @Margare03880660: #FIRE STACEY #IStandWithGovernorGreitens #IStandWith@jallman971. #IStandWithPresidentTrump #I HATE CONSPIRATORS- That…</t>
  </si>
  <si>
    <t>@melody_grover Id like to add she has a strange obsession with other people’s sex lives 
She’s getting paid to spin her alleged fake sex story that nobody cares about 
#fakenewsjane</t>
  </si>
  <si>
    <t>@BryanLowry3 @EricGreitens She will have a lot of time to read the Bible where she’s going</t>
  </si>
  <si>
    <t>@Heart_landart Thanks for the follow</t>
  </si>
  <si>
    <t>RT @JW1057: Now know that Stacey Newman and Dems were involved from the beginning. Newman arranged meeting between Kitty and @stlcao. Gardn…</t>
  </si>
  <si>
    <t>SHAME ON EVERY SINGLE ONE OF YOU
THAT CONSPIRED 
SHAME ON YOU 
#MOLEG https://t.co/9nzNTszGAn</t>
  </si>
  <si>
    <t>Resign Now Kim Gardner !
#MOLEG start cleaning out your
Offices https://t.co/9nzNTszGAn</t>
  </si>
  <si>
    <t>RT @VisioDeiFromLA: Wow. I agree with Nadal.
"Chappelle-Nadal said, even though she's been critical of Greitens, she believes his trial sh…</t>
  </si>
  <si>
    <t>RT @JW1057: @VisioDeiFromLA @Rep_TRichardson @Eric_Schmitt @EricGreitens @MariaChappelleN can't say that I agree with much of your politics…</t>
  </si>
  <si>
    <t>@MoGov Thank you state employees &amp;amp; Thank You Governor Greitens</t>
  </si>
  <si>
    <t>“It’s really important we make the time to recognize our state employees”- Governor Eric Greitens
Where was #Moleg  while this important event was going on ? https://t.co/iKw4dSVHUR</t>
  </si>
  <si>
    <t>@Str8DonLemon @Mizzourah_Mom @EricGreitens Kathie wants her constituents to listen to her 
When in fact it’s the other way around she is suppose to be listening to her constituents that elected her
She declined the request of a town hall  or meeting</t>
  </si>
  <si>
    <t>RT @Str8DonLemon: Why is Kathie Conway, a tax payer funded #MoLeg rep on Twitter giving her opinion which is of course biased TAINTING THE…</t>
  </si>
  <si>
    <t>@KMOV When you elect unqualified people that can’t run their own lives, don’t have the expectation their going to run the city.
It’s currently being run into the ground by people with civil lawsuits, warrants, arrests, child support issues &amp;amp; bankruptcies.</t>
  </si>
  <si>
    <t>@dsm012 @EdBigCon Those signatures are dead to me</t>
  </si>
  <si>
    <t>You do not become an agent involving financial transactions in a story as big as the potential removal of office as a governor. … You just don’t do that. It’s as unethical as it can get.
#felonfaughn #scammingscott #moleg #witchhunt https://t.co/P8T66o60OE</t>
  </si>
  <si>
    <t>@esqonfire @dsm012 The people had a right when the special house legislative investigative committee met behind close doors to
Conspire aka witchhunt in secrecy.</t>
  </si>
  <si>
    <t>RT @tkinder: @esqonfire Our whole system of government is too opaque. From lobbying, political contributions, revolving doors and now this.…</t>
  </si>
  <si>
    <t>@SpeakerTimJones @georgesoros Cowardly Republicans not willing to support Due Process 
&amp;amp; Crooked Republicans in the tax credit coup 
Will play a major role in Turning Missouri Blue</t>
  </si>
  <si>
    <t>RT @GovGreitensMO: This week, we took time to recognize state workers who have gone above and beyond to get results for Missouri citizens.…</t>
  </si>
  <si>
    <t>@markmeyer11 @clairecmc @jallman971 Show her just how far she is 
https://t.co/a6jodT0rUU</t>
  </si>
  <si>
    <t>RT @strmsptr: #moleg is hell bent on nullifying the choice of #WeThePeople for Missouri Governor by calling a special session to continue t…</t>
  </si>
  <si>
    <t>@grcfay Damn I’m not doing this twitter thang right , y’all are holding out the cash from me 😂</t>
  </si>
  <si>
    <t>@RobLiteWeiman @VisioDeiFromLA @EricGreitens @RoyBlunt @MissouriGOP @Eric_Schmitt @SKOLBLUE1 @STLCountyGOP @Avenge_mypeople @Shawtypepelina @Hope4Hopeless1 @Rep_TRichardson @philip_saulter @HennessySTL @TeamGreitens You lib trolls are so gullible to the truth &amp;amp; blinded by your hatred 
There was no rape , he’s not being charged with rape
FYI  they continued the consensual affair for a few months
After this alleged salacious tie up incident</t>
  </si>
  <si>
    <t>@LarrySchweikart @tkinder My favorite 🙏🏻 Story 
https://t.co/E7yvDo1hS4</t>
  </si>
  <si>
    <t>@BattLiz @ES03784893 Wrong , I defended Bob Burns Resignation
He did nothing wrong</t>
  </si>
  <si>
    <t>@Vets4AP @mikeparson It’s a calculated witch hunt motivated by greed &amp;amp; decades of deep corruption.  It will not end well for Missouri. Politicians have their own pockets interests over those interests &amp;amp; wills of voters</t>
  </si>
  <si>
    <t>@RealTravisCook @karmamichele @magathemaga1 @EricGreitens @Rep_TRichardson @HotPokerPrinces @strmsptr @Hope4Hopeless1 @Avenge_mypeople @Blackboxhalo @SKOLBLUE1 @Norasmith1000 @Eric_Schmitt I agree , but it was still a good series</t>
  </si>
  <si>
    <t>@StLCountyRepub Any rallies planned to support governor greitens ?  Dm me</t>
  </si>
  <si>
    <t>🚨RT
📢PROTEST ALERT📢
Saturday 6:30 pm  Richmond Heights 
Protest Claire McCaskill 
#fireclaire #mosen #stl #republicans #maga #cincodemayo #STLCards https://t.co/mOwoKSmGRx</t>
  </si>
  <si>
    <t>RT @StLCountyRepub: A fair trial will be hard to have @EricGreitens https://t.co/JGI31UJgOI</t>
  </si>
  <si>
    <t>RT @tkinder: One Year Later: Illinois On The Verge Of Downgrade To Junk; Its Residents $5 Billion Poorer https://t.co/EJXKu91oHM</t>
  </si>
  <si>
    <t>@tkinder St. Louis could be following in their footsteps</t>
  </si>
  <si>
    <t>@ES03784893 @EricGreitens @MOEthics Closed Door witch hunts are not Molegs Job</t>
  </si>
  <si>
    <t>@strmsptr Gary Romine is good riddance , hasta la vista bay bee
Don’t be back</t>
  </si>
  <si>
    <t>RT @strmsptr: #moleg Gary Romine and Kevin Engler you are put on notice. Mr Romine, you have lost my support for any reelection bid. Mr Eng…</t>
  </si>
  <si>
    <t>What the Hell do you expect ?  When you elect people that cant manage their own lives, don’t expect them to manage a city! Elect competent people, not people with warrants, arrests, civil lawsuits &amp;amp; bankruptcies 
Moody's Downgrades St. Louis' Credit Rating https://t.co/J2WLAhsFEc</t>
  </si>
  <si>
    <t>@RealTravisCook @karmamichele @magathemaga1 @EricGreitens @Rep_TRichardson @HotPokerPrinces @strmsptr @Hope4Hopeless1 @Avenge_mypeople @Blackboxhalo @SKOLBLUE1 @Norasmith1000 @Eric_Schmitt I think you got season 2 of Ozark written LOL 
Ozark house of cards</t>
  </si>
  <si>
    <t>@ES03784893 @EricGreitens Give it time , this case will crumble just like the other 
All lies</t>
  </si>
  <si>
    <t>@ES03784893 Liberal Troll your fake moral turpitude outrage only applies when it’s someone you don’t like</t>
  </si>
  <si>
    <t>@JW1057 @EricGreitens @StLouisCityCA @HawleyMO @RonFRichard @Rep_TRichardson @SentinelKSMO follow @JW1057  much information on the shady underworking of Missouri’s witch hunters</t>
  </si>
  <si>
    <t>@ES03784893 @GOP The affair is a BS case, consensual &amp;amp; hersay 
If they practiced salacious BDSM, that’s a choice NOT ILLEGAL &amp;amp; again this consensual affair was before he took office</t>
  </si>
  <si>
    <t>@Shawtypepelina @MOHouseGOP @RonFRichard @lindsaywise is this syker bagman number 2 ?</t>
  </si>
  <si>
    <t>@Shawtypepelina @MOHouseGOP @RonFRichard Well that looks like the anonymous Skyler bag man number too @RonFRichard has been anti greitens &amp;amp; holding up bills for signature , RON KNEW HIS OWN HANDS &amp;amp; CASH LINED POCKETS WERE INVOLVED IN THIS DIRTY COUP 
Why do you keep screwing Missourians Ron ?</t>
  </si>
  <si>
    <t>REPUBLICAN HOUSE &amp;amp; SENATORS THAT VOTE TO 
IMPEACH GOVERNOR #GREITENS
WILL TURN MISSOURI BLUE 🔵
@mikeparson WILL NOT CARRY MISSOURI 🔴RED
YOUR CAREERS WILL BE CUT SHORT 
VOTERS WILL GUARANTEE IT 🗳 
#MOLEG IS NOT RESPECTING THE CHOICE OF  THE 
VOTERS ! https://t.co/Y08xri7E7U</t>
  </si>
  <si>
    <t>@Decaco1 @ksdknews Every person is entitled to due process in a court of law. 
The court of public opinion based on salacious media is not a conviction that counts</t>
  </si>
  <si>
    <t>Missouri is #1 in Black Homocide 
How much younger are we going to allow victims to be
This boy was 14 years old killed by a 13 year old 
Drug Trafficking &amp;amp; Gangs are destroying Missouri 
When is #Moleg going to take action ?
@MOHouseGOP @MOLegDems https://t.co/wFhTI9QZsB</t>
  </si>
  <si>
    <t>@SuchHate @FOX2now That’s the intention to trick people into an impulse signature without knowing what they are signing 
They don’t have the full language of the petition.
They knocked on my front door a few days ago</t>
  </si>
  <si>
    <t>@ksdknews Republicans can consider their careers over too if they vote to impeach greitens without due process 
They will be handing Missouri over to the democrats making it a blue state</t>
  </si>
  <si>
    <t>@FOX2now Clean Missouri is a re-districting scam disguised as clean Missouri.  Soros wants to re draw districts to turn them from red to blue.  If you live in chesterfield you could be redrawn to the city ! Don’t let ur district be vote manipulated  clean Missouri is Dirty https://t.co/qk1e7BiUmr</t>
  </si>
  <si>
    <t>@KMOV republicans that vote to impeach will be kissing their own careers goodbye too.  Missouri will turn blue just as soros wants</t>
  </si>
  <si>
    <t>@NickThompsonTV A felon perceives a lack of authenticity from a duly elected governor ? LOL  faughn has 5 authetic pages on casenet &amp;amp; 4 authentic mug shots.  
https://t.co/8AyvlNc3dZ</t>
  </si>
  <si>
    <t>@liberty1776son @FOX2now And Stl wonders why they are 10 million in the red &amp;amp; the city’s credit rating was downgraded</t>
  </si>
  <si>
    <t>@GailBeatty Meet Missouri newest Homocide victim 
Oscar Johnson III,14 years old
He was shot by a 13 year old that tried to rob him for his cell phone 
If #Moleg  put as much effort into reducing Black Homocide as they do trying to oust the elected governor he’d be alive #sad https://t.co/FZlKXYYmUN</t>
  </si>
  <si>
    <t>@FOX2now Sorry dont believe his story https://t.co/KunYQCB46m</t>
  </si>
  <si>
    <t>@liberty1776son @FOX2now I believe #kimshady overspent big time on a class d felony while violent offenders are acquitted</t>
  </si>
  <si>
    <t>RT @magathemaga1: Reminder to #MoLeg 
You try impeachment before @EricGreitens gets his day in court, you are playing with electoral fire.…</t>
  </si>
  <si>
    <t>RT @Avenge_mypeople: @Norasmith1000 @magathemaga1 @EricGreitens @Rep_TRichardson @HotPokerPrinces @strmsptr @Hope4Hopeless1 @Blackboxhalo @…</t>
  </si>
  <si>
    <t>RT @JW1057: @MeghanKRCG13 @EricGreitens There is no honor in resigning when confronted with lies and false accusations. The honorable thing…</t>
  </si>
  <si>
    <t>RT @JW1057: I am in possession of TMC secret donor list!
2015 https://t.co/aK2jCEnF0P
2014 https://t.co/iDmpYIeVa1
@MOHOUSECOMM @TeamGrei…</t>
  </si>
  <si>
    <t>#DonnyBrookSTL Governor Greitens was duly elected
You can not pay to remove someone out of office just because you don’t like him.   People need to respect the outcomes of elections.</t>
  </si>
  <si>
    <t>#DonnyBrookSTL  I’d like to see Governor Greitens finish out his term.   I too agree with the caller.</t>
  </si>
  <si>
    <t>RT @Norasmith1000: @magathemaga1 @EricGreitens @Rep_TRichardson @HotPokerPrinces @strmsptr @Hope4Hopeless1 @Avenge_mypeople @Blackboxhalo @…</t>
  </si>
  <si>
    <t>@blackwidow07 @aareid1 I’m watching now too</t>
  </si>
  <si>
    <t>RT @Hope4Hopeless1: @EricGreitens Governor.@EricGreitens &amp;amp; .@POTUS .@realDonaldTrump I can't begin to express my admiration &amp;amp; gratitude for…</t>
  </si>
  <si>
    <t>#KimShady paid a $10,000 retainer and agreed to pay $475 an hour TO CONVINCE A JURY(without evidence) that there was a photo and transmission in this case.”
Please note #KimShady doesn’t spend this money on violent crime &amp;amp; St Louis homicide is on the rise
#witchhunt #greitens https://t.co/lA2l203baB</t>
  </si>
  <si>
    <t>@FOX2now There’s no picture !  There’s no picture ! There’s no picture!</t>
  </si>
  <si>
    <t>@NewsTribune 15 k for court reporting is nothing, Shows what minimal effort was put into this closed door witch hunt. 
No expense for investigators &amp;amp; never a cross examination 
These witch hunts and just speak &amp;amp; write &amp;amp; Issue</t>
  </si>
  <si>
    <t>RT @NewsTribune: Greitens probe costs House $15K for court reporters https://t.co/WudoMa6n96 #mogov #moleg</t>
  </si>
  <si>
    <t>RT @BryanLowry3: ‘Unethical’ actions by Missouri publisher in Greitens case spark press corps debate https://t.co/RAC7NhXRHM #moleg #Greite…</t>
  </si>
  <si>
    <t>RT @JohnLamping: Did he explain why as a "political consultant " he didn't advise his client to form a formal campaign account to pay his p…</t>
  </si>
  <si>
    <t>@EricGreitens Stay strong ! You’re in our prayers</t>
  </si>
  <si>
    <t>RT @EricGreitens: A powerful morning at Centennial Baptist Church in Mexico, celebrating the #NationalDayofPrayer. A quiet moment of worshi…</t>
  </si>
  <si>
    <t>@MissouriPress   Absolutely This is a violation of your bylaws, Please investigate.  People need truth not manipulated fake news   Thank You. https://t.co/OdW8dj2Et1</t>
  </si>
  <si>
    <t>@charliekmox @MarkReardonKMOX  sorry don’t recall which one of you said who polices the media over the last  days, but apparently there’s is someone 
The Missouri Capitol News Association &amp;amp; they have questioned Scott Faughn/Missouri Times in the past 
https://t.co/3JUSb7g5X1</t>
  </si>
  <si>
    <t>The Missouri Capitol News Association -The association’s bylaws state members must be editorially independent of any political party, institution, foundation, lobbying entity or business group
Missouri Times should have their Ethics Questioned Lobbyist,Loot,Liquor&amp;amp; Lodging ? https://t.co/PSentFfo2I</t>
  </si>
  <si>
    <t>@FoxNews @FoxNewsOpinion It really doesn’t matter what religon u are 
One can never over pray</t>
  </si>
  <si>
    <t>RT @JW1057: A response to Edward 'Chip' Robertson Jr. @TeamGreitens @EricGreitens @SheenaGreitens @StLCountyRepub @MOHOUSECOMM 
#moleg #mo…</t>
  </si>
  <si>
    <t>RT @jrosenbaum: No video cameras in the courtroom for the @EricGreitens trial. Court will consider audio and still cameras though.</t>
  </si>
  <si>
    <t>@NewsTribune I don’t trust any closed door tribunal 
Shame on Jay Barnes he’s accusing &amp;amp; slandering a veteran that formed a charity to help fellow veterans 
Did Jay Barnes ever serve in the Military ?  I think Jay Barnes only serves the lobbyists that pad his pockets</t>
  </si>
  <si>
    <t>RT @magathemaga1: 🚨 JUSTICE WARRIOR ALERT 🚨 
The Justice warrior responds to that CHIP guy #MANSPLAINING to @EricGreitens legal council.…</t>
  </si>
  <si>
    <t>RT @VisioDeiFromLA: The #MoLeg committe has lied to the public. 
They didnt cross examine the witness. 
They released testimony before a…</t>
  </si>
  <si>
    <t>While the legislature was busy wih their witch hunt
Governor Greitens honored Missouri state employees
Congratulations to the hard working recipients ! 
#missouri #greitens #moleg https://t.co/REhPkSOsKw</t>
  </si>
  <si>
    <t>@liberty1776son @GailBeatty Sad Needs to get on everyone’s agenda Missouri in Numero Uno in Black Homocide
It’s sad when Missouri life skills need to be trauma surgeons deployed in neighborhoods teaching residents to stop bleeding
We need to teach stop the violence &amp;amp; stop the drug trafficking leading it</t>
  </si>
  <si>
    <t>@Shawtypepelina Still waiting for #Moleg  to investigate  Why
greitens Mistress was with Stacey Newman at the capital last spring ?   Was this a pre introduction interview to legislators for the witch hunt ? https://t.co/LVOfwKyBFn</t>
  </si>
  <si>
    <t>RT @stlcountypd: This guy was wearing makeup while robbing a bank and supporting the @Indians today in North St. Louis County. Call us if y…</t>
  </si>
  <si>
    <t>RT @ksdknews: NEW: Cars exchange gunfire in St. Charles County, police say #TISL 
https://t.co/VegbmG6oVo https://t.co/yJsBU5rSUD</t>
  </si>
  <si>
    <t>@jrosenbaum @mikeparson 11 days away from trial, why such a rush?  The scampering fear of the Not Guilty verdict is obvious.   Fear of their own corruption being exposed.   Let Due Process play out</t>
  </si>
  <si>
    <t>Typical !   Shouldn’t Be But it Is 
#Moleg #Missouri #stl  #homocide https://t.co/MdsjRJxOx5</t>
  </si>
  <si>
    <t>RT @STLCrimeBeat: St. Louis shooting victim dies after being dropped off at hospital, police say https://t.co/HcmTappnuP</t>
  </si>
  <si>
    <t>@Shawtypepelina @MOHouseGOP @MOHouseDems That’s funny Shawty , @AGJoshHawley should investigate elected officials blocking communication from constituents.   They represent all the people not their chosen people</t>
  </si>
  <si>
    <t>@RiverfrontTimes You guys left off the part about the tweet was a reference from a scene from a movie</t>
  </si>
  <si>
    <t>@Avenge_mypeople @blackwidow07 @Str8DonLemon @HotPokerPrinces @Norasmith1000 @philip_saulter @RightSideUp313 @melody_grover @Rep_TRichardson @RealTravisCook Hopefully the Missouri Dept of Revenue tracks his money incoming to him &amp;amp; Al Watkins 
It might not be our business about his cash, but it’s their business ! Hope they’re not a tax cheat to the state &amp;amp; IRS @mogov</t>
  </si>
  <si>
    <t>@TomJEstes A quick stroll through casenet will show his track record of guilts</t>
  </si>
  <si>
    <t>St. Louis Metropolitan Police said they’ve had four calls for gunshots in last seven days in Benton Park, but officers never found any victims.
Who fires guns at 4 am ?  
Gangs ? Drug Dealers ? 
Missouri has a Drug Trafficking Problem 
#moleg #homocide  #buildawall #heroin https://t.co/ezvd3WbgOV</t>
  </si>
  <si>
    <t>@blackwidow07 I love ur bad @ss Mama Bear / Tiger Mom skills 
U rock black widow !</t>
  </si>
  <si>
    <t>@blackwidow07 @TheView @MeghanMcCain True that !</t>
  </si>
  <si>
    <t>@blackwidow07 @liberty1776son @FOX2now Totally not a victim , 💯 straight up consensual!</t>
  </si>
  <si>
    <t>Catherine Hanaway would Know ! 
She was our United States Attorney for Eastern District of Missouri 
House Reports Are Sham Reports = WITCH HUNT 
#greitens #moleg https://t.co/ji3HWAiDtu</t>
  </si>
  <si>
    <t>“THE WORK OF SETTING THE UNETHICAL STRAIGHT IS NEVER ENDING THESE DAYS “
HEY WITCH HUNTERS ..MAKE SURE “CHIPPY” GETS A COPY  ! ! ! 
@StLCountyRepub @MOHOUSECOMM @MOHouseGOP
@MOLegDems   
#Moleg #greitens #teamgreitens https://t.co/9cCcXvSNTw</t>
  </si>
  <si>
    <t>RT @cfsho444: @EricGreitens Governor, the people are with you and will stand by you. Only the cowards currently occupying the Jefferson Cit…</t>
  </si>
  <si>
    <t>Very Valid Issue Media Outlets need to address 
Commentator Opinions can be bought &amp;amp; paid for
Lobbyists groups &amp;amp; PACs are hiring to spin narratives 
Make News Real Again ! https://t.co/3y1rjWqW1T</t>
  </si>
  <si>
    <t>Kind of Swampy...
Agenda pushers = Propaganda
Remember when journalism was Real &amp;amp; had Ethics https://t.co/4oHwzfFyGJ</t>
  </si>
  <si>
    <t>RT @Neilin1Neil: @KathieConway @EricGreitens @sdieckhaus @scottfaughn @Sticknstones4 @realDonaldTrump https://t.co/qhcZRMw4W1</t>
  </si>
  <si>
    <t>RT @TomJEstes: Great interview by @MarkReardonKMOX with @scottfaughn Scott sounds as guilty as sin. #moleg  https://t.co/FdgmUwUzuL</t>
  </si>
  <si>
    <t>RT @HennessySTL: Regarding @EricGreitens  https://t.co/RRVcnXgKke via @youtube</t>
  </si>
  <si>
    <t>@nioisaim @CStamper_ @GailBeatty Send @MomsDemand those kids needs some Moms</t>
  </si>
  <si>
    <t>🕵🏻‍♂️TRUTH SEEKERS
FOLLOW #MOLEG MONEY https://t.co/facNEr0Sp2</t>
  </si>
  <si>
    <t>RT @magathemaga1: Gee, you have to wonder, why are Democrats pushing for a quick impeachment?
Is it possible he may be exonerated at trial…</t>
  </si>
  <si>
    <t>14 year old boy shot in city at 4:00
16 year old boy shot in county at 5:30
Drugs ? Gangs ? 
@GailBeatty can you Impeach Crime &amp;amp; have one of your press conferences where you declare your outrage 
#moleg while all of you witch hunt the governor kids are dying in Missouri https://t.co/sDecord556</t>
  </si>
  <si>
    <t>Missouri has a Drug Trafficking Problem !
#moleg #mosen #mogov #BuildTheWall 
#stl https://t.co/lbeclBIsjN</t>
  </si>
  <si>
    <t>@JohnnieCrunch @FOX2now Lol u really don’t know much about him
He is Jewish</t>
  </si>
  <si>
    <t>@magathemaga1 Do a story on overpriced subscriptions from memebers of Moleg ,  the taxpayers are paying for this crap</t>
  </si>
  <si>
    <t>RT @ResignNowKim: @MarkReardonKMOX @JW1057 @scottfaughn THANK YOU MARK!!!!!!  Thank you for asking these questions.  @scottfaughn actually…</t>
  </si>
  <si>
    <t>RT @KristenStensby: @MarkReardonKMOX @scottfaughn It was hard to listen because I kept wanting a straight answer from a guy that complains…</t>
  </si>
  <si>
    <t>RT @MarkReardonKMOX: My bottom line on my interview with @scottfaughn:
--he NEVER answered the question directly about why he gave Watkins…</t>
  </si>
  <si>
    <t>RT @JW1057: @MarshallGReport @EricGreitens @jrosenbaum The issue is NOT how EG got the list. The issue is how the campaign got the list and…</t>
  </si>
  <si>
    <t>RT @JW1057: @KMOVMatt The problem is not @EricGreitens thinks he is above the law. The problem is that people like @jaybarnes5 and Gail McC…</t>
  </si>
  <si>
    <t>RT @Lautergeist: Pay attention because this moves FAST.  Follow the thread.  It's complicated, but READ THE REPORT
#Greitens 
#GreitensInd…</t>
  </si>
  <si>
    <t>@ResignNowKim @MarkReardonKMOX @scottfaughn @DebbieMonterrey @KMOXPD @KMOX I think that’s a fair point, I’ll be honest mark I questioned your integrity yesterday &amp;amp; toying with everyone about the money. You redeemed yourself by saying not having him back on.  Missourians that elected greitens this isn’t a laughing matter, people want the truth not a con</t>
  </si>
  <si>
    <t>RT @CStamper_: This is what Soros-backed prosecutor Kim Gardner’s witch hunt has come to. #moleg #mogov https://t.co/ZqgR6bOeBF</t>
  </si>
  <si>
    <t>@genematlock1 @MarkReardonKMOX But Hey Its His Money #moleg can’t even tell him to pay his taxes, #moleg partied with a dude with tax liens 
Petitions, lawsuits and tax liens show $7,842 is owed to the state of Missouri for taxes
https://t.co/kg58MGkHxd</t>
  </si>
  <si>
    <t>@internalmonolo2 That would be a big fat NO</t>
  </si>
  <si>
    <t>@DeplorableGoldn @VisioDeiFromLA @CStamper_ @magathemaga1 Another reminder they conspire behind closed doors
With zero transparency 
They have no trust or credibility</t>
  </si>
  <si>
    <t>RT @NewsTribune: Catherine Hanaway, representing Greitens campaign: "This is, at its core, a minor campaign finance issue." #mogov #moleg h…</t>
  </si>
  <si>
    <t>RT @YearOfZero: Is Chapter 1 the part where Scott faugn dropped off 50 k to Phillip sneeds lawyer so they could invent a FAKE abuse story?…</t>
  </si>
  <si>
    <t>@DeplorableGoldn @scottfaughn @VisioDeiFromLA @rexsinquefield @CStamper_ Plus did you report that cash to the Missouri dept of revenue  !</t>
  </si>
  <si>
    <t>@RepLaurenArthur @EdBigCon A witch hunt behind closed doors with zero transparency 
Has zero credibility</t>
  </si>
  <si>
    <t>RT @KRCG13: FULL STATEMENT: Greitens for Missouri legal counsel Catherine Hanaway says report does "tremendous disservice to the U.S. and M…</t>
  </si>
  <si>
    <t>RT @KRCG13: The governor just shared Hanaway's statement on his Facebook page. https://t.co/vVrJn762z3</t>
  </si>
  <si>
    <t>RT @magathemaga1: 1. So about SHAM REPORT from #MoLeg 
Once again, mountains out of molehills &amp;amp; corrupt journalists in state show more con…</t>
  </si>
  <si>
    <t>Scott Faughn is All Talk and No Action 
His Money is None of our Business 
Hear his fumbling BS 
Check this out: https://t.co/WaLiL7deHx via @AddThis</t>
  </si>
  <si>
    <t>@MarkReardonKMOX @scottfaughn Mark Will there be an official policy to no longer have him on air ?</t>
  </si>
  <si>
    <t>RT @JW1057: @Sticknstones4 @stltoday EG is charged under 565.252. The rape shield statute applies to charges under 566 and 568. KG is bad a…</t>
  </si>
  <si>
    <t>RT @TerryGaney: Faughn's ethics again questioned in light of his financial involvement in Greitens scandal.   https://t.co/ETLNyk5ecW</t>
  </si>
  <si>
    <t>RT @seeeek: @MarkReardonKMOX Yeah he and another guy are running scams,, via tax credits for housing,rentals,etc.  Greitens was cutting off…</t>
  </si>
  <si>
    <t>7 motions filed and there’s a computer glitch not available to the public ?
Yeah Right , a glitch just like the video tape 
Seven motions filed in Greitens invasion of privacy case, but they aren't accessible to the public https://t.co/8PbonXaegH via @stltoday</t>
  </si>
  <si>
    <t>@Str8DonLemon @MissouriGOP @AP4Liberty @Monetti4Senate @SykesforSenate @Project_Veritas @FN4AP @sarahfenske @Hope4Hopeless1 @MaxinePWaters @EricGreitens @SKOLBLUE1 @strmsptr @philip_saulter @Avenge_mypeople @RealTravisCook @EdBigCon @HotPokerPrinces Can’t wait to see⌛️</t>
  </si>
  <si>
    <t>RT @Str8DonLemon: #MOLEG #MOGOV #MOSEN
ANNOUNCEMENT 
#MISSOURI FAMOUS 
@Str8DonLemon
HAS HUGE ANNOUNCEMENT 
245 CST 
U R NOT GOING 2…</t>
  </si>
  <si>
    <t>RT @Mizzourah_Mom: Here's an article about Sterling Bank's links to the low income tax credits from 2013. Looks like they stand to lose a l…</t>
  </si>
  <si>
    <t>@Mizzourah_Mom @stlouisbiz I think she means this a a lobbyist for LIHTC
https://t.co/ZDBppBX8EU</t>
  </si>
  <si>
    <t>@jrosenbaum What did she mean by this lobbyist group 
https://t.co/ZDBppBX8EU</t>
  </si>
  <si>
    <t>RT @MariaChappelleN: Mic drop. #Popcorn https://t.co/BB6PVVIfr0</t>
  </si>
  <si>
    <t>RT @FoxNews: JUST IN: @RepLukeMesser released his and several other members of Congress's nomination of President @realDonaldTrump to the #…</t>
  </si>
  <si>
    <t>@Str8DonLemon @Avenge_mypeople @HotPokerPrinces @Norasmith1000 @blackwidow07 @philip_saulter @RightSideUp313 @melody_grover @Rep_TRichardson @RealTravisCook https://t.co/Jy5uWBgtd1</t>
  </si>
  <si>
    <t>Closed Door House Investigative Committee has been operating without authority 
It’s a sham witch hunt operation 
No transparency to Missourians 
#Moleg is Deceiving Us https://t.co/5tvMzQmTvR</t>
  </si>
  <si>
    <t>@sigi_hill Are you sure , she might just be hung over from late night parties in Scott Faughns Lobby Lair
maybe she did the walk of shame after sleeping over</t>
  </si>
  <si>
    <t>RT @Avenge_mypeople: Hey, I made the papers. Ain't that special? https://t.co/35bQ5oTMyQ</t>
  </si>
  <si>
    <t>RT @Avenge_mypeople: For example, if you shop in Chesterfield Valley, you pay an additional tax...on top of all other taxes, then that tax…</t>
  </si>
  <si>
    <t>@YearOfZero @Mizzourah_Mom I suspect these Missouri 5 need to be scrutinized 
Jay Barnes (R), Don Phillips (R), Kevin Austin (R), Jeanie Lauer (R), and Shawn Rhodes (R). These are the five Republicans doing their donors (and future employers?
https://t.co/MUHqwK1jTg</t>
  </si>
  <si>
    <t>@HelloERGstaff @JW1057 @EricGreitens @SheenaGreitens @TeamGreitens @CStamper_ @MactavishShawn @melody_grover @MissouriTimes @MarkReardonKMOX @jeanielauer @Rep_TRichardson @gcmitts @jaybarnes5 @RonFRichard @TommiePierson @SCRyanSTL Glad we entertain your lame day at the office</t>
  </si>
  <si>
    <t>@EdBigCon https://t.co/jE68ReWE8W
1). The about us telling nothing about this bank</t>
  </si>
  <si>
    <t>RT @Str8DonLemon: ✔️Old: Who is Scott Faughn?
✔️New: Who is Skyler?
✔️Woke: Who is Rex?
✔️Tired: Did AL get paid?
✔️Wired: Scott Simpson ge…</t>
  </si>
  <si>
    <t>What Banks benefited the most from 
#LIHTC  ?
What banks have lined their pockets from LIHTC
And would be pissed off their money making gravy train
Was getting cut off ?
What banks have lobbyists &amp;amp; what #moleg take donations from them ? https://t.co/sEzuAnU32J</t>
  </si>
  <si>
    <t>@sigi_hill @jaybarnes5 @jeanielauer @KevinLAustin1 @shawnrhoads154 Written By @JW1057  Justice Warrior 
Stay #Greitens Strong 💪🏻 #TeamGreitens https://t.co/g4zwTU62CC</t>
  </si>
  <si>
    <t>@Mizzourah_Mom @JCPenknife What banks benefited the most from LIHTC</t>
  </si>
  <si>
    <t>RT @JohnLamping: It would be first order of business for Governor Tilley. https://t.co/l1tC3tTjkn</t>
  </si>
  <si>
    <t>@Mizzourah_Mom @JCPenknife Banking is the operative word ! Political operative word !</t>
  </si>
  <si>
    <t>RT @JW1057: @usatodayDC @ws_missouri @EricGreitens @TeamGreitens should fight this witch hunt to the bitter end! I have his back 100%!
#mo…</t>
  </si>
  <si>
    <t>RT @JW1057: @ws_missouri I fight harder for @EricGreitens. 
@SheenaGreitens @TeamGreitens @CStamper_ @Sticknstones4 
#moleg #mogov #greit…</t>
  </si>
  <si>
    <t>@JW1057 @EricGreitens @SheenaGreitens @TeamGreitens @CStamper_ @MactavishShawn @melody_grover @MissouriTimes @MarkReardonKMOX @jeanielauer @Rep_TRichardson @gcmitts @jaybarnes5 @RonFRichard @TommiePierson @SCRyanSTL Justice Warrior  I and many others stand along with you
And fight hard for Governor Greitens #teamgreitens #greitensarmy</t>
  </si>
  <si>
    <t>RT @VisioDeiFromLA: @jrosenbaum @EricGreitens @Hope4Hopeless1 @Sticknstones4 @SKOLBLUE1 @Eric_Schmitt @GOPMissouri @STLCountyGOP @paulcurtm…</t>
  </si>
  <si>
    <t>RT @VisioDeiFromLA: @jrosenbaum @EricGreitens Tweets from PS 
These are the actions of somebody who is mad his wife CHEATED ON HIM with @E…</t>
  </si>
  <si>
    <t>RT @VisioDeiFromLA: @jrosenbaum @EricGreitens If you look at the ex husbands tweets where he was taunting @EricGreitens ... he never once r…</t>
  </si>
  <si>
    <t>RT @FOX2now: St. Louis County deputy punched on Metro bus https://t.co/y89TUdiLCu https://t.co/pxZYGCqcsH</t>
  </si>
  <si>
    <t>RT @RealTravisCook: @HelloERGstaff @inthejungle234 @Sticknstones4 @Neilin1Neil @Norasmith1000 @KathieConway @sdieckhaus @EricGreitens @AGJo…</t>
  </si>
  <si>
    <t>@alexiszotos @KMOV https://t.co/dxhAAiH3vf</t>
  </si>
  <si>
    <t>In all fairness to slmpd , the city is down a high number of officers &amp;amp; this past weekend there were many shootings &amp;amp; homocides
#stl https://t.co/HyPXqcqXWk</t>
  </si>
  <si>
    <t>RT @KMOV: Autopsy by coroner sheds light on Sacramento police killing https://t.co/xayvmp1HXy</t>
  </si>
  <si>
    <t>Tuesday Night Trafficking 💉💊🔫
The Drug Deals be Throwing Down in the Lou
More Homocides &amp;amp; More Shootings 💉💊🔫
#Moleg has never had a special investigative committee to stop violent crime just witch hunts 
#Moleg #Mosen #Mogov #stl #drugs #crime #kimshady
#stl #thuglife https://t.co/NocoknQne2</t>
  </si>
  <si>
    <t>@KMOV Drug trade is popping</t>
  </si>
  <si>
    <t>RT @stlpublicradio: And we still don't know where this 💰 came from: https://t.co/6HtoFo1OOg
Thread ⬇ https://t.co/1FhXJHMP7u</t>
  </si>
  <si>
    <t>RT @TheNewRight: Scott Faughn: International Man of Mystery https://t.co/5fI2WdBQ6u</t>
  </si>
  <si>
    <t>@TheNewRight  https://t.co/04re1IlR7N</t>
  </si>
  <si>
    <t>@NickThompsonTV @FOX2now @EricGreitens The closed door corrupt 7 conspiring again 
Be transparent , closed doors is a witch hunt https://t.co/T2t4qWuKbg</t>
  </si>
  <si>
    <t>RT @Avenge_mypeople: Tax Increment Financing is what all of this is about in Missouri. #Greitens intends to stop it. Creating special taxin…</t>
  </si>
  <si>
    <t>@Neilin1Neil @EricGreitens @AGJoshHawley @KathieConway @ParksKMBZ @sdieckhaus @RealTravisCook @SykesforSenate @magathemaga1 @inthejungle234 When is kathies townhall , i want to have a cappuccino &amp;amp; hear her excuse for a 100,000 cash payment
I also want charts &amp;amp; graphs , show Mo State taxes were collected on it  #Moleg</t>
  </si>
  <si>
    <t>@blackwidow07 While Missouri Sleeps,  #MoLeg boozes it up with Lobbyists conspiring to line their pockets with cash</t>
  </si>
  <si>
    <t>@TrumpChess @Shawtypepelina @for_congress @TrumpTrainMRA4 @realDonaldTrump @HawleyMO @RoyBlunt @EricGreitens @SykesforSenate I respect all your choices &amp;amp; personally love your passion for who you choose.  I learn a lot from all of you</t>
  </si>
  <si>
    <t>@Shawtypepelina @for_congress @TrumpTrainMRA4 @TrumpChess @realDonaldTrump @HawleyMO @RoyBlunt @EricGreitens @SykesforSenate Shawty,  I know who I’m not supporting ( Hawley) 
But I’m enjoying learning about all of the other 3 good candidates</t>
  </si>
  <si>
    <t>RT @tkinder: Former Poplar Bluff mayor, business official arrested twice in same day https://t.co/e8LaBj4DfP</t>
  </si>
  <si>
    <t>RT @for_congress: @VisioDeiFromLA @Sticknstones4 When you have a convicted felon - Scott Faughn, feeding the accuser's - Phillip Sneed's,…</t>
  </si>
  <si>
    <t>@jlzdan @DeplorableGoldn Jeff are you a perfect person ?  If you’re really worried about Missouri suffering , we’re getting screwed out of our keesters by lobbyists &amp;amp; crooked politicians lining their pockets.  We’re also number one in black homicide</t>
  </si>
  <si>
    <t>@ResignNowKim @randy_creasman @RiverfrontTimes @KMOXPD @MarkReardonKMOX @DebbieMonterrey @johnrhancock @mskstl @scottfaughn The crooked Motley Crew for coup d’etat
Jay Barnes (R), Don Phillips (R), Kevin Austin (R), Jeanie Lauer (R), and Shawn Rhodes (R).</t>
  </si>
  <si>
    <t>RT @VisioDeiFromLA: They are doing a terrible job with a few exceptions.
Main question should be who is paying Scott Simpson, ks lawyer? D…</t>
  </si>
  <si>
    <t>RT @VisioDeiFromLA: Dude this is distraction.  You know it as well as I do. This ain't illegal. You are just trying to create cover.
Who i…</t>
  </si>
  <si>
    <t>@TrumpChess @realDonaldTrump Still wonder why this girl gang never went to the police
But went to party in Jefferson City 
Maybe they went to the dark party lair &amp;amp; sleptover at the Missouri Times    Missouri Collusion</t>
  </si>
  <si>
    <t>RT @TrumpChess: @realDonaldTrump Translation: Witch Hunt = Swamp Fighting Back. 
Just like in #MO the witch hunt = the same as above. It wo…</t>
  </si>
  <si>
    <t>Who paid KS attorney’s Bill ? 
Surely PS wasn’t the only one to get a free ride on legal bills plus a trust fund for his kids ?
PS pays NO child support to KS , Than becomes the beneficiary of 100k Legal Defense 
Who’s paying KS Fallout that PS caused to his family
#MOLEG https://t.co/5VsZ3KgW3Z</t>
  </si>
  <si>
    <t>@SpeakerTimJones About time they realized eating tidepods, snorting condoms &amp;amp; toilet licking was pretty stupid</t>
  </si>
  <si>
    <t>RT @SentinelKSMO: Twitter Explodes Over News That Newspaper Publisher Paid 50K To Expose Greitens - https://t.co/yEFXsIo6X2</t>
  </si>
  <si>
    <t>@sigi_hill @EricGreitens Nothing Ethical or Tranparent about these Closed Door Sesssions.
They are Not Credible and those 7 earn their public distrust and one way ticket out of office 
How Many of them have had donations made by LITC lobbyists &amp;amp; their PACs ?
How many bags of cash did they get #MoLeg https://t.co/u404dhVmhX</t>
  </si>
  <si>
    <t>RT @magathemaga1: Good evening #MoLeg &amp;amp; #MoGov except @Rep_TRichardson 
#Missouri realizing even more the #GreitensIndictment is total wit…</t>
  </si>
  <si>
    <t>@JW1057 @YearOfZero Such a nothing  Burger🍔 at least greitens bills get paid
And he’s responsible to make sure they’re paid.  Scott Faughn can not make the same statement!  How does a political newspapers have a state tax deadbeat looming around the capital ? Look who #moleg parties with</t>
  </si>
  <si>
    <t>Jamilah Nasheed Sleeps at Scott Faughns 
How many more #Moleg sleep at Scott’s?
How many elected Senators &amp;amp; Representatives meet 
With Lobbyists at Missouri Times sleezy office ?
Drinking , Smoking Cigars, sleeping over &amp;amp; screwing over Missourians?
crooks lining your pockets https://t.co/E135P4EvVj</t>
  </si>
  <si>
    <t>RT @ResignNowKim: @RGreggKeller So @RGreggKeller : which client of yours is paying you to trash @EricGreitens ?  I mean, you’re running int…</t>
  </si>
  <si>
    <t>RT @ResignNowKim: @RLLohmann @RGreggKeller @cody4mo @edemery Hey Becky, does @cody4mo know you like to hang w @scottfaughn ?????  We know..…</t>
  </si>
  <si>
    <t>@YearOfZero They are digging deep, im waiting for when they find his Apple core &amp;amp; it comes back non organic</t>
  </si>
  <si>
    <t>RT @inthejungle234: @staceynewman given u know accuser &amp;amp; she felt comfortable enough to come down 2 #moleg with U in April 2017 as a "new a…</t>
  </si>
  <si>
    <t>RT @YearOfZero: Guess nobody believing KS allegations? Why would they? 
What I’ve learned watching #MoLeg ... u r probably projecting. 50k…</t>
  </si>
  <si>
    <t>@DaRon_McGee @PeterforMO @EricGreitens @Rep_TRichardson Why is Stacey Newman’s name on this,  that is clearly a conflict.  Explain please https://t.co/Czd3d7jPk6</t>
  </si>
  <si>
    <t>RT @ohsynesthesia: @DaRon_McGee @PeterforMO @EricGreitens @Rep_TRichardson Does this not concern anyone,that their career can be decimated…</t>
  </si>
  <si>
    <t>RT @ohsynesthesia: @DaRon_McGee @PeterforMO @EricGreitens @Rep_TRichardson I don't understand. The governor can have impeachment proceeding…</t>
  </si>
  <si>
    <t>RT @philip_saulter: @DaRon_McGee @PeterforMO @EricGreitens @Rep_TRichardson I certainly hope our Republican super majority understands any…</t>
  </si>
  <si>
    <t>RT @KCNewsGuy: #BREAKING: Missouri Gov. Eric Greitens has authorized the Missouri National Guard to assist with border security. #moleg #mo…</t>
  </si>
  <si>
    <t>RT @RightSideUp313: No charges filed, I guess real crime can wait till she’s done with #Greitens.... https://t.co/t2g3Adm4GY</t>
  </si>
  <si>
    <t>2nd broad daylight shooting today 
This one unresponsive  another plus 1 to Homocide Toll 
The other was shot in the head at 11:30 am &amp;amp; able to flaged down police 
Missouri Has a Drug trafficking Problem 
#Moleg #STL #mosen #mogov #stlboa https://t.co/QoFlunwwrh</t>
  </si>
  <si>
    <t>@magathemaga1 @TomJEstes @Eric_Schmitt @EricGreitens @MOHouseGOP @gatewaypundit @MarkReardonKMOX @jallman971 @MissouriGOP @Norasmith1000 @SKOLBLUE1 @HotPokerPrinces @Hope4Hopeless1 @strmsptr @ErgoStreetNurse @philip_saulter @toadtws Hillarious 😂rod</t>
  </si>
  <si>
    <t>RT @magathemaga1: Hey @TomJEstes I have found the book project that Scott Faughn guy is TOTALLY working on! 😂😂🤣🤣
#satire
#MoLeg #MoGov #g…</t>
  </si>
  <si>
    <t>@HelloERGstaff @parkerwbriden @EricGreitens Stop assuming genders, i don’t see any evidence of assault/coercion, i see evidence of a consensual activity between 2 consenting adults.   I also see a crooked witch hunt .   I stand with Gov Greitens !</t>
  </si>
  <si>
    <t>How Many #MoLeg members have been to Scott’s 
Hidden Party Pad  ? 
Do Tell !  We want to hear more about the Den of Corruption https://t.co/1TCEcJ7Tgs</t>
  </si>
  <si>
    <t>RT @Narnold548Nancy: @BarryAycock @BryanLowry3 @MarkReardonKMOX @scottfaughn @zglmoo Not a Greitens fan at all but it does matter to me tha…</t>
  </si>
  <si>
    <t>@HelloERGstaff @parkerwbriden @EricGreitens Yes we, plural reference to all voting members within my household</t>
  </si>
  <si>
    <t>@parkerwbriden @EricGreitens Thank you for sharing , we love our Governor that we elected !</t>
  </si>
  <si>
    <t>RT @magathemaga1: Same Scott who recently had outstanding tax bill that was just recently paid off that was available on Casenet? Am I mist…</t>
  </si>
  <si>
    <t>RT @tkinder: .@MarkReardonKMOX  - Why would anyone question the integrity of Faughn? https://t.co/4j8omhfaaj</t>
  </si>
  <si>
    <t>RT @rxpatrick: Sheriff Vernon Betts came down and he has resolved the issue. https://t.co/tNPJEr7exp</t>
  </si>
  <si>
    <t>RT @lindsaywise: KMOX's @MarkReardonKMOX says Faughn claims that he was the source of the money for Al Watkins. "He says it was my money. H…</t>
  </si>
  <si>
    <t>RT @mattfredstl: .@tonymess' comments on the @McGrawMilhaven show re: @scottfaughn and the @MissouriTimes. https://t.co/DpbXNkagmL #Greiten…</t>
  </si>
  <si>
    <t>@MarkReardonKMOX @MissouriTimes @scottfaughn @KMOX LAME LAME LAME  
How was 50k amassed❓How was it deposited to bank❓When was it withdrawn from account❓ is there a receipt from AL❓Was MO state tax paid on it ❓ 
Faughn had history of serious debt ! that wasn’t his cash 
#FelonFaughn needs a forensic Audit  #followthemoney https://t.co/EREmKXhBPI</t>
  </si>
  <si>
    <t>RT @parkerwbriden: Great to see a lot of awesome Missourians and @EricGreitens celebrating the freedom of the road and having some fun this…</t>
  </si>
  <si>
    <t>RT @Str8DonLemon: #KimShady is abusing journalists now???????? 😂😂
#Moleg #mogov #greitens https://t.co/8Uvb3gvyli</t>
  </si>
  <si>
    <t>RT @joelcurrier: .@LaurenTrager and I were just ordered out of the 4th floor lobby of the courthouse—a public building—while attorneys cond…</t>
  </si>
  <si>
    <t>RT @ChrisHayesTV: The StL Sheriff says no one in the CAO’s office has the authority to keep us from a public space. He is resolving it now.</t>
  </si>
  <si>
    <t>@joelcurrier @LaurenTrager @stlcao Is that even legal ? Why such a shrouded veil</t>
  </si>
  <si>
    <t>@RealTravisCook Absolutely , the English are properly insane , remember we fled their crap to become our own country , don’t want to go back or follow in their ways !</t>
  </si>
  <si>
    <t>RT @RealTravisCook: On today's radio show: How the #UK  is a chilling example of what could quickly happen to America if we give up on our…</t>
  </si>
  <si>
    <t>RT @JCPenknife: For sale by Scott Faughn. Only used once. #mogov #Greitens #moleg https://t.co/79Z6TRXO6W</t>
  </si>
  <si>
    <t>@JCPenknife Please , That’s so sophisticated.  A seasoned Felon is more stealth waddling into offices with cash deliveries 
#scammingscott #FelonFaughn #greitens https://t.co/Nz0f6RYctj</t>
  </si>
  <si>
    <t>@jrosenbaum Jason sending you a little love ❤️ you’ve been busting your butt covering this circus.  I’m sure this is not an easy job , appreciate the hard work</t>
  </si>
  <si>
    <t>@MarkReardonKMOX @VisioDeiFromLA @scottfaughn @KMOX Sorry, I’m highly skeptical &amp;amp; rightfully distrustful of most media coverage.  Like you said you had this guy on your program, many times.  He was beyond bias &amp;amp; dishonest in representation and wrongfully participated in discussing this story. I hope ur for real &amp;amp; not his messenger</t>
  </si>
  <si>
    <t>@MarkReardonKMOX @scottfaughn @KMOX Serious question Mark, if you knew all this time, why didn’t you tell ?
You didn’t need Scamming scott to come on</t>
  </si>
  <si>
    <t>@JCPenknife @MarkReardonKMOX @scottfaughn Maybe reporters should look into the show’s sponsors &amp;amp; their relationships to litc
Missourians are fed up with all this crooked corrupt crap!</t>
  </si>
  <si>
    <t>How about we impeach parson and his crooked coup d’etat club https://t.co/VFOjs5ZHLz</t>
  </si>
  <si>
    <t>RT @RoyBlunt: Today, on Silver Star Service Banner Day, we honor our wounded and ill service members and veterans, and their families. http…</t>
  </si>
  <si>
    <t>@magathemaga1 @MarkReardonKMOX Hopefully his corrupt self can no longer make it on this week in Missouri politics too !  His fake news propaganda was highly unethical</t>
  </si>
  <si>
    <t>@tkinder @EricGreitens Time to get Jaba the Hut out of the swamp, he’s got no business polluting Missouri’s political eco system</t>
  </si>
  <si>
    <t>@MarkReardonKMOX @scottfaughn Not surprised at all, this guys history shows nothing ethical, responsible or professional within any aspect of his life</t>
  </si>
  <si>
    <t>RT @YearOfZero: Like many, I’ve read through both. As a long time LEO, Let me say this: IT IS CONTRADICTORY 
To me, what is most alarming…</t>
  </si>
  <si>
    <t>RT @YearOfZero: Also noticed inconsistencies like this when I read both. 
@MOHouseGOP IC flat out lying 2 public #greitens 
I know news o…</t>
  </si>
  <si>
    <t>@MarkReardonKMOX @scottfaughn Why is he afraid to face your questions?  Will he be coming off air for twimp too</t>
  </si>
  <si>
    <t>RT @MarkReardonKMOX: Just been told by @scottfaughn that he will *not* be able to come on at 3.30p this afternoon. Frustrating....trying to…</t>
  </si>
  <si>
    <t>@joelcurrier @stltoday The name of bag drop #2 given was skyler 
Somebody out there knows who this Skyler is  ?
Anybody named skyler in Jefferson City or Poplar Bluff</t>
  </si>
  <si>
    <t>RT @joelcurrier: Appeals court denies lawyer Al Watkins' plea to avoid questions about $100,000 payment https://t.co/v1MHWapySz via @stltod…</t>
  </si>
  <si>
    <t>RT @Str8DonLemon: Journalists!
If U don't want public 2 mistrust U, dont berate citizens when we ask questions U SHOULD BE ASKING
Eg. KS/…</t>
  </si>
  <si>
    <t>RT @RiverfrontTimes: Both witnesses are now incarcerated and both claim they knowingly lied to implicate Dunn in the shooting. https://t.co…</t>
  </si>
  <si>
    <t>RT @joelcurrier: ...and in the last few minutes, the appeals court denied Watkins' appeal re #Greitens case. Will have to see if Watkins ap…</t>
  </si>
  <si>
    <t>RT @tkinder: When a journalist defends the honor of the legislature from “unsubstantiated” charges of corruption you know it’s time to brea…</t>
  </si>
  <si>
    <t>@tkinder Green Cash is the new PB&amp;amp;J</t>
  </si>
  <si>
    <t>RT @bshelly: Faughn is a shady character who has always used his publication, the Missouri Times, for political and manipulative purposes.…</t>
  </si>
  <si>
    <t>RT @aaron_hedlund: That whooshing noise everybody heard yesterday was the sound of the last small remnants of a certain somebody's journali…</t>
  </si>
  <si>
    <t>RT @aaron_hedlund: What's the going rate for a low income housing tax credit scammer's soul? Apparently $50k... #mogov #moleg</t>
  </si>
  <si>
    <t>@tkinder Some of the Moleg exiting seem to be dousing the fire with a destructive pour of gasoline on their way out</t>
  </si>
  <si>
    <t>RT @Norasmith1000: @Shawtypepelina @scottfaughn Now we know the press is involved its even more ridiculous! Plus I thought Faughn couldn't…</t>
  </si>
  <si>
    <t>@FOX2now @FOX2now. Al Watkins is the attorney of greitens mistress ex husband PS.  Your story is not accurate,  who is getting questioned ?  Scott Simpson the mistress K.S. attorney  or Al Watkins, PS the ex husbands attorney</t>
  </si>
  <si>
    <t>RT @JW1057: @ksdknews Of course, they stand by original "report." If they said anything else, they would have to admit that their "investig…</t>
  </si>
  <si>
    <t>@ksdknews Please make sure the closed door committee of witch hunters ask
How was 50k amassed❓How was it deposited to bank❓When was it withdrawn from account❓ is there a receipt from AL❓Was MO state tax paid on it ❓ 
#FelonFaughn needs a forensic Audit  #followthemoney https://t.co/ubkTubLlpw</t>
  </si>
  <si>
    <t>Clark hopes there's also a bigger effort all over St. Louis to stop the violence. He says those resources need to involve offering more resources to people fighting addiction, stopping drug trafficking 
📌Missouri has a drug trafficking problem 
#Moleg #MoSen #MoGov #stlboa https://t.co/rQP9Oua0Ye</t>
  </si>
  <si>
    <t>RT @TheNewRight: SCOTT FAUGHN IS F'IN FAMOUS THO https://t.co/45TEG8znjx</t>
  </si>
  <si>
    <t>RT @tkinder: @Sticknstones4 I think AG Hawley is going to regret not stepping down as AG before running for US Senate. He politically has d…</t>
  </si>
  <si>
    <t>@catdeeann @tkinder @EricGreitens @Monetti4Senate Hawley has ignited a base against him , some are even willing to accept the status quo of Claire over him</t>
  </si>
  <si>
    <t>@tkinder @EricGreitens Their personal greed &amp;amp; corruption will rightfully be their own demise</t>
  </si>
  <si>
    <t>It’s so obvious 🔮, 
We the people 👨🏻‍💼🙎🏽‍♀️👩🏼‍💼👨🏾‍💼 SEE 🔎the Witch Hunt 🧙🏽‍♀️
Stay Strong 💪🏻 &amp;amp; Keep Fighting the Corruption Governor  
#TeamGreitens #IStandwithGreitens #dueprocess #NoResign #taxcredits #followthemoney #moleg #DrainTheSwamp #missouri  #lies https://t.co/oy6zHmFzzE</t>
  </si>
  <si>
    <t>@KMOXKilleen How was 50k amassed❓How was it deposited to bank❓When was it withdrawn from account❓ is there a receipt from AL❓Was MO state tax paid on it ❓ #FelonFaughn needs a forensic Audit  #followthemoney https://t.co/DtU8tBvNBk</t>
  </si>
  <si>
    <t>RT @STLPOLITICS87: @scottfaughn It also means that @scottfaughn withheld info on Greitens affair and current trial in order to profit from…</t>
  </si>
  <si>
    <t>RT @STLPOLITICS87: @scottfaughn If  @scottfaughn is telling the truth he paid $50,000 for tapes without obtaining any exclusive rights or t…</t>
  </si>
  <si>
    <t>@tkinder How did Felon Faughn amass 50k ?   How did that 50k enter faughns bank account and exit converted as cash ?   Faughn needs to be subject to a forensic audit</t>
  </si>
  <si>
    <t>RT @jrosenbaum: Speaking of the ex-husband: It was revealed that @MissouriTimes publisher @scottfaughn delivered $50,000 in cash to the man…</t>
  </si>
  <si>
    <t>RT @JW1057: 🚨Breaking News🚨 
Undercover video of MO House investigative committee at work. 
@jaybarnes5 @jeanielauer @gcmitts @TommiePier…</t>
  </si>
  <si>
    <t>@JW1057 @jaybarnes5 @jeanielauer @gcmitts @TommiePierson @shawnrhoads154 @Rep_TRichardson @TeamGreitens Lol a few cowardless  memebers of Moleg could use a good kick in the ‘nads 
Many are going to get a vote kick right out of office</t>
  </si>
  <si>
    <t>RT @JohnLamping: Follow the money..... https://t.co/TL9yi708rg</t>
  </si>
  <si>
    <t>@ronflesh Ks is simply not credible,  why would an alleged victim go with her family to the capital when she’s said she was affraid of Eric.   Stacey knew this was consensual &amp;amp; is a political operative 
 Im affraid of gun shots , but i don’t go cruising through bad neighborhoods https://t.co/7nxVGK1B9l</t>
  </si>
  <si>
    <t>RT @ronflesh: I find it odd that the 50K publisher is connected to a state rep who's hair stylist is a mistress.</t>
  </si>
  <si>
    <t>@russellkinsaul @GovGreitensMO @KMOV Closed door hearings are not credible, they are witch hunts !</t>
  </si>
  <si>
    <t>@tkinder @JCunninghamMO @EricGreitens When  certain gop in bed with a journalist and a bag of cash &amp;amp; other gop allowed themselves to get bullied &amp;amp; not stand up , That was their own demise.</t>
  </si>
  <si>
    <t>RT @tkinder: @JCunninghamMO This process and trial by press stinks of swampy corruption. I don’t know if Governor .@EricGreitens has done a…</t>
  </si>
  <si>
    <t>RT @JCunninghamMO: Incredible!!  What a tangled web.  So much for fair and balanced. https://t.co/q0urL3x7v2</t>
  </si>
  <si>
    <t>@JW1057 @gcmitts This committee has no credit meeting behind closed doors 
Their lack of transpency created public distrust.</t>
  </si>
  <si>
    <t>RT @JW1057: @gcmitts Gina, did you get your bag of cash from Scott? Nice try releasing that “supplemental report” to hide the cash story.</t>
  </si>
  <si>
    <t>RT @VisioDeiFromLA: What little incident has confirmed to me is that the anti #greitens #MoLeg &amp;amp; media in this state are coordinating on st…</t>
  </si>
  <si>
    <t>RT @JW1057: @TeamGreitens @EricGreitens @SheenaGreitens 
The committee "investigating" Greitens has lied yet again to the people. This is…</t>
  </si>
  <si>
    <t>RT @JW1057: Why did then"investigative committee" release a doctored "transcript?" It is NOT a transcript. Why would KS refer to herself as…</t>
  </si>
  <si>
    <t>@SuchHate @blackwidow07 @FOX2now Stacey is termed out , white, &amp;amp; not running for anything else.  She’s just a team player to a political agenda.  They want to take bob burns seat and replace him with a team player.</t>
  </si>
  <si>
    <t>RT @TomJEstes: Could Scott Faughn be on his way to his second felony conviction? Would a secretive $50K payment be considered dark money? I…</t>
  </si>
  <si>
    <t>@Lautergeist Sure gives new meaning to letting your cat out of the bag</t>
  </si>
  <si>
    <t>@blackwidow07 @FOX2now There was a lot of politicians hitting up the salon at the chase</t>
  </si>
  <si>
    <t>RT @FOX2now: Breaking: State Rep. Stacey Newman files House Ethics complaint against Rep Bob Burns, asking that he be expelled over Burns'…</t>
  </si>
  <si>
    <t>@FOX2now Somebody needs to file some ethics charges on Stacey newman !
She’s in on the greitens witch hunt too 
She knew his acuser it was her longtime family hairdresser too https://t.co/tLwp8DkP2h</t>
  </si>
  <si>
    <t>@MarkReardonKMOX @scottfaughn Will you continue to have this fake news puppet on your show ?</t>
  </si>
  <si>
    <t>RT @JohnLamping: IMHO it’s always been about this. https://t.co/98yR8ZANC6</t>
  </si>
  <si>
    <t>RT @JW1057: @jmannies Of course, that also undermines the claim that the committee is NOT biased because five of the seven members are Repu…</t>
  </si>
  <si>
    <t>RT @jmannies: Never a secret that Greitens' most powerful enemies are fellow Republicans: https://t.co/AdlmewP2w6</t>
  </si>
  <si>
    <t>@blackwidow07 @JW1057 @HawleyMO @clairecmc We sure got lots of snakes , what’s another</t>
  </si>
  <si>
    <t>RT @Avenge_mypeople: #MAGA  people...are you paying attention? https://t.co/OJoX1mHb2P</t>
  </si>
  <si>
    <t>RT @Avenge_mypeople: #MAGA  this is supposed to be what we fight against? Amiright? https://t.co/xyvbjPIgjr</t>
  </si>
  <si>
    <t>@Narnold548Nancy Yep a guy that has had financial issue his whole life 
Now has a bag of cash to pay a lawyer</t>
  </si>
  <si>
    <t>@JaneDueker @blackwidow07 @BradKetcher @TomJEstes @FBIStLouis Black widows I’m completely down for drug testing #Moleg. So many accusations about them from other members</t>
  </si>
  <si>
    <t>RT @HennessySTL: And this crooked MO House committee (they all hang out in Candy Man @ScottFaughn's weird party pad in JC after hours) is a…</t>
  </si>
  <si>
    <t>@SKOLBLUE1 @ScottCharton @DavidALieb @EricGreitens @AP @scottfaughn @JaneDueker @FoxNews @TuckerCarlson @trish_regan @FBI @CIA @POTUS @SecretService Perhaps #scammingscott dropped his friends a few bills</t>
  </si>
  <si>
    <t>@Norasmith1000 @JW1057 @VisioDeiFromLA @EricGreitens @Eric_Schmitt @Rep_TRichardson Rex Sinquefield supposedly bailed out the mo times</t>
  </si>
  <si>
    <t>RT @Norasmith1000: @JW1057 @VisioDeiFromLA @EricGreitens @Eric_Schmitt @Rep_TRichardson You do have a good point! Im hearing even some of t…</t>
  </si>
  <si>
    <t>RT @Norasmith1000: @VisioDeiFromLA @EricGreitens @Eric_Schmitt @Rep_TRichardson Come on #moleg committee, what a sham this is. You lost cre…</t>
  </si>
  <si>
    <t>RT @Avenge_mypeople: @RiverfrontTimes  https://t.co/o5NGjN02i6</t>
  </si>
  <si>
    <t>Scott Faughn should be Fired from @kmoxnews 
This was absolutely a scam and misleading to viewers
he used this platform to inject his bias. https://t.co/piOCVGmgMm</t>
  </si>
  <si>
    <t>@gocrazy4cards @MOHouseGOP @MissouriGOP No Paul i read it a few times</t>
  </si>
  <si>
    <t>RT @RiverfrontTimes: If you thought the intrigue surrounding Governor Eric Greitens was straight out of House of Cards, just wait 'til you…</t>
  </si>
  <si>
    <t>RT @VisioDeiFromLA: Scott is a large part of the media apparatus in #missouri 
How is it not fair question and why dont you answer it? Als…</t>
  </si>
  <si>
    <t>RT @ResignNowKim: @kmoxnews In a related story, @scottfaughn ‘s affiliation w KMOX reduces KMOX’s credibility......as well as that of @KMOX…</t>
  </si>
  <si>
    <t>@jlzdan @DeplorableGoldn It’s also rumor Scott Faughn cheated on his 1st wife &amp;amp; Maria chapelle nadal says she can name about 7 memebers of Moleg cheating.  People cheat it’s a moral issue between god &amp;amp; their spouse not a criminal issue.</t>
  </si>
  <si>
    <t>@kmoxnews  I hope you ask Scott Faughn to Resign from your station.  He Paid cash to attorney to conspire to unseat a duly elected governor.  He used your media platform to further bias his personal agenda.  That is not ethical journalism.   He must be fired !</t>
  </si>
  <si>
    <t>@EdwardDomain @tkinder @sarahfenske Don’t forget about his drunk driving  and this
https://t.co/kg58MGkHxd</t>
  </si>
  <si>
    <t>RT @EdwardDomain: @sarahfenske You mean, this Scott Faughn? What a great guy https://t.co/hNNgsp3nmb</t>
  </si>
  <si>
    <t>How is it that a newspaper dedicated to covering Missouri 
Doesn’t pay its Missouri state tax ?</t>
  </si>
  <si>
    <t>RT @VisioDeiFromLA: Which means #MoLeg committee headed by barnes &amp;amp; much of #MoGov is tainted &amp;amp; has bias against @EricGreitens 
The people…</t>
  </si>
  <si>
    <t>@CStamper_ He even owed state taxes 
How does a poltical newpapers owe state taxes?
https://t.co/kg58MGkHxd</t>
  </si>
  <si>
    <t>RT @CStamper_: As of a few months ago deceptive media hack Scott Faughn was so broke he couldn’t even pay a bill that was under $1,500. He…</t>
  </si>
  <si>
    <t>RT @CStamper_: Did he ever disclose that conflict of interest to his viewers? To the stations that air his show? #moleg #mogov https://t.co…</t>
  </si>
  <si>
    <t>RT @CStamper_: In November 2017 Scott Faughn was sued for not paying his bills. In February 2018 he secretively hand-delivered $50,000 in c…</t>
  </si>
  <si>
    <t>RT @CStamper_: Soros-backed Kim Gardner’s witch hunt was launched when a media member who has been criticizing the governor for years hand…</t>
  </si>
  <si>
    <t>RT @TomJEstes: I’m writing a book. To which lawyer do I give my 50K? I have it ready to go in a brown paper bag. #moleg</t>
  </si>
  <si>
    <t>Hard times for the Missouri Times https://t.co/97mr6GWODs</t>
  </si>
  <si>
    <t>Scott Faughn and two of his publications, the Missouri Times and SEMO Times, owed more $17,000 on overdue bills for state taxes and commercial printing, according to creditor lawsuits filed recently 
Hard times for the Missouri Times https://t.co/qNEkMpsSlC</t>
  </si>
  <si>
    <t>Somebody with millions of dollars to spare https://t.co/6Dm8mROIzm</t>
  </si>
  <si>
    <t>When a committee meets behind closed doors
They’re not believable https://t.co/wGkLqrjl4B</t>
  </si>
  <si>
    <t>RT @JW1057: @KRCG13 There's nothing in this "report" that causes me to conclude that this is NOT sham committee run by the unethical and co…</t>
  </si>
  <si>
    <t>@VisioDeiFromLA @Eric_Schmitt There’s nothing credible about a closed door committee</t>
  </si>
  <si>
    <t>@JW1057 @jaybarnes5 The people of Missouri are not buying 
crooked #moleg BS &amp;amp;  all their behind close door meeting 
House Committee should Resign https://t.co/YA3nxvyV0v</t>
  </si>
  <si>
    <t>RT @JW1057: @jaybarnes5 "As a result, the Committee will no longer provide such deference to [EG] cherry-picked evidence."
Barnes then adm…</t>
  </si>
  <si>
    <t>@Tessa_Weinberg @EricGreitens Considering media like the Missouri Times paid for his hitjob.  Do you really blame the guy about wanting to talk to the press ?   The media has created much public distrust.   Blame felon faughn &amp;amp; cnn</t>
  </si>
  <si>
    <t>RT @MactavishShawn: @MissouriTimes @scottfaughn Will @scottfaughn be talking about how he paid 50,000 to try and burn the governor? Yea, di…</t>
  </si>
  <si>
    <t>RT @christoferguson: Scott Faughn publisher of Missouri Times is source of mysterious $50k payment in Greitens case. 2nd payment origin sti…</t>
  </si>
  <si>
    <t>@dsingerdesign @rxpatrick @stltoday It certainly isnt ethical</t>
  </si>
  <si>
    <t>RT @EdBigCon: @rxpatrick Don't forget that Rex Sinquefield funds the Missouri Times! #moleg</t>
  </si>
  <si>
    <t>@TomJEstes Every #moleg  member that gave that paper interviews on greitens should Resign</t>
  </si>
  <si>
    <t>@TomJEstes How is that even ethical for a journalist ?</t>
  </si>
  <si>
    <t>RT @TomJEstes: So, the convicted felon who owns the failing and insignificant Missouri Times, Scott Faughn, paid a lawyer $50K to try and b…</t>
  </si>
  <si>
    <t>@TomJEstes @JaneDueker I bet there’s a lot of scamming going on with #felonfaughn</t>
  </si>
  <si>
    <t>RT @jrosenbaum: Martin alluded to how Faughn is close to a group of people who were “upset that their tax credits were taken away.” A refer…</t>
  </si>
  <si>
    <t>RT @EdBigCon: @jrosenbaum @scottfaughn Don't forget that Rex Sinquefield funds the Missouri Times! #moleg</t>
  </si>
  <si>
    <t>And the press wonders why the  public distrusts them 
Right Here !   
The unethical #scammingScott 
And all the #moleg that gladly gave them interviews
#WitchHunt
How many bags of cash did Scott give #MOLEG https://t.co/ly8iTKhMdT</t>
  </si>
  <si>
    <t>@YearOfZero @EricGreitens @DRUDGE @gatewaypundit @HotPokerPrinces @blackwidow07 #scammingscott how surprising still ripping off Missourians</t>
  </si>
  <si>
    <t>RT @YearOfZero: Honesty I was expecting more of a Ray Donovan like character ...
#MoLeg #MoGov #Greitens #Stlouis #Missouri #mosen #greite…</t>
  </si>
  <si>
    <t>RT @VisioDeiFromLA: Isn’t it convenient the media and the corrupt @MOHouseGOP they timed the release of the addendum to coincide with the b…</t>
  </si>
  <si>
    <t>RT @JohnLamping: No way, Scott's an honest reporter not a bag man. https://t.co/fxXmyjkiZI</t>
  </si>
  <si>
    <t>@J_Hancock That’s sounds highly unethical and a big conflict of interest in how greitens has been reported</t>
  </si>
  <si>
    <t>@MaxwellAFillion It’s a witch hunt</t>
  </si>
  <si>
    <t>RT @JW1057: @MaxwellAFillion I only wish @jaybarnes5 was as competent and ethical in conducting the "investigation" as he has been with sec…</t>
  </si>
  <si>
    <t>@VisioDeiFromLA Absolutely idiots with idiot questions ! 
Another sham job , do they really think he’s going to answers those 
Tmz paparazzi is more respectful than these Missouri vultures</t>
  </si>
  <si>
    <t>RT @magathemaga1: With all due respect, this statement is idiocy
It’s a City of STL problem
It’s a City of STL LEADERSHIP problem
40 homi…</t>
  </si>
  <si>
    <t>@KMOXKilleen I really like al better when he has no comments considering everything out of his mouth is bs</t>
  </si>
  <si>
    <t>RT @FOX2now: Ballpark Village shooting victim identified as Spanish Lake father https://t.co/df1C5Iv6Qn https://t.co/Cd8sNYhdBA</t>
  </si>
  <si>
    <t>@LucasABC17 Maybe he means a Depends
He might 💩himself</t>
  </si>
  <si>
    <t>RT @VisioDeiFromLA: Credit is due: Solid reporting by @jrosenbaum on #MoneyBagsAl &amp;amp; mysterious 100 k payment
Read/Retweet &amp;amp; ask yourself:…</t>
  </si>
  <si>
    <t>Let just throw the whole case out 
It’s a witch hunt https://t.co/rvLt4muoby</t>
  </si>
  <si>
    <t>@StevenDialTV @41actionnews Please he has name #MoneyBagsAl 
And we’re looking forward to the source of theese anonymous bags of cash https://t.co/NhKONKojWs</t>
  </si>
  <si>
    <t>RT @philip_saulter: @JCunninghamMO @MelindaKCMO @HawleyMO I helped to elect Greitens to do a job, I would be disappointed if he walked away…</t>
  </si>
  <si>
    <t>@VisioDeiFromLA  https://t.co/j0reyJmypf</t>
  </si>
  <si>
    <t>Anybody wonder why Al Watkins hired a lawyer outside
His firm Watkins Kodner ? 
Are none of the other lawyers qualified to represent Al
Kind of weird he doesn’t trust his own people https://t.co/FhD9EtZr74</t>
  </si>
  <si>
    <t>RT @magathemaga1: #MoneyBagsAl must tell us:
✔Where the $$$ came from?
✔What was it for?
✔How much did KS or PS get?
✔Who was name of "Cou…</t>
  </si>
  <si>
    <t>@jrosenbaum @chuckhatfield #MoneyBagsAl is pretty scrawny 
I bet some of his money he couldn’t do 10 pull ups
Let alone make it across the monkey bars at a kiddie park</t>
  </si>
  <si>
    <t>@jrosenbaum Thanks for all the updates on #moneybagsal https://t.co/AFCpKecYqH</t>
  </si>
  <si>
    <t>RT @jrosenbaum: Watkins may have to disclose who gave him $100K in cash to deal with @EricGreitens fallout. As mentioned in previous, effor…</t>
  </si>
  <si>
    <t>RT @VisioDeiFromLA: MO Supreme Court has denied bid to prevent the #MoneyBagsAl deposition
HT: @jrosenbaum 
#moneybagsal #moleg #mogov #m…</t>
  </si>
  <si>
    <t>Could @AGJOSHHAWLEY conduct an investigation of all of #molegs social media 
How many elected officials have blocked constituents &amp;amp; Missourians ? 
RT if you’ve been blocked by a #moleg Memeber 
 https://t.co/fRNTZu6XvD</t>
  </si>
  <si>
    <t>@KRCG13 @RoyBlunt He right</t>
  </si>
  <si>
    <t>What’s happening to Maplewood?
Pie shop burglar found naked covered in Jam 
Drug deal shoot out at shopnsave
And now this lady stabbing a victim and trying to beat up the police 😳 https://t.co/5ImZTl8QRi</t>
  </si>
  <si>
    <t>RT @shesova: The #moleg standard. Charge .@EricGreitens with anything to get a Rep out of office. @MissouriGOP @molegislature @StLouisCityC…</t>
  </si>
  <si>
    <t>@JCunninghamMO @MelindaKCMO @HawleyMO It would be a lot easier for greitens to just give up, 
I appreciate his tenacity to fight for himself &amp;amp; us voters.</t>
  </si>
  <si>
    <t>RT @JCunninghamMO: FINALLY A REPORTER GOES DIRECTLY TO THE PEOPLE AND GETS WHAT I’VE BEEN HEARING. OVERZEALOUS ELECTED OFFICIALS ARE SHOOTI…</t>
  </si>
  <si>
    <t>@VisioDeiFromLA Hawley should give it up he’s only digging himself deeper</t>
  </si>
  <si>
    <t>@jrosenbaum @MattBlunt @GovJayNixon @EricGreitens Hang in there ,  Considering the circus of case &amp;amp; ridiculous charges, i can’t blame him for not giving interviews.   I would expect he will be more receptive to the media when he’s no longer on criminal trial.</t>
  </si>
  <si>
    <t>💡why would #kimshady want to block greitens accuser of being re deposed ?
Losing control on that forced narrative she &amp;amp; Tisaby we’re pushing 
Too many holes, inconsistencies &amp;amp; evidence proving just how bogus this case is    
                           W I T C H    H U N T https://t.co/iAxcltzODE</t>
  </si>
  <si>
    <t>@VisioDeiFromLA They just keep throwing 🍝spaghetti at the walls 
Hoping something will stick</t>
  </si>
  <si>
    <t>@TomJEstes Let him lead by example and have all the Vatican police &amp;amp; guards give up their weapons in the Vatican state.
In the meantime #2A</t>
  </si>
  <si>
    <t>RT @hyland114: CNN Is broadcasting in Latin America telling Illegals Exactly How To Get Around America’s Laws And ICE AGENTS. GEORGE Sorosc…</t>
  </si>
  <si>
    <t>#moleg should be forced to do the same 
They don’t respect who the voters elect
Bunch of Bullies  
BEEP BEEP🔊 https://t.co/d3Sdy92qPW</t>
  </si>
  <si>
    <t>@TrumpChess @kmoxnews @AGJoshHawley @POTUS wtf  does Ag Hawley do besides workout,campaign , &amp;amp; make up bogus charges against greitens?
He’s absolutely useless an ag ,  crime is off the charts &amp;amp; his office has done nothing beneficial.   He will be even more useless in Washington.. say no to Hawley</t>
  </si>
  <si>
    <t>@kmoxnews The witch hunt continues , give me a break this is ridiculous</t>
  </si>
  <si>
    <t>19 year old woman shot clutching onto a baby 
Savage , ruthless killer out there ! https://t.co/y7w5HhLMrF</t>
  </si>
  <si>
    <t>RT @KMOV: Berkeley police investigating after body found late Sunday night https://t.co/4giVK3JugG https://t.co/PS3ZiWPNLr</t>
  </si>
  <si>
    <t>@magathemaga1 @Avenge_mypeople Her testimony to state lawmakers was just that testimony
Nothing she said was investigated or cross examined 
She could have said she rode a unicorn 🦄 and they would have issued that in a report, that doesn’t make unicorns real just because she said it</t>
  </si>
  <si>
    <t>RT @magathemaga1: Clean Missouri is Dem/#Soros redistricting scam wrapped in lipstick. STOP IT
✔Tell friends
✔Post on Facebook about scam…</t>
  </si>
  <si>
    <t>@blackwidow07 Mercy, it was a pretty violent weekend, many Homocides &amp;amp; shootings.</t>
  </si>
  <si>
    <t>@Avenge_mypeople @benshapiro @vjeannek I feel so bad for the dogs</t>
  </si>
  <si>
    <t>RT @Brandon_Merano: #BREAKING Last night’s shooting at @BPVSTL is now a homicide investigation. @SLMPD is asking for your help finding the…</t>
  </si>
  <si>
    <t>RT @FOX2now: Homicide called to fatal shooting in north St. Louis https://t.co/nWbQxaJtsS</t>
  </si>
  <si>
    <t>RT @FOX2now: Shooting victim found in north St. Louis vehicle https://t.co/7du0DJPl05</t>
  </si>
  <si>
    <t>RT @KCStar: Want to know why Gov. Eric Greitens isn’t giving up? Meet his supporters https://t.co/JrpgaTPZA4</t>
  </si>
  <si>
    <t>@reneknottsports @ksdknews @BPVSTL Considering this week, shooting in grocery store parking lot,  a park , and now ball park village 
I DONT FEEL SAFE AT ALL  !</t>
  </si>
  <si>
    <t>RT @JCunninghamMO: Helpful information to know. Compelling reasons to decline to sign any Clean Missouri ballot initiative petition. What a…</t>
  </si>
  <si>
    <t>RT @alexiszotos: Major Case squad detectives are back at Matthews Park in Bridgeton today, looking for additional clues to Saturday’s tripl…</t>
  </si>
  <si>
    <t>RT @magathemaga1: @RoyBlunt correct
#greitens should not resign &amp;amp; should not be impeached unless he actually did something wrong related t…</t>
  </si>
  <si>
    <t>@MeetThePress @RoyBlunt It’s a witch hunt ! https://t.co/a14lZZcqHT</t>
  </si>
  <si>
    <t>This is the 2nd woman fatally shot this weekend
This victim was 19 years old shot dead Sunday 
At 9:30 am https://t.co/xHBuSJqYGK</t>
  </si>
  <si>
    <t>@KMOV Where are the troops to stop this invasion</t>
  </si>
  <si>
    <t>Missouri U.S. Sen. Roy Blunt says it is premature to call for the resignation of Gov. Eric Grietens.
#moleg #dueprocess https://t.co/8iu9Uvzi61</t>
  </si>
  <si>
    <t>RT @n2katz: @KMOV Good!  He is innocent until proven guilty.  Tired of the witch hunt!</t>
  </si>
  <si>
    <t>RT @KMOV: Arkansas police officer shot, killed at home https://t.co/BC5b4B3ELm https://t.co/iNzTqj7Sjn</t>
  </si>
  <si>
    <t>@Neilin1Neil Its cheaper to join the nra than to buy an overpriced yeti</t>
  </si>
  <si>
    <t>RT @magathemaga1: @RealTravisCook @sleepingrodent @realJLogan @AP4Liberty @Avenge_mypeople @Shawtypepelina @SKOLBLUE1 @MissouriGOP @Speaker…</t>
  </si>
  <si>
    <t>@FOX2now Seems like More women victims of gun violence lately ?</t>
  </si>
  <si>
    <t>RT @FOX2now: Police investigating shooting of 24-year-old woman https://t.co/vsIR1Mk452</t>
  </si>
  <si>
    <t>@SuchHate I don’t even go there , online shopping free shipping &amp;amp; returns are my BFFs</t>
  </si>
  <si>
    <t>@SuchHate Happend to me 2 days ago,   My advice is don’t put yourself at risk with a diversion, keep on walking.
Give to a legit charity, don’t be a parking lot atm</t>
  </si>
  <si>
    <t>@Lautergeist @Jimi971 @Beatlebaby64 @jenniferkrneta @juliematthews50 @kbailey971 Are you pregame training for cinco de mayo  olé</t>
  </si>
  <si>
    <t>@SuchHate People will start using Instacart &amp;amp; Amazon Prime pantry box.  Carjackings were bad enough Now parking lot shootings from drug dealers.   Galleria has had there fair share of parking lot shootings too</t>
  </si>
  <si>
    <t>RT @GR8_2B_alive: My son is a Veteran of the United States Army. He went to the #VA in Salt Lake City yesterday. This was the condition of…</t>
  </si>
  <si>
    <t>@TheNewRight @juliematthews50 @jallman971 Oh i want a front row seat for this 🍿🍫</t>
  </si>
  <si>
    <t>@Lautergeist @staceynewman @jallman971 Ha still waiting for her to apologize for falsely accusing trump for the cemetery attacks
Fake hate crime</t>
  </si>
  <si>
    <t>City Thugs are migrating West into county 
Drugs Deals going down in grocery store parking lots
Innocent women bystander Shot !
Missouri’s Gun violence issue is a Drug issue!
               🛑 S T O P   T H I S   C R I M E 🛑
#moleg #stl #missouri #mosen #mogov #drugs #crime https://t.co/SJ2AWldgTP</t>
  </si>
  <si>
    <t>RT @88YahamaKeys: Haha!  Is this some kind of joke?  @stltoday would not know how to find the Truth even with a map and a flashlight! @ATea…</t>
  </si>
  <si>
    <t>@Lautergeist @staceynewman @jallman971 This lady is a hypocritical kook, Jamie Allman is not Hate</t>
  </si>
  <si>
    <t>Shot dead in a Park 
Homicide is on the move  from the streets https://t.co/up5EOgrwY5</t>
  </si>
  <si>
    <t>RT @DiamondandSilk: It's funny how a low budget, no name comedian can use her first amendment rights to say the vilest things about Sarah S…</t>
  </si>
  <si>
    <t>@nathanielrobl @gizellie @AnnieRiceStL WRONG , the KS iniated FaceTimes followed the alleged first encounter where she alleged her first false salacious event.   Basically you don’t claim sexual assault &amp;amp; than naked face time with your accuser  after</t>
  </si>
  <si>
    <t>Justice Warrior needs some Help 
 Does anyone recall a transcript or defense motion stating 
that KS and Simpson also said the video did not work? Please provide link if you have it. https://t.co/Esbhz6n6Pg</t>
  </si>
  <si>
    <t>RT @JW1057: @HawleyMO Congratulations! You have defeated @JamesComeyFBI for the title of the most sanctimonious (i.e. bigger jackass). Ladd…</t>
  </si>
  <si>
    <t>@gizellie @AnnieRiceStL ks has already said she iniated naked face time https://t.co/a05bbfGHFY</t>
  </si>
  <si>
    <t>RT @somethingldsay: This ordeal is turning into a bigger 💩 show than the Trump Russia thing. It's pretty clear @EricGreitens isn't an angel…</t>
  </si>
  <si>
    <t>RT @magathemaga1: #Missouri Supreme Court says Greitens' accuser must turn over phone 4 examination
"...woman told a House committee last…</t>
  </si>
  <si>
    <t>RT @KyleStarr19: @Sticknstones4 @EricGreitens Yes! He's still actively doing his job,  while the hypocritical  donkeys dig and dig for anyt…</t>
  </si>
  <si>
    <t>RT @EdBigCon: Soros Is Targeting District Attorney Races to Create Havoc Against Conservatives https://t.co/sqE9X07wiD</t>
  </si>
  <si>
    <t>@KCStar Good woman was not a victim she was a willing participant
Even the ex husband slimeball attorney gave up on the victim spiel .   End the witch hunt !</t>
  </si>
  <si>
    <t>RT @KCStar: Missouri Supreme Court: Greitens' alleged victim must turn over phone for examination https://t.co/RNkHWL2sFs</t>
  </si>
  <si>
    <t>RT @Norasmith1000: @BryanLowry3 @columbiatribune Yet another measure of #kimgardner incompetence. Prosecution has had everything they just…</t>
  </si>
  <si>
    <t>CONGRATULATIONS @Shaquemgriffin  DRAFTED !</t>
  </si>
  <si>
    <t>@Margare03880660 Nice 👍🏻 hashtag</t>
  </si>
  <si>
    <t>@Mizzourah_Mom @marinevet1982 @mefbama @VisioDeiFromLA @robschaaf Clean Missouri is a Scam 
Soros Redisctricting scam 
Decline to Sign https://t.co/0VqD2q9KFc</t>
  </si>
  <si>
    <t>@Mizzourah_Mom @marinevet1982 @mefbama @VisioDeiFromLA Cause we have a bunch of crooks in #moleg
That meet behind closed doors &amp;amp; conspire 
Just look at @robschaaf he tried to pull a fast one over on Republicans with than soros funded BS petition To resdistrict  Clean Missouri is unclean , BAD</t>
  </si>
  <si>
    <t>RT @Mizzourah_Mom: @marinevet1982 @mefbama @VisioDeiFromLA It's been a #witchhunt from day one. Started with the $100,000 money from an "an…</t>
  </si>
  <si>
    <t>RT @magathemaga1: Governor #Greitens with Troopers at the Ft. Leonard Wood Hiring Our Hero’s event today. 
HT: @MSHPRecruiting @EricGreite…</t>
  </si>
  <si>
    <t>@AnnieRiceStL She KS iniated naked face time that’s what she doesn’t want seen.</t>
  </si>
  <si>
    <t>RT @joel_capizzi: @BisonWatcher Missouri and more importantly Gov Greitens deserves to know what's on her phone. He has the constitution ri…</t>
  </si>
  <si>
    <t>RT @Norasmith1000: @RGreggKeller At this point, I wouldnt trust anything Gardner does or says about anything relating to ANY case against G…</t>
  </si>
  <si>
    <t>RT @mefbama: @marinevet1982 I agree. We have all seen the lengths at which republicans and democrats will scheme to keep control, the power…</t>
  </si>
  <si>
    <t>RT @marinevet1982: Attn: all Missouri Constitutional Conservatives! I say every Republican who convicted our awesome Governor before he eve…</t>
  </si>
  <si>
    <t>RT @Hope4Hopeless1: @BryanLowry3 OF COURSE! #KITTY knows her &amp;amp; her EX #DJMoon's GIG is up! Phones will reveal TRUTH of their SCAM &amp;amp; how the…</t>
  </si>
  <si>
    <t>RT @Norasmith1000: Why dont we ask #kimgardner, thats her job after all. Or ask @MayorLyda why Kim is playing politician instead of doing h…</t>
  </si>
  <si>
    <t>RT @dsm012: The latest St. Louis Tea Party Daily! https://t.co/tX2tB8cL9j Thanks to @manateespirit @stlteaparty #facebook #data</t>
  </si>
  <si>
    <t>RT @HennessySTL: With all the good news about the economy and world peace and NO COLLUSION, you can expect shady @JakeTapper and failing @N…</t>
  </si>
  <si>
    <t>RT @FOX2now: Shots fired outside Shop N Save in Maplewood https://t.co/FXsPFz0Em5 https://t.co/fidJr9pW9W</t>
  </si>
  <si>
    <t>RT @n8baker: @mcbridetd @aaron_hedlund Why answer questions from a press that will twist and distort his words regardless of his answer? An…</t>
  </si>
  <si>
    <t>RT @aaron_hedlund: It's amazing how much of the commentary on #mogov is predicated on assumption of guilt. Laub deposed: "Uh oh! Proof Grei…</t>
  </si>
  <si>
    <t>4 women robbed in #STL  2 suspects caught ,both on probation♦️Repeat offenders♦️
police are working with the US Attorney to get stiffer sentences so that convicted criminals won’t get out and victimize again👈
Police cant work with #kimshady at #stlcao #moleg #mmsa #stlboa https://t.co/oTflqoPiMg</t>
  </si>
  <si>
    <t>2️⃣overnight Homocides in Stl 
One by gun  one by cutting 
When is #Moleg going to end these killings and 
Make Missouri Safe Again  #MMSA https://t.co/K7vyqne2jk</t>
  </si>
  <si>
    <t>@Avenge_mypeople This is such a great article :
“This is an assault on democracy and if the legislature won't do it then it's time for Missourians to rally around our Governor to defend our electoral process and what's left of our justice system.”</t>
  </si>
  <si>
    <t>RT @Avenge_mypeople: A short, succinct article explaining what's going on in Missouri and the governor #GreitensIndictment
 https://t.co/zZ…</t>
  </si>
  <si>
    <t>@SpeakerTimJones Could you tell @robschaaf this is BAD for Missouri</t>
  </si>
  <si>
    <t>@Avenge_mypeople @brucefranksjr Completely he should resign !</t>
  </si>
  <si>
    <t>RT @SpeakerTimJones: THIS. https://t.co/9HOtN1Fy4F</t>
  </si>
  <si>
    <t>RT @Norasmith1000: @Sticknstones4 Lmao, well of course KS is fighting this, theres absolutely NO TELLING what she has on her phone!! #moleg…</t>
  </si>
  <si>
    <t>RT @gagemitchusson: If you want to come in to the US, you MUST go through proper legal processes. Anyone who does otherwise should not be a…</t>
  </si>
  <si>
    <t>@BloodAvenger10 @staceynewman Why does a color have to be put as an adjective before every person ?</t>
  </si>
  <si>
    <t>RT @Neilin1Neil: @magathemaga1 @stlbriancollins @Norasmith1000 @KathieConway @Shawtypepelina @YearOfZero @RealTravisCook @inthejungle234 @s…</t>
  </si>
  <si>
    <t>📌Tisaby no showed Monday than took the 5th Thursday
📌Al Watkins tried to quash his subpoena but the judge has ordered him to answer about the cash
📌Judge ruled K.S. to turn over her phone now K.S. is going to Supreme Court to over rule judge 
#witchhunt #greitens #moleg https://t.co/u5eiUv0XZ1</t>
  </si>
  <si>
    <t>@lindsaywise @JW1057 @EricGreitens 📌Tisaby no showed Monday than took the 5th Thursday
📌Al Watkins tried to quash his subpoena but the judge has ordered him to answer about the cash
📌Judge ruled KS to turn over her phone now KS is going to Supreme Court to over rule judge 
#witchhunt #greitens #liars  #STL</t>
  </si>
  <si>
    <t>RT @JW1057: 🚨Breaking News: Greitens' Persecution🚨 
JW = Jodi Wagener. 
Source Kimberly M. Gardner. 
@Joe_Cool_1 @VisioDeiFromLA @Stickn…</t>
  </si>
  <si>
    <t>RT @JW1057: @FOX2now Why would defense release deposition to @jaybarnes5 who has already proven himself unethical? He released a one-sided…</t>
  </si>
  <si>
    <t>RT @JW1057: @lindsaywise @EricGreitens What is Kitty have on the phone? Nude pictures of herself? Financial transactions from a mysterious…</t>
  </si>
  <si>
    <t>RT @JW1057: @BryanLowry3 @AGJoshHawley @J_Hancock Perhaps, LatterBoy should have spent his work day reading the consent decree, rather than…</t>
  </si>
  <si>
    <t>RT @VisioDeiFromLA: Area Propogandist who falsely called #Greitens rapist who, seeing hairdresser charges R now bogus (likely knew anyway),…</t>
  </si>
  <si>
    <t>RT @VisioDeiFromLA: This is absurd.
I dont care if you think @EricGreitens is guilty or innocent, but Hawley needs to be off case as he ha…</t>
  </si>
  <si>
    <t>@DavidALieb @EricGreitens @AP Why is the house in such a rush to let Due Process play out?   The motion of court transcript is public and a good portion of the deposition is included  that rebuts their house report.  
Seems like the house is looking for excuses and not the truth</t>
  </si>
  <si>
    <t>RT @DavidALieb: Gov. @EricGreitens attorneys said depositions "completely rebut" House report about alleged sexual misconduct. But House sa…</t>
  </si>
  <si>
    <t>@Avenge_mypeople Lol out of hand this is like a full blow out in ones pants after a big Mexican lunch</t>
  </si>
  <si>
    <t>👏🏻👏🏻👏🏻
President Trump is 100% straight Up Right 
#MAGA  🇺🇸 https://t.co/weDn7GL62d</t>
  </si>
  <si>
    <t>RT @Str8DonLemon: Hey @TwitterSupport I am still Shadow banned. I didn't do anything wrong besides be a conservative. Please unshadow ban m…</t>
  </si>
  <si>
    <t>@christoferguson  https://t.co/9CkTlmudA0</t>
  </si>
  <si>
    <t>@WillSchamper_ @EricGreitens @jaybarnes5 The Moleg report is FAKE AF 
Just like that synthetic fake meat burger
I like my Meat Real and I like elected officials to conduct real NOT FAKE investigations 
Tisaby FAKE 
Ks &amp;amp; Ps story FAKE
Anonymous cash  FAKE nobody delivers 100 k anonymously</t>
  </si>
  <si>
    <t>@WillSchamper_ @Neilin1Neil @Norasmith1000 @RealTravisCook @KathieConway @sdieckhaus @EricGreitens @AGJoshHawley @ksdknews Will if you want to discuss money at the heart of greitens 
Where did the dark drop off of cash come from 
And it’s not politically correct to assume genders</t>
  </si>
  <si>
    <t>@WillSchamper_ @Neilin1Neil @Norasmith1000 @RealTravisCook @KathieConway @sdieckhaus @EricGreitens @AGJoshHawley @ksdknews Why do you keep tweeting at us accounts that you allege are trolls/bots ? If you think we’re fake &amp;amp; keep tweeting at us, that doesn’t exactly make you an einstein.   For someone that finds us stupid, you  sure love to follow us</t>
  </si>
  <si>
    <t>@WillSchamper_ @Neilin1Neil @Norasmith1000 @RealTravisCook @KathieConway @sdieckhaus @EricGreitens @AGJoshHawley @ksdknews None of anyone’s tweets have been fake, all factual
You’re just a dude having trouble facing fact, 
Fake house report,  liar taking the 5th &amp;amp; 100k cash deliveries</t>
  </si>
  <si>
    <t>Hey #Moleg 
Instead of worrying about Fake Meat labels
Let’s worry about all those Fake Accusations 
Against @EricGreitens  that your deceitful 
House investigative committee issued 
Sham Burger &amp;amp; Sham Report are the same #FAKE
ReLabel your house report FAKE @jaybarnes5 https://t.co/Pp2OmJeeOU</t>
  </si>
  <si>
    <t>@WillSchamper_ @Neilin1Neil @Norasmith1000 @RealTravisCook @KathieConway @sdieckhaus @EricGreitens @AGJoshHawley Will, would it make you feel better if i change my profile picture to a person and add a name. 
Ksdk didn’t think i was a bot, they aired one of my tweets</t>
  </si>
  <si>
    <t>RT @foxandfriends: .@DiamondandSilk: We have never been paid by the Trump campaign and we hope salacious gossip sites will retract their li…</t>
  </si>
  <si>
    <t>RT @magathemaga1: My friends &amp;amp; my enemies
We may disagree on #Greitens but agree #Missouri a red state &amp;amp; must remain so
Clean Missouri is…</t>
  </si>
  <si>
    <t>RT @repdottieb4mo: Jim Lembke and @robschaaf it breaks my heart that you will side with George Soros over #Missouri..please wake up. Don't…</t>
  </si>
  <si>
    <t>RT @Norasmith1000: @stlbriancollins @KathieConway @Shawtypepelina @YearOfZero @RealTravisCook @inthejungle234 @Neilin1Neil @sdieckhaus @Eri…</t>
  </si>
  <si>
    <t>@BloodAvenger10 @staceynewman I really don’t understand why she is  not worried About Missouri having the highest Homocide rate for black men in the entire county.  I think you might be right  Maybe she is racist in nature.</t>
  </si>
  <si>
    <t>RT @AbbyLlorico: #BREAKING: Judge rules Al Watkins, atty for ex-husband at center of #GreitensTrial, will have to answer a round of questio…</t>
  </si>
  <si>
    <t>RT @RealTravisCook: Exactly--If he'll turn his back on #Greitens this quick, why would we think he won't do the same to President #Trump in…</t>
  </si>
  <si>
    <t>RT @tkinder: Not Sure this ends well for #moleg Republicans- Special Session on .@EricGreitens  - Richardson says ‘a majority of Republican…</t>
  </si>
  <si>
    <t>@tkinder @EricGreitens Sworn court transcript refuting sham house report
100k delivery of cash 
Lead investigator lies &amp;amp; takes the 5th 
And these Republicans don’t want to allow greitens Due Process ?   Why?
Why are they so affraid omg greitens being found NOT GUILY
It’s a #moleg witch hunt</t>
  </si>
  <si>
    <t>@SuchHate I’m loving the new Kanye and all his Kanyeisms</t>
  </si>
  <si>
    <t>RT @smart_hillbilly: @CStamper_ If she does lose. This whole Hawley thing has blown up, and may possibly split the vote. I would encourage…</t>
  </si>
  <si>
    <t>@Hope4Hopeless1 @Shawtypepelina @YearOfZero @KathieConway @RealTravisCook @inthejungle234 @Neilin1Neil @Norasmith1000 @sdieckhaus @EricGreitens @AGJoshHawley @POTUS Kathie have a town hall, tell us why u think greitens is guilty &amp;amp; doesn’t deserve Due Process</t>
  </si>
  <si>
    <t>@ksdknews Please ask the house leader why they have not acknowledged the court transcript that refutes the house report, the 100k bag of cash , tisaby lying &amp;amp; taking the 5th ?   Greitens is entitled to due process not this witch hunt.
 Why are they so affraid of greitens being NOT GUILTY</t>
  </si>
  <si>
    <t>RT @Lautergeist: Spread this FAR &amp;amp; WIDE.  Tell your grandma.  Tell your college kids.  Tell your military family.  TELL EVERYONE!  #CleanMi…</t>
  </si>
  <si>
    <t>RT @kanyewest: Obama was in office for eight years and nothing in Chicago changed.</t>
  </si>
  <si>
    <t>RT @dsm012: The latest The Missouri Senate (#MOSen) Daily! https://t.co/1BxOikkaoU Thanks to @melody_grover @BobSalera @aaron_hedlund #mose…</t>
  </si>
  <si>
    <t>RT @SentinelKSMO: Another Trump-Inspired Hate Crime That Wasn't, St. Louis Cemetery Vandalism - https://t.co/p2wmdQD5FF</t>
  </si>
  <si>
    <t>RT @VisioDeiFromLA: Hug your president.
The media will never show this side of @realDonaldTrump 
@parscale @DanScavino @DonaldJTrumpJr @E…</t>
  </si>
  <si>
    <t>RT @ChugiakTea: @KMOV Now why would the guy who is bringing the charges against @GovGreitensMO plead the 5th? #WitchHunt #PoliticalHatchetJ…</t>
  </si>
  <si>
    <t>RT @KMOV: North and South Korea aim to declare end to war this year https://t.co/hZE5guzSrT https://t.co/Ce9BAUlz5d</t>
  </si>
  <si>
    <t>RT @VisioDeiFromLA: CLEAN MISSOURI IS A SCAM
See somebody carrying a clipboard?
DECLINE TO SIGN
#moleg #mogov #Missouri https://t.co/VvB…</t>
  </si>
  <si>
    <t>@MOHouseGOP   Too bad you let your colleague run a wonderful, hardworking, conservative man @jallman971 off the airways.   Jamie &amp;amp; his media platforms were friend to many conservative people &amp;amp; causes.
When you loose elections &amp;amp; Missouri goes blue
Thank Stacey https://t.co/lGruSJoo7W</t>
  </si>
  <si>
    <t>RT @HotPokerPrinces: Stop laughing and making jokes 
I don’t find your collusion funny 
@Rep_TRichardson @RonFRichard 
Stop holding up p…</t>
  </si>
  <si>
    <t>RT @Yankeeslayers: No shit https://t.co/bnaerWvsh7</t>
  </si>
  <si>
    <t>@Lautergeist The sweet stench of liberty 🗽</t>
  </si>
  <si>
    <t>RT @Mizzourah_Mom: @Sticknstones4 Very! I don't know the author, but he spelled out the #witchhunt perfectly. If only we had a fair media t…</t>
  </si>
  <si>
    <t>@Mizzourah_Mom A really well written article !</t>
  </si>
  <si>
    <t>RT @Mizzourah_Mom: OPINION: It's Time for Us to Rally to Defend Missouri
#Greitens
#GreitensIndictment
#moleg
https://t.co/PnoeXFzGZ5</t>
  </si>
  <si>
    <t>RT @CStamper_: This guy (he was the dude in the red turtleneck at the 2016 presidential debate in St. Louis) says his kid was suspended fro…</t>
  </si>
  <si>
    <t>@GetoveritD @Mizzourah_Mom @Change 👍🏻✍🏻</t>
  </si>
  <si>
    <t>RT @blackwidow07: @magathemaga1 @StevenDialTV @EricGreitens @41actionnews @HotPokerPrinces @SKOLBLUE1 @Sticknstones4 @MOHouseGOP @strmsptr…</t>
  </si>
  <si>
    <t>RT @JW1057: @J_Hancock @AGJoshHawley @EricGreitens JH's attorney isn't very competent. EG is arguing JH is biased because he is playing pol…</t>
  </si>
  <si>
    <t>RT @OzarkEdge: #donnybrookstl
The prosecution of Gov. Greitens is not over until prosecuting attorney, Kim Gardner, lawyers up.</t>
  </si>
  <si>
    <t>RT @SKOLBLUE1: #donnybrookstl Thank you for talking about #Greitens tonight! It is refreshing to hear a few of you acknowledge these indict…</t>
  </si>
  <si>
    <t>@RealTravisCook i was lol the draft is the only time everbody will stand</t>
  </si>
  <si>
    <t>RT @SKOLBLUE1: #donnybrookstl are you going to allow calls and publish tweets regarding #Greitens tonight or do we get to talk about the zo…</t>
  </si>
  <si>
    <t>RT @magathemaga1: @inthejungle234 Why doesnt @MariaChappelleN resign if bob burns has to resign?
#moleg #mogov https://t.co/DJgegDetX5</t>
  </si>
  <si>
    <t>RT @realJLogan: Some folks going around asking for signatures for "Clean Missouri" - DO NOT BE FOOLED. It sounds innocent but it is designe…</t>
  </si>
  <si>
    <t>@TheNewRight @Avenge_mypeople @Eminem Kanye stole my heart ❤️</t>
  </si>
  <si>
    <t>RT @Mizzourah_Mom: Office of the Chief Disciplinary Counsel: Revoke the law license of St. Louis Circuit Attorney Kim Gardner! - Sign the P…</t>
  </si>
  <si>
    <t>RT @joelcurrier: William Don Tisaby, investigator in @ericgreitens invasion of privacy case, is smuggled out of the courthouse Thursday aft…</t>
  </si>
  <si>
    <t>#Moleg has refused to acknowledge 
the court transcript which refutes their house report 
Yet they still ask for his resignation 
https://t.co/ZRrPlZyjHm</t>
  </si>
  <si>
    <t>#DonnybrookSTL  
The Missouri state legislature committee 
Meet Behind close Doors
Listen to testimony, issue a salacious report
With No cross examination or investigation 
Than ask @EricGreitens to resign 
That’s not due process it’s a witch hunt https://t.co/01sjZ4til3</t>
  </si>
  <si>
    <t>RT @magathemaga1: It's not hypothetical.
#greitens team absolutely correct 
#ladderboy has COI due 2 him having election &amp;amp; all people hav…</t>
  </si>
  <si>
    <t>@magathemaga1 @Eric_Schmitt @EricGreitens @Rep_TRichardson @RonFRichard @BillEigel @RightSideUp313 @MSTLGA @SKOLBLUE1 @Avenge_mypeople @MissouriGOP @elijahhaahr @Shawtypepelina @Lautergeist @HotPokerPrinces @gagemitchusson Guy gets around , St. Louis, clayton, st Charles, poplar bluff, Columbia, Jefferson City</t>
  </si>
  <si>
    <t>@Rep_TRichardson  You Lied 🤥 in this interview
The house committee did not WORK on the report
Behind Closed Doors
They Listened &amp;amp; Issued Report based on testimony Only
That’s not work 
No investigation , No cross examination 
🛑 STOP THIS WITCH HUNT  #moleg #dueprocess https://t.co/I7b3yC0l3M</t>
  </si>
  <si>
    <t>@aaron_hedlund That’s not reporting that’s a low rate stalkarazzi</t>
  </si>
  <si>
    <t>RT @JCunninghamMO: In America all are INNOCENT until PROVEN guilty. I will vote against any legislator who votes to impeach or calls for re…</t>
  </si>
  <si>
    <t>RT @VisioDeiFromLA: @Shawtypepelina @for_congress @JW1057 @StoryoftheYear @EricGreitens @Eric_Schmitt Have IRS look at both KS &amp;amp; PS financi…</t>
  </si>
  <si>
    <t>RT @Hope4Hopeless1: @inthejungle234 @Rep_TRichardson @mikeparson https://t.co/3zA7eUDAuf</t>
  </si>
  <si>
    <t>RT @Hope4Hopeless1: @inthejungle234 @Rep_TRichardson @mikeparson .@Rep_TRichardson YOU &amp;amp; EVERY SINGLE person in #Moleg #Mogov better think…</t>
  </si>
  <si>
    <t>RT @inthejungle234: Looks like @Rep_TRichardson  one of @mikeparson boys and wants to screw over missourians and undo an election.
#moleg…</t>
  </si>
  <si>
    <t>RT @VisioDeiFromLA: @Shawtypepelina @for_congress @JW1057 @StoryoftheYear when did she get money is the question? looked it up &amp;amp; worked for…</t>
  </si>
  <si>
    <t>@for_congress @JW1057 @StoryoftheYear What kinds of Range Rover</t>
  </si>
  <si>
    <t>I think we know where some bags of cash have gone 
💰💰 https://t.co/MjtJQjtmaP</t>
  </si>
  <si>
    <t>@TheNewRight @gocrazy4cards @Rep_TRichardson 😂😂😂😂</t>
  </si>
  <si>
    <t>RT @MarkReardonKMOX: Exclusive video of Kim Gardner's lead investigator in the @EricGreitens case.
https://t.co/XGac1YZU14</t>
  </si>
  <si>
    <t>RT @Neilin1Neil: What some people say in the middle of the night: “WOW I could of had a V8!” What Kitty might say in the middle of the nigh…</t>
  </si>
  <si>
    <t>@RealTravisCook  https://t.co/VovLTCvIDO</t>
  </si>
  <si>
    <t>@magathemaga1 Al watkins even called it f$@king my clients wife ! That’s not assault or rape , that’s a consensual affair</t>
  </si>
  <si>
    <t>Why ? @Rep_TRichardson forcing this ?
Especially after Tisaby the liar  took the 5th. 
 Why not allow #greitens  due process ?
Why is #moleg aka witch hunters so afraid of a NOT GUILTY ?
It’s a witch hunt ! https://t.co/I7b3yC0l3M</t>
  </si>
  <si>
    <t>@StevenDialTV @41actionnews @MOHOUSECOMM Why ? @Rep_TRichardson forcing this ?  Especially after Tisaby the liar  took the 5th.  Why not allow due process ?</t>
  </si>
  <si>
    <t>RT @Mizzourah_Mom: #Kimshady banked on Tisaby to bring the charge against #Greitens. Looks like she made a big mistake. Anyone remember #Ni…</t>
  </si>
  <si>
    <t>RT @magathemaga1: #TriflingTisaby pleaded the 5th today.
Hmm.....
@EricGreitens @Eric_Schmitt
@Rep_TRichardson @RonFRichard
#moleg #mogov…</t>
  </si>
  <si>
    <t>@sigi_hill How is it that the Judge hasn’t thrown this sham 💩show circus out of his courtroom yet ? What a waste of time &amp;amp; money.</t>
  </si>
  <si>
    <t>@Norasmith1000 That office is in disarray, many quit &amp;amp; replacements have not been hired</t>
  </si>
  <si>
    <t>Shot dead before Lunch in broad daylight 
But Homocides are not important to our elected officials
Taking down Greitens
Taking down Bob Burns 
What if Missouri didn’t  have the highest  Black Homocide in the country ?
#Moleg #stl  #kanye @MOLegDems @MOHouseGOP https://t.co/1Ufn6GS10i</t>
  </si>
  <si>
    <t>RT @snottydawg: @BryanLowry3 I am tired of my tax money being spent on a butthurt ex-husband, a "mistress" with a fuzzy memory, an inept in…</t>
  </si>
  <si>
    <t>RT @Norasmith1000: #moleg this sentiment is shared by a lot of MO.  Stop wasting my money, remove #kimgardner and get back to work! https:/…</t>
  </si>
  <si>
    <t>@Norasmith1000 Here the slcao budget 
Consider how much crime Stl has
And what little money to prosecute it
Than consider ineptness  &amp;amp; expense on Greitens prosecution.
https://t.co/RAMQ7pb88K</t>
  </si>
  <si>
    <t>RT @StevenDialTV: A lot is happening in Jefferson City and St. Louis. 
- Judge denied Greitens lawyers from interviewing former Mo. Dem. pa…</t>
  </si>
  <si>
    <t>@carolcollinsLV It’s not happening soon enough</t>
  </si>
  <si>
    <t>RT @magathemaga1: Is ‘Guilty Until Proven Innocent’ the New Standard?
Democrats &amp;amp; establishment Republicans don't support presumption of i…</t>
  </si>
  <si>
    <t>RT @magathemaga1: He cant. This is a no brainer. If he hadn't waited until now to do this, it could be argued but now he is tainted.
#mole…</t>
  </si>
  <si>
    <t>RT @kelseylandis: Tisaby invoked the 5th, declining to answer questions from the defense in both felony cases against Greitens. They’re don…</t>
  </si>
  <si>
    <t>RT @rxpatrick: Defense lawyers just left. Expect some Tisaby-related filings from them.</t>
  </si>
  <si>
    <t>RT @TrumpChess: Just a reminder that Tisaby was caught lying to the @FBI while employed by them and has been caught lying about the #Greite…</t>
  </si>
  <si>
    <t>RT @aaron_hedlund: Disturbingly pertinent here in Missouri... Guilt by accusation undermines our rights, the rule of law, and tears at the…</t>
  </si>
  <si>
    <t>@grcfay It’s not a court of law
It’s a circus 🎪
With a lot of ass clowns 
🤡🤡🤡
TOSS IT OUT ! 
This is a witch hunt &amp;amp; waste of money 
Pay to prosecute homocides NOT your political opponents
#greitens #stl #kimshady #takethe5thtisaby</t>
  </si>
  <si>
    <t>RT @magathemaga1: 🚨 Steve Stenger Poll 🚨 
STL County!
Given that Steve Stenger is now playing the race card and racist identity politics…</t>
  </si>
  <si>
    <t>@magathemaga1 @STLPOLITICS87 Hey somebody let Steve Stegner know that there’s no Donald Trump racist hate going on in Stl county. 
Just a lone angry, high &amp;amp; drunk dude that toppled cemetery stones</t>
  </si>
  <si>
    <t>All that money wasted in hiring Tisaby an outside investigator , that lies &amp;amp; takes the 5th.  This is a disgrace to our justice system , our city &amp;amp; our state . This is what a witch hunt looks like !  
Judge needs to toss this case out !
#greitens #moleg #weaponizedprosecution https://t.co/PEtxTTAng5</t>
  </si>
  <si>
    <t>RT @Monetti4Senate: We are taking our country back @SebGorka. People are fed up with demonizing someone for speaking their point of view. I…</t>
  </si>
  <si>
    <t>@TheNewRight @jallman971 When is the official launch 🚀</t>
  </si>
  <si>
    <t>@KMOV Don’t they get a reduced tuition benefit as well ?</t>
  </si>
  <si>
    <t>@PDBeth @Tessa_Weinberg @Allie_Kite @JackSuntrup Beth when a room full of our brave LEO applaud 
That’s a problem !    Propaganda dispatch has been biased towards LEO since Ferguson.  If the media doesn’t want to be loathed , stop the bias &amp;amp; improve your relations with LEO 
https://t.co/v8AN5knfts</t>
  </si>
  <si>
    <t>I Love the Love ❤️ 
Instead of freaking out learn from it
Kanye offers perspective to Trump &amp;amp; Vice Versa
Waiting for Kanye’s special edition maga yeezys 
Lighten up people, it’s not like KK is removing her butt implants 
#BetterTogether  #NewAwakening  #LoveTrumpsHate https://t.co/0RzvPNdbrM</t>
  </si>
  <si>
    <t>@PresReed Mr. Reed it’s heartbreaking the expense &amp;amp; effort that’s being put into maliciously prosecuting a class D felony!  If the same money &amp;amp; effort were put into homocides, you wouldn’t be standing at that vigil.  
People before politics 
#homocide #greitens #stlboa</t>
  </si>
  <si>
    <t>‘Tis the Season
Is protesting Bob Burns y’all’s kick off event ?
The Bob Burns Seasonal Opener 
Save your voices &amp;amp; your steps
Bob Burns Will NOT be Resigning 
He is staying PUT as elected to do so
#hypocrites #ProtestSeason #MoLeg #democrats 
#stl #missouri #freespeech #1A https://t.co/qgovApdvcK</t>
  </si>
  <si>
    <t>@Neilin1Neil @Norasmith1000 @RealTravisCook @KathieConway @sdieckhaus @EricGreitens @AGJoshHawley He sure is a straight up witch hunt by a bunch of crooked policticians &amp;amp; political operatives</t>
  </si>
  <si>
    <t>RT @Neilin1Neil: @RealTravisCook @Norasmith1000 Governor Eric Greitens is the victim! @KathieConway @sdieckhaus @EricGreitens @AGJoshHawley</t>
  </si>
  <si>
    <t>RT @Norasmith1000: @YearOfZero Im still waiting for the Dem outrage at Gardner for misconduct, perjury censure by judge, maybe hiding Tisab…</t>
  </si>
  <si>
    <t>RT @YearOfZero: U also being horrible person assuming #Greitens guilt
From sounds of it, she was paid off to make up the story. Gonna addr…</t>
  </si>
  <si>
    <t>RT @YearOfZero: 1. ALLEGED. It isn’t victim. IT IS ALLEGED victim
2. Block away
3. I WON’T say it, but no gag order on public. Public can t…</t>
  </si>
  <si>
    <t>RT @TrumpChess: @YearOfZero Not a victim UNLESS you consider her a pawn of these MO lawmakers and her failed STL 105.7 DJ/ex.  Rep Stacey N…</t>
  </si>
  <si>
    <t>RT @RealJamesWoods: They are afraid of anyone who thinks for him/her self. Both sides are like this btw. Free thinkers are a threat to the…</t>
  </si>
  <si>
    <t>@Joe_Cool_1 Not even with your appendage</t>
  </si>
  <si>
    <t>RT @VisioDeiFromLA: I've spent years working with people like U
I've seen:
-The lies.
-The bias
-The coordinated stories 
-The lack of con…</t>
  </si>
  <si>
    <t>@craasch Cheap TMZ paparazzi can generate a more truthful story than you proganda pushers 
If you  mitwits  wants to chase breaking news, find the missing liar William Tisaby 
Joe Buck is an outstanding person &amp;amp; does many good things for St Louis charities !</t>
  </si>
  <si>
    <t>@Shawtypepelina @YearOfZero @Hope4Hopeless1 @EricGreitens @mikeparson @SKOLBLUE1 @toadtws @RightSideUp313 @PriscillasView @PatriotessWings Why shouldn’t they be ok , Stacey was ok taking the fake victim Kity Sneed to the capital  where@ericgreitens works 
Who doesn’t Stacey Hate ?
( greitens , Jamie Allman , police  ) 
#moleg #witchhunt  #BlueLivesMatter https://t.co/LGT3CfbThD</t>
  </si>
  <si>
    <t>RT @CStamper_: When even the liberal @stltoday editorial board is referring to Soros-backed Kim Gardner’s political witch hunt as a “circus…</t>
  </si>
  <si>
    <t>@Tessa_Weinberg @Allie_Kite @JackSuntrup Your not journalist , y’all are crazed stalkers 
Joe Buck called out the press today for never showing up to the police breakfast , until today  just to chase the governor 
He’s not resigning !</t>
  </si>
  <si>
    <t>@russellkinsaul @KMOV what was he so mad about , 150 head stones is a lot of pisssed off</t>
  </si>
  <si>
    <t>@Avenge_mypeople 😂 LOL</t>
  </si>
  <si>
    <t>RT @DineshDSouza: This is the kind of news that makes the front page when it involves a Republican donor &amp;amp; is largely ignored when it invol…</t>
  </si>
  <si>
    <t>@joelcurrier @ma_franks @EricGreitens @stltoday In a city with so many hundreds of unsolved Homocides 
This is INSANE to waste our valuable resources on a class d felony.  This isn’t justice , it’s all crooked politics 
#stl #stlboa</t>
  </si>
  <si>
    <t>How much are we paying for an expert witness in a class D felony ?
@LydaKrewson 
#stl homocide rate is on track to surpass last years record 
#kimshady has not put effort or money into violent cases like she has on this #greitens case.  Homocide victims deserve justice https://t.co/xP1Vvldlcj</t>
  </si>
  <si>
    <t>RT @magathemaga1: @GovGreitensMO Signs Executive Order Expanding Homeland Security Advisory Council 
“We’re working every day to keep Miss…</t>
  </si>
  <si>
    <t>RT @FOX2now: Gov. Greitens welcomed at police prayer breakfast amid legal fights https://t.co/q5jas9GeAI https://t.co/jUMpYJZy0t</t>
  </si>
  <si>
    <t>RT @EricGreitens: Today, we signed an executive order to ensure Missouri’s Homeland Security Advisory Council has every resource to keep Mi…</t>
  </si>
  <si>
    <t>RT @HennessySTL: King David and Eric Greitens https://t.co/tW0BBBGavB https://t.co/Lt8pGi4Y8q</t>
  </si>
  <si>
    <t>@DeplorableGoldn Shaft Schaff the way he’s shafting US 
Say No to Clean Missouri #moleg</t>
  </si>
  <si>
    <t>Clean Missouri 
Is Not so Clean it’s pretty darn Dirty 
#DeclinetoSign 
just Decline all the #Soros  Clipboard Mafia https://t.co/EFFfFme9c1</t>
  </si>
  <si>
    <t>RT @hard_sheri: @Karfrmthhrt @Monetti4Senate @MOHouseGOP @GOP @realDonaldTrump @GovGreitensMO Amen! He threw Gov. Greitens "under the bus"…</t>
  </si>
  <si>
    <t>RT @magathemaga1: "I can tell you, the people of Missouri stand with you," Gov. Eric Greitens said 2 annual memorial prayer breakfast of ST…</t>
  </si>
  <si>
    <t>Clownish St. Louis Prosecutors 🤡Turn Greitens Case Into Farce 
#moleg #greitens #kimshady #moneybagsAl 
https://t.co/CzZH0pNrcu via @SentinelKSMO</t>
  </si>
  <si>
    <t>@BrianKaylor Bro when did prayers become censored 🤬 and regulated
Last time i checked in with god , he didn’t care 
He’s always happy to hear from us</t>
  </si>
  <si>
    <t>RT @LeslieMeyer95: Governor Greitens signed off on Miss Springfield's Outstanding Teen Shae Smith's proclamation, making September 1 #Scoli…</t>
  </si>
  <si>
    <t>@magathemaga1 @EricGreitens @Eric_Schmitt @SKOLBLUE1 @Hope4Hopeless1 @MOHouseGOP @SpeakerTimJones @MissouriGOP @Avenge_mypeople @RightSideUp313 #BlueLivesMatter</t>
  </si>
  <si>
    <t>RT @magathemaga1: #Greitens pays tribute 2 fallen police officers at event today in St. Charles
His speech paid tribute 2 police killed in…</t>
  </si>
  <si>
    <t>@magathemaga1 GO GREITENS GO , Missouri needs this BIG TIME</t>
  </si>
  <si>
    <t>@KMOXKilleen @eric What were you expecting? Tony Robbins
It was a prayer breakfast to honor &amp;amp; support police 
Why no mention the governor greitens ordered flags for a fallen officers funeral today?
https://t.co/U6cQRbpVFB</t>
  </si>
  <si>
    <t>RT @plwy31: @stltoday Iam sick of hearing about Greitens charges we all know . let the man do his job .remember nothing has been proven in…</t>
  </si>
  <si>
    <t>@RiverfrontTimes @EricGreitens Why not Prayer is not limited to anyone 🙏🏻</t>
  </si>
  <si>
    <t>RT @MoPublicSafety: Governor Greitens orders flags to half staff to honor Miller County Deputy, Casey Shoemate, who was killed in the line…</t>
  </si>
  <si>
    <t>@christoferguson Show Me the Money 💰💵 https://t.co/MMqdS2RObb</t>
  </si>
  <si>
    <t>@philip_saulter @CaileighKRCG13 @KRCG13 He’s a biter man abusing his position 
Hurting Missouri to spite the Governor 
Settle your vendetta not at our expense 
Missourians are not your Pawns  
GET THE BILLS SIGNED ✍🏻
@RonFRichard  #moleg #Witchhunt https://t.co/cQ5NOgvljT</t>
  </si>
  <si>
    <t>@VforVictory1 @AntonioFrench @TinaMarie88888 Wow let’s judge people by their eyes , and don’t stop at the eyes bust out  all genetics traits</t>
  </si>
  <si>
    <t>@AntonioFrench We’re you as outraged by a covicted heroin dealer receiving a  procolamtion as you are by Greitens not convicted  ?</t>
  </si>
  <si>
    <t>@KPLR11 When is there a special investigation on these 7 inept legislators?  Meet behind closed doors to author reports with no investigation of witness testimony, 
speak it, write it , read it    
 Bet these fictional authors got a big bag of cash 💰 💵 For their work 
#moleg #sham https://t.co/HzIVd4Sh1N</t>
  </si>
  <si>
    <t>@carrieisbusy @soledadobrien Due process presumed innocent until proven guilty</t>
  </si>
  <si>
    <t>@TheNewRight @Lautergeist  https://t.co/ixhIqxDvN0</t>
  </si>
  <si>
    <t>RT @magathemaga1: Good Morning #MoLeg except @RonFRichard
#GreitensIndictment: 
#KimShady crooked
#NoNotesTisaby crooked
#MoneyBagsAl is…</t>
  </si>
  <si>
    <t>@Lautergeist  https://t.co/RzPCbVrkK3</t>
  </si>
  <si>
    <t>RT @ksdknews: Teenagers on a 'rampage' in Central West End https://t.co/FgKwoQVbu1</t>
  </si>
  <si>
    <t>RT @FOX2now: LIVE Video: Gov. Greitens speaks at officer association’s prayer breakfast - https://t.co/f6Wb8L46gp https://t.co/CN7oqF9KUg</t>
  </si>
  <si>
    <t>RT @RealTravisCook: So the name of the shooter at the #Dallas #HomeDepot was named Armando Jaurez.  With that name, the question has to be…</t>
  </si>
  <si>
    <t>@whododedo Regardless of political party, no person in the USA should have a weaponized, compromised prosecution like greitens.</t>
  </si>
  <si>
    <t>@DerekGrier @HannahsHomes When approached just say decline to sign</t>
  </si>
  <si>
    <t>RT @DerekGrier: Read this, people. Clean Missouri is not what you think...don’t be fooled, and do your research before signing ANY petition…</t>
  </si>
  <si>
    <t>RT @MissouriOA: .@GovGreitensMO spoke with the #MOYouthDiversityDay students today and told them they can make a difference -- even at a yo…</t>
  </si>
  <si>
    <t>Well well well
Contradictions in statements ..
From the La Times interview to the courthouse Steps https://t.co/OO8rquwAiY</t>
  </si>
  <si>
    <t>RT @JCunninghamMO: Seicus influences Parkway and other MO public school districts in violation of 170.015 RSMo. #MOLeg should withhold fund…</t>
  </si>
  <si>
    <t>@YearOfZero @StevenDialTV @EricGreitens @41actionnews Al Watkins law office bldg has 24hr security, hope the inept house witch hunt committee subpoenas his employees that received the money bags &amp;amp; all the security footage.  FYI 100k in hundred dollar bills would not be a big bag💰 in mass easy to conceal  2 of these stacks #moleg https://t.co/IZWrQNmijW</t>
  </si>
  <si>
    <t>RT @CStamper_: Missouri is under attack. “Under the guise of ethics &amp;amp; lobbying reform, George Soros &amp;amp; other progressive groups are using th…</t>
  </si>
  <si>
    <t>Burglar found Sticky Naked 
Good Lord this is 50 shades of cra-cra 
Wonder if he was just lookin for some warm apple pie 🥧 https://t.co/qzASm0gZ9g</t>
  </si>
  <si>
    <t>@Lautergeist @stlcao @EricGreitens @SpeakerTimJones @MarcCox971 @HereLiesMoon She’s a paid #parsonsbot just ignore the paid drivel</t>
  </si>
  <si>
    <t>Good Morning  Witch Hunters, Crooks &amp;amp; Sham Job Investigative House Committee 
This is a wise lady! LISTEN to her
We don’t have the outcome of the trial, and if we just wait we’ll have the answers to these questions and then we can act appropriately
#dueprocess #moleg #greitens https://t.co/daBve97vLj</t>
  </si>
  <si>
    <t>Some Missouri Lawmakers Not Calling on Greitens to Resign, Despite Growing Legal Troubles https://t.co/Ttx4E1bCwQ</t>
  </si>
  <si>
    <t>@springfieldNL Can we argue with Hawley all the umpteen bazillion other aspects of the Ag job that he hasn’t done.  He’s a ladder boy</t>
  </si>
  <si>
    <t>@springfieldNL He should stand his ground and not resign.  He has done nothing wrong and said nothing wrong.</t>
  </si>
  <si>
    <t>Coming Soon Radio Free Allman
Hurry up Jamie 
We have soo much to talk about 
#RFA #IStandWithJamieAllman https://t.co/KyAjfsyWt6</t>
  </si>
  <si>
    <t>@Lautergeist @EricGreitens KS could of said she rode a magical unicorn 🦄 and 
the #parsonsbots would believe unicorns exist</t>
  </si>
  <si>
    <t>@FOX2now Romanik gave 4Ok to Lewis Reeds mayor campaign
I’m suspect that Romanik has not made any contributions to Friends of Jamilah  therefore he must GO before she runs for Lewis Reeds Job as Board of Alderman</t>
  </si>
  <si>
    <t>RT @Sticknstones4: @FOX2now Ask Bruce Franks jr to Resign , his raps contains worse lyrics than a romanik show</t>
  </si>
  <si>
    <t>@FOX2now Ask Bruce Franks jr to Resign , his raps contains worse lyrics than a romanik show</t>
  </si>
  <si>
    <t>RT @shesova: Veteran finally honored https://t.co/HQNGmpmvJm via @false</t>
  </si>
  <si>
    <t>RT @melody_grover: The first lesson seasoned politicians well-versed in the art of self-preservation learn is when to keep their mouths shu…</t>
  </si>
  <si>
    <t>RT @melody_grover: Imagine the look on @HawleyMO face when #mogov is cleared of wrongdoing. Will he crawl back to us #Deplorables and grove…</t>
  </si>
  <si>
    <t>@VisioDeiFromLA @SamCooper33 @MissouriGOP @HannahKellyMO @CStamper_ @SKOLBLUE1 @SpeakerTimJones @JohnLamping @strmsptr @Avenge_mypeople @EdBigCon @HotPokerPrinces @Hope4Hopeless1 @philip_saulter With investigative work this good, we know where #NoNotesTisaby has been hiding.  Intense National security work right there !</t>
  </si>
  <si>
    <t>@Joe_Cool_1 @Fresno_State She’s huge it will take a entire village to stand by her</t>
  </si>
  <si>
    <t>@elijahhaahr @sarah4staterep Sounds like fun .. 
I can’t wait for you to do your work  like 
Stop holding up bills for signature &amp;amp; your political game blocking
Do your Job that you were elected to do ! 
Than go play 
Mom says chores first !</t>
  </si>
  <si>
    <t>@jonesmarkh @EricGreitens Ok have Ag Josh Hawley give greitens back his 50 k</t>
  </si>
  <si>
    <t>@J_Hancock @EricGreitens Considering she’s established a weaponized prosuction, withheld evidence, coerced a narrative, and lied
It’s probably a good idea she be disqualified</t>
  </si>
  <si>
    <t>@aaron_hedlund You Do You Aaron , it’s a Fabulous tweet 👌🏻
If Tisaby No shows Thursday , we’ll have to call him #TakeoffTisaby</t>
  </si>
  <si>
    <t>RT @aaron_hedlund: That's right, @JaneDueker, keep telling everybody that prosecutorial misconduct is irrelevant. In time, all the facts wi…</t>
  </si>
  <si>
    <t>@aaron_hedlund @VisioDeiFromLA @JaneDueker For reals ? Um that’s like law school 101 
Maybe she is referring to a banana republic</t>
  </si>
  <si>
    <t>I really don’t know if this is satire  😂
Or 
What really happens behind those closed door sessions
At #moleg 
For all the public knows it’s what to do with your anonymous bag 💰of cash 💵 https://t.co/xoGbwypxNS</t>
  </si>
  <si>
    <t>RT @YearOfZero: If I was investigating this #MoneyBagsAl thing, I would ask:
Has anybody related to lawyer, the woman or ex husband or tan…</t>
  </si>
  <si>
    <t>@YearOfZero I’d also look very Carefully over the women’s books &amp;amp; the lawyers. Scrutinize all cash deposits of any amount &amp;amp; frequency , over the last 3 years.  Id ask The ask husband to show all his receipt from all his travel.   They might need to have a forensic audit for all three</t>
  </si>
  <si>
    <t>RT @melody_grover: Insights into the collective cluelessness of the liberal mind:
"Looting: using a list of donors that oneself created to…</t>
  </si>
  <si>
    <t>@SuchHate Say what .. where</t>
  </si>
  <si>
    <t>RT @ksdknews: Alton planning to name new road after Blake Snyder https://t.co/2GMP29h61f</t>
  </si>
  <si>
    <t>@TheNewRight @VisioDeiFromLA @hale_razor I really don’t know if this is legit,   When Kim K starts to look like Melania I’ll beleive it 🍑</t>
  </si>
  <si>
    <t>@jeffreyboyd Is there a survey for kim Gardner ? I want to see those results,  #nonotesTisaby the Liar 🤥 has cost a fortune 
Irresponsibly Money wasted 👎🏻</t>
  </si>
  <si>
    <t>RT @Hope4Hopeless1: @SKOLBLUE1 @EricGreitens .@POTUS .@GovGreitensMo
.@EricGreitens
#WeStandWithGovGreitens 
#Missourians SEE that there…</t>
  </si>
  <si>
    <t>@Hope4Hopeless1 @SKOLBLUE1 @EricGreitens @POTUS @GovGreitensMO https://t.co/gMnv6LGnEO</t>
  </si>
  <si>
    <t>@memoriadei Me too Kathie Me too ... I’m going to remember them and their unhappiness at the 🗳 ballot box
Us Missourians are not the causalties of their political games    Moleg will be in for a rude awakening</t>
  </si>
  <si>
    <t>RT @memoriadei: Not happy with you #moleg #committee some serious explaining to do #elections #Missouri https://t.co/zNsWKNlvZm</t>
  </si>
  <si>
    <t>RT @SKOLBLUE1: @BenjaminDPeters @RonFRichard Repulsive @RonFRichard is at it again! He doesn't want to further the state or education for o…</t>
  </si>
  <si>
    <t>RT @SpeakerTimJones: Read the real dirt on the latest @georgesoros funded fraud to hit the #MOLeg “The Truth About Clean Missouri” https://…</t>
  </si>
  <si>
    <t>RT @melody_grover: Luck has nothing to do with it. Voters don't take kindly to rogue prosecutors corrupt PIs &amp;amp; overly ambitious politicians…</t>
  </si>
  <si>
    <t>RT @SKOLBLUE1: @EricGreitens Great job Governor Greitens! #greitens #moleg #mosen #riseup #westandwithgreitens #stl #respect</t>
  </si>
  <si>
    <t>@RealTravisCook I keep looking up at the sky  hoping one of those amazon drones will drop me a bag 💰of cash 💵 for my botivsim 😂</t>
  </si>
  <si>
    <t>@RealTravisCook I can tell u r a law abiding citizen &amp;amp; haven’t be around the courthouse much,  some lawyers be Pimpin’</t>
  </si>
  <si>
    <t>RT @RealTravisCook: On today's radio show, the identities &amp;amp; motivations of those levelling accusations at #Missouri Governor #Greitens, as…</t>
  </si>
  <si>
    <t>@RealTravisCook Moleg is a bunch of bullies,</t>
  </si>
  <si>
    <t>@KurtEricksonPD @stltoday I wonder how many anonymous bag💰of cash💵 were delivered to each senators office ? 
Shame on them to play politics with Missouri Chldrens education  !
Don’t use our kids over your issues with the governor
#Moleg the message you sent was for us to vote u OUT 🗳</t>
  </si>
  <si>
    <t>@BryanLowry3 @JoeBReporter You left out Cash payment , witch hunts transact in cash https://t.co/h2YfqsB8a5</t>
  </si>
  <si>
    <t>@BenjaminDPeters @RonFRichard How many bag💰of cash 💵 has @RonFRichard received ?
He’s playing political games to spite #greitens
But he’s hurting Missourians in the process 
He was not elected to play games, he was elected to work for the people.  
This is not working !
#moleg</t>
  </si>
  <si>
    <t>@KMOXKilleen @EricGreitens Well that’s a bummer, oh well it’s #TacoTuesday</t>
  </si>
  <si>
    <t>RT @EricGreitens: Great meeting with young people from across Missouri to talk about public service—a really positive and productive mornin…</t>
  </si>
  <si>
    <t>RT @magathemaga1: ⚠️ URGENT ⚠️
#MoneyBagsAl Video Found!
On April 24th, 2018, hidden camera footage discovered wherein #MoneyBagsAl is ca…</t>
  </si>
  <si>
    <t>RT @magathemaga1: @NewsTribune #MoneyBagsAl is At it Again! https://t.co/a7U2hI9pnU</t>
  </si>
  <si>
    <t>RT @magathemaga1: @RealTravisCook #StLouis #Greitens #Missouri #MoneyBagsAl #KimShady #stl https://t.co/gfEjswuzHA</t>
  </si>
  <si>
    <t>@grcfay I think there is a lot of 💰💰💰money bags that were delivered all over Missouri</t>
  </si>
  <si>
    <t>@jrosenbaum @EricGreitens PS &amp;amp; Ks were separated 
PS said he had 5 affairs while separated
PS stalked Sheena, her family &amp;amp; followed Eric on twitter
Ps elected to Infuse himself like a bad rash</t>
  </si>
  <si>
    <t>@jrosenbaum Jason you should sue Al Watkins for his in appropriate comment to you about tongue kissing you, that was un professional &amp;amp; abhorble behavior.  He’s either a  bad comedian or a shyster.</t>
  </si>
  <si>
    <t>@jrosenbaum If somebody left 2 bags of cash with no note at my office via anonymous courier.. yeah I’d say that was some real shady, money laundering something something.  It sure wasn’t EdMcMahon from Publishers clearing house  #MoneyBagsAl https://t.co/ewH3XlXf1M</t>
  </si>
  <si>
    <t>@StevenDialTV @EricGreitens @41actionnews Do you think the special House committee had any special bags of cash droped off at their offices too?  I’m suspect, because there were lawyers on that committee that didn’t even cross examine the witness.  It was more like fictional authoring over lawyering.. Just saying suspect</t>
  </si>
  <si>
    <t>“we have actively solicited as much money as possible from as many sources as possible “
Who drops off 2 bags of anonymous cash 💰💰 100k
To initiate the witch hunt 
And who is he soliciting 
Why isn’t the #moleg house committee asking these questions
#Greitens #MoneyBagsAl https://t.co/83APNoJ4uJ</t>
  </si>
  <si>
    <t>@KMOV Too much controversy at waffle houses nowadays 
Doesn’t anybody just stay home and let go my eggo</t>
  </si>
  <si>
    <t>RT @Norasmith1000: @Sticknstones4 @LydaKrewson #KimGardner likes wasting our money on shit shows, we had the Stockley trial, now Greitens s…</t>
  </si>
  <si>
    <t>@Norasmith1000 @LydaKrewson It’s heartbreaking to see such waste of valuable resource that could be going to more worthier &amp;amp; needier causes within the city</t>
  </si>
  <si>
    <t>@SheWho_Resists @realDonaldTrump You need a dictionary 
Definition of witch hunt
1 : a searching out for persecution of persons accused of witchcraft
2 : the searching out and deliberate harassment of those (such as political opponents) with unpopular views
— witch-hunter noun
— witch-hunting noun or adjective</t>
  </si>
  <si>
    <t>@SheWho_Resists Definition of witch hunt
1 : a searching out for persecution of persons accused of witchcraft
2 : the searching out and deliberate harassment of those (such as political opponents) with unpopular views
— witch-hunter noun
— witch-hunting noun or adjective</t>
  </si>
  <si>
    <t>RT @CStamper_: This is a coordinated effort to push out a sitting Governor due to the conservative reforms he has enacted. Who made these p…</t>
  </si>
  <si>
    <t>RT @CStamper_: A political operative drops off $100k in cash to pay a lawyer to represent the guy seeking revenge against our Republican Go…</t>
  </si>
  <si>
    <t>RT @CStamper_: In case anyone needed any more evidence that this was a politically-motivated witch hunt... Follow the money. Who issued the…</t>
  </si>
  <si>
    <t>RT @CStamper_: A mysterious bag man shows up with $100,000 cash and suddenly, just like magic, this story breaks. I guess $100,000 is all i…</t>
  </si>
  <si>
    <t>RT @EagleEdMartin: COMMENTARY: 'More Facts In Fewer Words' Continues | https://t.co/D0qyXVpA6N</t>
  </si>
  <si>
    <t>RT @blackwidow07: @Sticknstones4 No one cares about that. As I said from the start this will not end the way anyone thought. Did they ever…</t>
  </si>
  <si>
    <t>RT @strmsptr: #GreitensIndictment Still standing with our Governor. Never surrender @EricGreitens</t>
  </si>
  <si>
    <t>@blackwidow07 I threw up 🤮 thinking about all the people this wasted money could of helped . It could have helped Stl troubled youth &amp;amp; killed the mice at Clinton Peabody  10 times over.</t>
  </si>
  <si>
    <t>RT @blackwidow07: @Sticknstones4 Sounds like the need for a full blow INVESTIGATION.</t>
  </si>
  <si>
    <t>Good Morning #MoLeg aka witch hunters 
Have Any Bags💰 of Anonymous cash 💵 been dropped off at your offices ?
Amazing that your sham investigation never uncovered that important detail in the #greitens report 
You 7 should Resign !   
You Lie 🤥by omission &amp;amp; non efforts https://t.co/RtYfP3DIWr</t>
  </si>
  <si>
    <t>RT @melody_grover: For those of you declaring KS credible, what is the standard? She has never been cross-examined, her testimony never com…</t>
  </si>
  <si>
    <t>@jeffreywbruce @J_Hancock @EricGreitens If he reported it as he claimed to the fbi , remember this cash 100k showed up at his office no note 
Wouldn’t the fbi of seized it ?  Who held this anonymous reported money while it awaited instructions of its purpose from the anonymous source . This is all some fishy 🐟 BS💩</t>
  </si>
  <si>
    <t>It’s raining political operatives,   They are dollar dollar billing  all sorts political  lap &amp;amp; pole dances in this witch hunt strip club</t>
  </si>
  <si>
    <t>This is Just Amazing 
2 Bags💰💰 of anonymous cash 💵💵 100K delivered by courier to Attorney Al Watkins office 
                            W I T C H   H U N T
#moleg #Greitens #MoneyBagsAl  #KimShady #Soros #stl #Missouri #followthemoney https://t.co/69F2z53c1y</t>
  </si>
  <si>
    <t>RT @ksdknews: What we know about Toronto van attack suspect Alek Minassian https://t.co/LfJguoClt2</t>
  </si>
  <si>
    <t>RT @Eric_Schmitt: Our reforms are working for the people! People shouldn’t be treated as ATMs for bloated local governments. #TaxationByCit…</t>
  </si>
  <si>
    <t>@DeplorableGoldn @sigi_hill #metoo  i need to fund my botivism 😂💰
Seriously that’s just AHMAZING to be sitting at work &amp;amp; a courier leaves 2 bags of cash with no explanation 
That’s better than ed McMahon and the publishers clearinghouse check to your door</t>
  </si>
  <si>
    <t>@alexiszotos @KMOV @pieohmystl Naked people with jelly is nowhere near as weird as lawyers having anonymous bags of cash randomly couried to their office</t>
  </si>
  <si>
    <t>Police in St. Louis City are looking for the person who fired shots towards officers in north St. Louis overnight.
🙏🏻Keep our brave LEO in your daily prayers , it’s a dangerous job &amp;amp; great risk they take to keep us safe 
#BlueLivesMatter https://t.co/nAC7CI45pd</t>
  </si>
  <si>
    <t>Just sickening another Homocide 
Sadly, she won’t be the last  🙏🏻 https://t.co/bl5D29TXlA</t>
  </si>
  <si>
    <t>@aaron_hedlund @magathemaga1 115k sounds more appropriate for a shyster:  tape shopping, office interviews with individual media, travel to Jeff city, depositions, court appearances , sidewalk press conferences, estate planning &amp;amp; an ugly purple clown tie🤡</t>
  </si>
  <si>
    <t>@aaron_hedlund @magathemaga1 Lawyers soliciting money , no that’s not a witch hunt ( sarcasm )    This Guy is the poster boy for giving lawyers a bad name</t>
  </si>
  <si>
    <t>RT @aaron_hedlund: This is aging better and better by the minute. ""What I can tell you we have received, in fact actively solicited...as m…</t>
  </si>
  <si>
    <t>@SykesforSenate @magathemaga1 I wonder too! #moleg can’t conduct a proper house committee investigation, make me think they got some bags dropped off too</t>
  </si>
  <si>
    <t>Stl budget has a 10 million deficit.  Many essential services &amp;amp; citizens will suffer from cuts.  How much money has kim Gardner wasted on #greitens witch hunt ?
How many lives could this wasted money of improved?
The lies🤥 by #kimshady &amp;amp;Tisaby cost  
@LydaKrewson  #wepaidforit https://t.co/iXyvNoTDIL</t>
  </si>
  <si>
    <t>@BigJShoota @magathemaga1 Somebody be makin’ It rain 💵 to do all sorts of political lap dancin</t>
  </si>
  <si>
    <t>RT @BigJShoota: Say it ain't so #MoneyBagsAl ..................
#GreitensIndictment  #MoLeg https://t.co/GXEtZs5UkY</t>
  </si>
  <si>
    <t>@aaron_hedlund @magathemaga1 I knew somebody with such a legal skill set wouldn’t handle such a case for just 15K</t>
  </si>
  <si>
    <t>RT @aaron_hedlund: From his own website: "Albert S. Watkins...is, quite candidly, beyond description." I disagree. Let me try: blowhard, gr…</t>
  </si>
  <si>
    <t>RT @TeamGreitens: This is a political hit job.
https://t.co/wxf1SGJCcN</t>
  </si>
  <si>
    <t>RT @EricGreitens: Fantastic weekend in Hickory and Texas counties talking about the conservative reforms we’ve fought for, the results we’v…</t>
  </si>
  <si>
    <t>@EricGreitens Stay strong 💪🏻 @EricGreitens 
Thank You for fighting  the corruption We elected you to fight for</t>
  </si>
  <si>
    <t>Why would the chairman of the house investigative committee ignore this salacious information ? 
Did he get any random bags of cash 💰 💰 couried to his law office too ? 
#Moleg bags of untraceable cash randomly dropped off 
Needs to be investigated https://t.co/711YvKjF5c</t>
  </si>
  <si>
    <t>@sigi_hill 🕵🏻‍♂️How many more of these anonymous bags of cash have been couried to others ?  
This corruption wasn’t just 2 bagged 💰💰 
Witch Hunts are expensive</t>
  </si>
  <si>
    <t>RT @HotPokerPrinces: @RonFRichard 
Stop playing political games with the lives of Missouri voters
We did not elect you to play, we electe…</t>
  </si>
  <si>
    <t>RT @Sticknstones4: @ScottCharton The only bondage going on is  the holding of the passed bills
@RonFRichard is a sadist legislator 
He sh…</t>
  </si>
  <si>
    <t>RT @VisioDeiFromLA: No! Don’t ask Why House didn’t cross examine witness! Ask about Twitter accounts!
Do U think MO is just 100 percent li…</t>
  </si>
  <si>
    <t>@jeffreyjonesmo Hearing Bruce Franks jr taps upset me
He should resign</t>
  </si>
  <si>
    <t>RT @JW1057: @Glic @Beganovic_85 @rxpatrick I setup my account to defend EG against an injustice. I was asked by no one to do so and I have…</t>
  </si>
  <si>
    <t>RT @JW1057: @KMOXKilleen Judge Burlison, it is way past time to dismiss this persecution. Do the right thing and dismiss the case; it is di…</t>
  </si>
  <si>
    <t>RT @JW1057: Good news! St. Louis Taxpayers, it appears you are paying Al Watkins to continue this farce. 
#moleg #mogov #greitens #KimShad…</t>
  </si>
  <si>
    <t>RT @blackwidow07: @JW1057 Let's see if it really happens. This shows Gardner is incompetent and mayor &amp;amp; all should be held accountable. Thi…</t>
  </si>
  <si>
    <t>RT @JW1057: @HawleyMO @clairecmc She could be a backstabber like you Josh.</t>
  </si>
  <si>
    <t>@doc_next @Glic @Beganovic_85 @JW1057 @rxpatrick BFD  I like Trump &amp;amp;  I like Greitens
Deal with it</t>
  </si>
  <si>
    <t>@Glic @Beganovic_85 @JW1057 @rxpatrick #fakenews</t>
  </si>
  <si>
    <t>🚨breaking non news of irrelevancy 
Any reporter that states my account is a paid greitens bot is Fake News 
#fakenews  #proveit  #showmethemoney 
I’m an American ,  I vote , I tweet 
You stupid asses can just send me a dm instead of false speculation! 
#progogandapushers</t>
  </si>
  <si>
    <t>RT @Norasmith1000: @Sticknstones4 Omg, if lying, perjuring, disgraced Tisaby is in fact dealing with issues regarding National Security, we…</t>
  </si>
  <si>
    <t>@doc_next Greitens has not been convicted of a crime therefore
He is not a criminal</t>
  </si>
  <si>
    <t>Will #kimshady even have an office after this ? https://t.co/tLZmi4Fnx4</t>
  </si>
  <si>
    <t>RT @chuckwoolery: Londons Mayor is insane. BAN KNIVES SAVE LIVES? Never ban the hands that hold them. Wait a minute, maybe that's next?</t>
  </si>
  <si>
    <t>RT @CStamper_: Soros-backed prosecutor’s private investigator perjured himself repeatedly &amp;amp; withheld evidence, and created false evidence.…</t>
  </si>
  <si>
    <t>@KMOXKilleen I hope the judge has the cajones to throw this spectacle out .  This case is a disgrace &amp;amp; nothing more than a witch hunt!</t>
  </si>
  <si>
    <t>RT @KMOXKilleen: @Sticknstones4 He can't. (That's just a file photo). He's scheduled to say more at 2:00 today in hearing.</t>
  </si>
  <si>
    <t>RT @LaurenTrager: Quick court hearing for privacy case against Gov. @EricGreitens. Defense wants to depose FBI agent, Tisaby, who says he’s…</t>
  </si>
  <si>
    <t>What about the gag order
Why is Watkins talking 
W I T C H  H U N T 
#moleg #liars #lies #deceit #gagorder #mogov
#greitens #barcomplaint  #mobar 
@EricGreitens stay strong 💪🏻 this is all some shady  BS https://t.co/xx5O5oOHjB</t>
  </si>
  <si>
    <t>@KMOXKilleen Kevin why can al make statements to the press 
What about the gag order</t>
  </si>
  <si>
    <t>@KMOXKilleen @kmoxnews This is ridiculous. Tisaby lied to the fbi there is no national security. Toss this case out and end the witch hunt 
I call BS on al Watkins client</t>
  </si>
  <si>
    <t>National Security my Ass🤥
William Tisaby is a big old Liar 
Talk or take the 5th 
Judge Burlison needs to throw this case out along with #kimshady 
#greitens #witchhunt https://t.co/xx5O5oOHjB</t>
  </si>
  <si>
    <t>RT @TrumpChess: @magathemaga1 @RonFRichard @EricGreitens @Rep_TRichardson @Eric_Schmitt @Hope4Hopeless1 @SKOLBLUE1 @philip_saulter @ohsynes…</t>
  </si>
  <si>
    <t>RT @KMOXKilleen: Attorneys for @EricGreitens threaten to ask for another dismissal of sex scandal case, unless prosecutor makes key witness…</t>
  </si>
  <si>
    <t>@KMOXKilleen @EricGreitens My gosh this whole thing is such a waste of taxpayers money.   This case and #kimshady need to be tossed out</t>
  </si>
  <si>
    <t>RT @Markknight45: @KMOXKilleen @Beatlebaby64 @EricGreitens When are the Feds going to step in here? This is political and they are trying t…</t>
  </si>
  <si>
    <t>@chadhuber @jrosenbaum How can al Watkins represent Tisaby in this when he represents the ex husband ?  Isn’t that a conflict of interest ?</t>
  </si>
  <si>
    <t>RT @jrosenbaum: Greitens attorney Jim Martin said Watkins told him that Tisaby can’t be redeposed til next week because of “national securi…</t>
  </si>
  <si>
    <t>RT @jrosenbaum: The woman’s attorney, Scott Simpson, says an order to turn over phone violates client’s constitutional rights. Greitens att…</t>
  </si>
  <si>
    <t>RT @jrosenbaum: Judge Burlison broached Possibility of having a special master decide what information from the woman’s phone gets released…</t>
  </si>
  <si>
    <t>RT @jrosenbaum: Several issues taken up in @EricGreitens case this morning:
- When Tisaby (investigator who interviewed woman) is getting r…</t>
  </si>
  <si>
    <t>@HennessySTL This was a good  read , thank you. More people need to understand the tax credits</t>
  </si>
  <si>
    <t>The alternative to Governor #Greitens is Mike Parsons. Parsons is a darling of the tax-credit lobby, a slave to huge corporations, a dealer who rarely tells lobbyists “no.” 
the alternative uses public office for personal gain. The alternative epitomizes the swamp.
#mogov https://t.co/qRtRDCwVVT</t>
  </si>
  <si>
    <t>RT @VisioDeiFromLA: @rxpatrick So it's an affair? Thanks for confirming what I have been saying for the last 3 months. A consensual affair.…</t>
  </si>
  <si>
    <t>@TheNewRight @Entercom I enjoy listening to Jamie Allman, period.
There is such a thing as being entertaining &amp;amp; informative at the same time.   #IStandWithJamieAllman</t>
  </si>
  <si>
    <t>RT @rxpatrick: Greitens’ lawyers and prosecutors are in court again this morning. So is the lawyer for the woman with whom Greitens had an…</t>
  </si>
  <si>
    <t>RT @Lautergeist: Inadvertently, @WeAreSinclair @RiverfrontTimes @Entercom @wapo @nytimes @staceynewman @charlesjaco1 will end up financing…</t>
  </si>
  <si>
    <t>RT @magathemaga1: 🚨 Attack on Missouri! 🚨 
@RonFRichard decided he would rather be petty &amp;amp; attack Missouri voters than work with @EricGrei…</t>
  </si>
  <si>
    <t>@ScottCharton The only bondage going on is  the holding of the passed bills
@RonFRichard is a sadist legislator 
He should stop making dominating threats to the people of Missouri  
Free the bills from #moleg sadistic bondage and let them be safely signed into law</t>
  </si>
  <si>
    <t>@J_Hancock They would rather remove him from office than give him due process.  What are they affraid of a not guilty? 
In the meantime who really suffer because of their childish action? Missourians do , 
 sign the bills already 
Play monopoly games elsewhere not at #moleg</t>
  </si>
  <si>
    <t>@JW1057 @EricGreitens @StLouisCityCA @HawleyMO @RonFRichard @Rep_TRichardson If you expect unbiased journalism from the Propoganda Dispatch , bahahhahaha</t>
  </si>
  <si>
    <t>Good Morning #Moleg 
Just wanted to give this medal of courage to Representative Bob Burns
Poor guy is the victim of your bullying 
May he have the courage to stand up to you mean kids and sit at the people’s lunch table 
Good Luck Today Bob , they’re a bunch of meanies https://t.co/vk3jk54N9v</t>
  </si>
  <si>
    <t>RT @Avenge_mypeople: Both cases are crap. Watch the video. https://t.co/ua4l5u6osj</t>
  </si>
  <si>
    <t>RT @Sticknstones4: Take Note📝 @HawleyMO 
Your name on the ballot isn’t a slam dunk 🏀
You lost your base when you threw @EricGreitens unde…</t>
  </si>
  <si>
    <t>The future of the bills should not be held up
They have been passed by house and senate 
This only hurts the people of Missouri in #molegs political games.  Holding bills for signature is spiteful &amp;amp; mediocre work.   You should all resign for mediocrity job performances https://t.co/cLQv9NM0PQ</t>
  </si>
  <si>
    <t>@WhatTheFFacts @Joe_Cool_1 I get it on a regular basis and i love emoji speak</t>
  </si>
  <si>
    <t>RT @HotPokerPrinces: @TheNewRight @RuthsChris @jallman971 @POTUS Jaco said of his post, "It was stupid and tasteless, I decided belatedly.…</t>
  </si>
  <si>
    <t>@RJFerryJr @RonFRichard Fumigate the swamp on election 🗳 day and vote their sorry asses out.  We need people to work for us not play political games.   Sign the damn bills !  Holding bills for signature is mediocre we need overachievers that reach the finish line #moleg</t>
  </si>
  <si>
    <t>RT @HotPokerPrinces: He really, genuinely just wants to get this guy, who decimated his marriage, his circle of friends, and family members…</t>
  </si>
  <si>
    <t>RT @Norasmith1000: @YearOfZero @RoyBluntMO @EricGreitens Exactly right! Roy Blunt respects MO voters, #moleg should do the same. Glad he be…</t>
  </si>
  <si>
    <t>RT @TomJEstes: @EnglishTeach75 @MomsDemand Trying to make sure every Missourian has the gun rights afforded them by the Constitution. This…</t>
  </si>
  <si>
    <t>RT @RealCandaceO: Out of curiousity... are you still pretending to be black? https://t.co/sZa04UHRUa</t>
  </si>
  <si>
    <t>RT @LisaMei62: Sure looks like @kanyewest's chains have been broken &amp;amp; he is trying to wake others up. Praying for his safety. https://t.co/…</t>
  </si>
  <si>
    <t>RT @neontaster: If you had "Kanye West gets redpilled" in your 2018 predictions bingo card, congratulations. https://t.co/EmYEPhLkTT</t>
  </si>
  <si>
    <t>RT @KurtSchlichter: I'm listening... https://t.co/ZlUFBVFztA</t>
  </si>
  <si>
    <t>RT @Sticknstones4: Good evening #Moleg 
We have a Problem in our state 
Is this what you want Missouri to be known for ?
Highest Rate of…</t>
  </si>
  <si>
    <t>RT @Str8DonLemon: Sounds like something an establishment supremacist WOULD SAY
😉
#moleg #mogov https://t.co/ZZ0iVyek1G</t>
  </si>
  <si>
    <t>RT @Str8DonLemon: Hey @TwitterSupport 
Yet again I'm shadow banned. I don't know what I did but I'm tired of getting shadow banned simply…</t>
  </si>
  <si>
    <t>RT @Str8DonLemon: Do it! https://t.co/lD2dsIvWfc</t>
  </si>
  <si>
    <t>#WordsToLiveBy  #WordsOfWisdom 
#motovationalmonday 
#ThoughtOfTheDay https://t.co/kbqVT51FyP</t>
  </si>
  <si>
    <t>RT @Lautergeist: And conservatives just moved on, because 1)#1A and 2)we have jobs 
That don't allow us time for manufactured outrage
#Pok…</t>
  </si>
  <si>
    <t>I just took a big jaco💩 and flushed 🚽 it
#IStandWithJamieAllman</t>
  </si>
  <si>
    <t>RT @Yankeeslayers: https://t.co/tE6yGqzyR3</t>
  </si>
  <si>
    <t>@CStamper_ When it’s a scene out of a movie it’s entertainment &amp;amp; funny
( bad boys ) no left wing out cry  
But when it’s renacted in real life, nah it couldn’t be a joke
The left wingers are such hypocrites https://t.co/pQ3HOPxXvA</t>
  </si>
  <si>
    <t>@FOX2now Stop vote shaming people it’s America with choices not a communist country</t>
  </si>
  <si>
    <t>RT @FOX2now: Shooting shocks hotel guests in Maryland Heights https://t.co/dlSDhYaHlb https://t.co/q3sdE1flWg</t>
  </si>
  <si>
    <t>@ksdknews Stop vote shaming people it’s America we have choices</t>
  </si>
  <si>
    <t>This is America not a communist country 
I voted for Trump and I make no apologies 
Stop the vote-shaming https://t.co/h4obqFj24w</t>
  </si>
  <si>
    <t>Tales of the thug train
Conclusion don’t ride that thing  #stl https://t.co/L762Bs7oxO</t>
  </si>
  <si>
    <t>RT @Avenge_mypeople: @TheNewRight @RuthsChris @jallman971 @POTUS Looks like some first class hypocricy. Drop @jallman971 but keep supportin…</t>
  </si>
  <si>
    <t>@jallman971 @TheNewRight @juliematthews50 @RuthsChris @POTUS Jamie Allman is none of the things they have called him, nor am I or his loyal fans.  Advertisers made their choices, but consumers ( like me ) make theirs.   Steak house competition in stl is strong just like all the Channel’s on my radio/tv  just click along when you don’t like</t>
  </si>
  <si>
    <t>@jallman971 @TheNewRight @juliematthews50 @RuthsChris @POTUS When i watch a movie that had the hot poker reference scene  I’m being entertained, but when i read my dear radio/tv host reference the hot poker scene in a tweet 
I’m now reading violent, sadistic, pedophile material 
Because THEY say so ..?</t>
  </si>
  <si>
    <t>@TheNewRight @jallman971 @juliematthews50 @RuthsChris @POTUS This is an insult to dogs they are loving &amp;amp; loyal creatures</t>
  </si>
  <si>
    <t>@jallman971 @TheNewRight @juliematthews50 @RuthsChris @POTUS The issue is theyre not the fcc to decide what’s real or funny, they’re bullies &amp;amp; hypocrites. They could have simply blocked jamie on twitter if they dubbed him offensive by their standards.  Why are they stalking Jamie’s twitter?  One must electively take an action to see tweets</t>
  </si>
  <si>
    <t>@VisioDeiFromLA @chucktodd This is stupid.  Ivanka converted to Judaism &amp;amp; is A practicing Jew.  Her children are raised Jewish &amp;amp; have a Jewish Father.  President Trump and Prime Minister of Israel Benjamin Netanyahu are friends/allies.  I fail to see the anti Semitic connection.  #fakehate #kidsaredumb</t>
  </si>
  <si>
    <t>@PrivateJetLife7 @FLGovScott  @BetsyDeVosED  @SunSentinel @wsvn @wplg @MiamiHerald
This lady needs some HELP please from Broward schools
This is how taxpaying parents are treated by Robert runcie
That attempt to communicate &amp;amp; refuses on every level</t>
  </si>
  <si>
    <t>@TheNewRight @RuthsChris @jallman971 @POTUS https://t.co/6kkiGLWxg3</t>
  </si>
  <si>
    <t>RT @melody_grover: @JaneDueker overworking herself peddling conspiracies. What she calls dark money I call donor privacy &amp;amp; 1st amendment. N…</t>
  </si>
  <si>
    <t>RT @TheNewRight: But before @jallman971 offended every soy-chugging lefty worldwide, before @MariaChappelleN let loose that Mensa-level res…</t>
  </si>
  <si>
    <t>RT @TheNewRight: January 2, 2017.
Charles Jaco, ladies and gentleman.
Curious - does anyone remember this? https://t.co/kzwqnrevRO</t>
  </si>
  <si>
    <t>RT @TheNewRight: Yep - our own beloved Chuck Jaco, back before he was donning that Sandinista Tablecloth head scarf, still drowning in the…</t>
  </si>
  <si>
    <t>RT @TheNewRight: You gotta wonder, though, if @RuthsChris knew who exactly they were taking their advice from re: the "cretin" @jallman971,…</t>
  </si>
  <si>
    <t>@TheNewRight @RuthsChris @jallman971 @POTUS I will no longer eat @RuthsChris because of their stance over the hot poker tweet.  I even unsubscribed my name from their emails. 👋🏻</t>
  </si>
  <si>
    <t>RT @juliematthews50: @TheNewRight @stltoday @bellevillenewsd Kinda like folks just shrugged it off ..they just knew they weren't serious.…</t>
  </si>
  <si>
    <t>RT @juliematthews50: This is a delicious find, dear @TheNewRight. Your skills are truly magnificent. 
Surely our dear friend @jallman971 kn…</t>
  </si>
  <si>
    <t>RT @TheNewRight: Let's talk about a local ignoramus. 
Any guesses before we begin? https://t.co/oeDI6vIDKW</t>
  </si>
  <si>
    <t>@KMOV It’s America why does anybody need to apologize for who they voted for 🗳</t>
  </si>
  <si>
    <t>RT @Speedy62269: Break it down more by the neighborhoods these murders happen coupled with the pedigree (if known) of killer.  I like stats…</t>
  </si>
  <si>
    <t>RT @ksdknews: Waffle House suspect Travis Reinking deemed himself a 'sovereign citizen,' part of anti-government group https://t.co/DuGFHKG…</t>
  </si>
  <si>
    <t>RT @CStamper_: In what sort of world does a person need to apologizing for saying they might have voted for the President of the United Sta…</t>
  </si>
  <si>
    <t>RT @Sticknstones4: @VisioDeiFromLA The Bullies of Moleg don’t get to pick &amp;amp; choose who sits at their cool kids lunch table, the voters do🗳…</t>
  </si>
  <si>
    <t>@supportelijah @MOHouseGOP https://t.co/Ni9tYw6RNF</t>
  </si>
  <si>
    <t>@RogerM421 When it comes to taking out greitens no laws apply 
They are on a witch hunt</t>
  </si>
  <si>
    <t>RT @VisioDeiFromLA: It’s not a witch hunt
It’s not a witch hunt
It’s not a witch hunt
It’s not a witch hunt
It’s not a witch hunt
It’s not…</t>
  </si>
  <si>
    <t>@juliematthews50 @TheNewRight There’s nothing pic nic about that guy , he’s the ninja of negativity</t>
  </si>
  <si>
    <t>RT @JW1057: @HotPokerPrinces @melody_grover @MoRepEvans @JaneDueker TMC admits giving EG donor list. TMC claims they made "clear" it was no…</t>
  </si>
  <si>
    <t>@juliematthews50 @TheNewRight It’s a tablecloth doo rag Ninja</t>
  </si>
  <si>
    <t>RT @somethingldsay: The black homicide rate in #Missouri is 46 per 100,000, the white homicide rate is 3 per 100,000 &amp;amp; @MayorSlyJames think…</t>
  </si>
  <si>
    <t>@JW1057 @HawleyMO @EricGreitens @StLouisCityCA Latters Baby</t>
  </si>
  <si>
    <t>RT @DeplorableGoldn: Kanye, please stay safe and know that we have your back! https://t.co/G4LprWG4EU</t>
  </si>
  <si>
    <t>@markmeyer11 @Lautergeist @staceynewman @jallman971 @Entercom @WeAreSinclair @RiverfrontTimes Who wants to read her toxic ass bs anyways
She negative Nancy</t>
  </si>
  <si>
    <t>RT @Monetti4Senate: Monetti at Lincoln Days for eight counties in three days https://t.co/T0K7Tx9H3m https://t.co/sHJYZ3lnZ9</t>
  </si>
  <si>
    <t>@JW1057 Good thing kity cats 🐱 have 9 lives 🙀</t>
  </si>
  <si>
    <t>RT @JW1057: KS testified in deposition she was nude on FaceTime with EG. KS testified to House she never allowed nudes of her. KS went so f…</t>
  </si>
  <si>
    <t>@RoyBlunt @clairecmc @LacyClayMO1 @RepAnnWagner 
Please Co sponsor this hr154  &amp;amp; S.2127 https://t.co/GU8Pni3OXN</t>
  </si>
  <si>
    <t>@HennessySTL i wish Schaaf would be more concerned with public safety, these clipboard people are lurking in every parking lot like carjackers they scare me</t>
  </si>
  <si>
    <t>RT @HennessySTL: How Senator Schaff’s “Clean Missouri” Plan Will Deliver the Legislature to Democrats https://t.co/RCOD1yrimY https://t.co/…</t>
  </si>
  <si>
    <t>@Avenge_mypeople @Tuazonison @RealTravisCook Wonder why the psycho picked Antioch ?  Same location as the church shooting last year</t>
  </si>
  <si>
    <t>RT @FOX2now: One person killed, 2 injured in Berkeley shooting https://t.co/cg79n8x2ZC https://t.co/pK0VcPt2QS</t>
  </si>
  <si>
    <t>RT @Avenge_mypeople: Did Stacy Newman violate this law while going after @jallman971 ? Voters need to understand that abuse of official cap…</t>
  </si>
  <si>
    <t>@Avenge_mypeople Looks &amp;amp; sounds delish, enjoy 😊</t>
  </si>
  <si>
    <t>@MOLegDems @GailBeatty Hey y’all have bigger issues than who said what with who 
https://t.co/0DoBZmsVx2</t>
  </si>
  <si>
    <t>Good evening #Moleg 
We have a Problem in our state 
Is this what you want Missouri to be known for ?
Highest Rate of Black Homocide Victims in the country 
Stop playing your stupid poltical games &amp;amp; address this
It hinders  ALL of us 
#stl #KansasCity #republicans #democrats https://t.co/HsplE9lMu7</t>
  </si>
  <si>
    <t>Words to live by 
#truth #realtalk #WordsOfWisdom #preach https://t.co/WHtZIzLi1J</t>
  </si>
  <si>
    <t>@RealTravisCook We need some common sense if your gene pool is spitting out some 🦇 bat 💩 f—ink crazy , straight jacket your kids and lock em in a basement.  Just read Illinois revoked kids gun permit.</t>
  </si>
  <si>
    <t>@PaidRussianBot  you’re really cute for a bot
Thanks for the follow</t>
  </si>
  <si>
    <t>RT @RealTravisCook: Turns out the #Antioch shooter had been arrested and released by #SecretService.  Sorry, Libs, he wasn't one of ours!…</t>
  </si>
  <si>
    <t>@RealTravisCook Bets his dad feels pretty dumb now.  Like wtf - if the secret service takes guns away from your f’d up kid, giving them back is never a good idea —parenting 101</t>
  </si>
  <si>
    <t>@Avenge_mypeople Where’s our invite Bots get hungry too ya know</t>
  </si>
  <si>
    <t>@Lautergeist Never hold back that’s like holding in a fart 💨</t>
  </si>
  <si>
    <t>@Lautergeist @JenEnnenbach @stlcao @EricGreitens It’s cool 😎 MommaK bot is what they call you when their position is weak and then they cowardly block you 
Moving along she’s a nobody in my Twittersphere 
She just hates the governor regardless</t>
  </si>
  <si>
    <t>RT @ohsynesthesia: @VisioDeiFromLA @JenEnnenbach @Sticknstones4 @EricGreitens @MissouriGOP @SKOLBLUE1 @Avenge_mypeople @MOHouseGOP @Hope4Ho…</t>
  </si>
  <si>
    <t>@Hope4Hopeless1 @JenEnnenbach I’m confused 🤷🏼‍♀️ what did Jen do what’s her substance of deep</t>
  </si>
  <si>
    <t>RT @Vets4AP: Quit playing games and do what you were elected to do #MOleg Lead, Follow, or get out of the way! https://t.co/bOyJKms7pN</t>
  </si>
  <si>
    <t>RT @melody_grover: The facts: #mogov built PERSONAL relationships with ppl he convinced to donate to an award-winning charity HE FOUNDED &amp;amp;…</t>
  </si>
  <si>
    <t>@melody_grover @HawleyMO @JaneDueker 👌🏻 perfectly stated melody</t>
  </si>
  <si>
    <t>This sums up the 2nd stupid last minute down to the wire 
Bs Charge against greitens https://t.co/VxPF1st7vN</t>
  </si>
  <si>
    <t>RT @FOX2now: At least one dead in Berkeley shooting https://t.co/bfGP3eQzFC</t>
  </si>
  <si>
    <t>Sadly Another Homocide 
#stl #missouri https://t.co/7l04Vm1MH8</t>
  </si>
  <si>
    <t>Why he do that?   Who does it really hurt ?
The people of Missouri 
Missouri Your elected #moleg spites it’s voters in political games 
@RonFRichard https://t.co/cLQv9NM0PQ</t>
  </si>
  <si>
    <t>RT @magathemaga1: @Jay_Nelson2020 Of course he would.
He hates #Missouri 
@Rep_TRichardson 
@Eric_Schmitt 
@elijahhaahr 
@MissouriGOP 
@M…</t>
  </si>
  <si>
    <t>@JenEnnenbach @EricGreitens Its not my job to educate you on the daily workings of our Governor.  Clearly youre confusing him with Moleg and their stall to have bills signed</t>
  </si>
  <si>
    <t>@magathemaga1 @RonFRichard @EricGreitens @Rep_TRichardson @Eric_Schmitt @MOHouseGOP @JohnLamping @MissouriGOP @Lautergeist @SKOLBLUE1 @elijahhaahr @RightSideUp313 @MSTLGA @ronfrichard is hoarding passed bills from governors signature📜  stop 🛑 playing political games and get them signed ✍🏻</t>
  </si>
  <si>
    <t>RT @RealCandaceO: I’m freaking out. @kanyewest ....please take a meeting with me. I tell every single person that everything that I have be…</t>
  </si>
  <si>
    <t>@VisioDeiFromLA The Bullies of Moleg don’t get to pick &amp;amp; choose who sits at their cool kids lunch table, the voters do🗳
Bob Burns did not commit a crime, he should tell them all where to go 🔥🔥🔥😈
#hypocrites  ask Bruce Franks Jr   Maria chapelle-Nadal &amp;amp; Jamilah Nasheed  to Resign along !</t>
  </si>
  <si>
    <t>RT @VisioDeiFromLA: Good morning. I agree hate speech is bad. So, are we also going to ask Bruce Franks JR to resign for his hateful langua…</t>
  </si>
  <si>
    <t>@Vets4AP @Avenge_mypeople @HawleyMO @EricGreitens @Monetti4Senate @SykesforSenate @AP4Liberty Seems like josh just isn’t showing much in the show me state</t>
  </si>
  <si>
    <t>RT @EdBigCon: Dirty Soros-Backed St. Louis Circuit Attorney Withheld Major Evidence in Governor Greitens' Case - Must Resign Immediately ht…</t>
  </si>
  <si>
    <t>@EdBigCon @Str8DonLemon @NancyPeelosi @MaxinePWaters @SKOLBLUE1 @AP4Liberty @Avenge_mypeople @FN4AP @philip_saulter @Hope4Hopeless1 @rolypolyistaken @PimpBillClinton Bills pissed everybody hogged melania</t>
  </si>
  <si>
    <t>@RealTravisCook Memba the good ole days when one could party , binge drink &amp;amp; carbo load the lining of their stomach before they go home and sleep into the next sunset.</t>
  </si>
  <si>
    <t>RT @RealTravisCook: Here's a hint: If, during your disaster, you have naked people running into #WaffleHouse at 3:00 AM, then the existence…</t>
  </si>
  <si>
    <t>RT @Speedy62269: Build the WALL! https://t.co/ZrTg2QhZ8t</t>
  </si>
  <si>
    <t>@Str8DonLemon @NancyPeelosi @MaxinePWaters @SKOLBLUE1 @AP4Liberty @Avenge_mypeople @FN4AP @philip_saulter @Hope4Hopeless1 @EdBigCon @rolypolyistaken If they can fake it , so can we https://t.co/fVH5Beulcz</t>
  </si>
  <si>
    <t>@Str8DonLemon @NancyPeelosi @MaxinePWaters @SKOLBLUE1 @AP4Liberty @Avenge_mypeople @FN4AP @philip_saulter @Hope4Hopeless1 @EdBigCon @rolypolyistaken SDL youre hillarious</t>
  </si>
  <si>
    <t>@gritshappen @tariqnasheed I think these shooters were lone wolfs with different agendas not in gangs ,   Just weird that the area was their target</t>
  </si>
  <si>
    <t>RT @JW1057: @HawleyMO is competing with William Tisaby to see who is more incompetent than Inspector Clouseau. https://t.co/1e4uWDD90V</t>
  </si>
  <si>
    <t>@JW1057 @HawleyMO  https://t.co/lrFGhHghJf</t>
  </si>
  <si>
    <t>@gritshappen @tariqnasheed Sounds like St. Louis😂 , what kind of gang activity , just crazy that area has had 2 shootings , 1 at a church &amp;amp; the other at a Waffle House.</t>
  </si>
  <si>
    <t>RT @JW1057: @missioncontinue "secret donor" lists 2014 and 2015.
https://t.co/iDmpYIww1z
https://t.co/aK2jCEFfSn
@CStamper_ @Joe_Cool_1…</t>
  </si>
  <si>
    <t>@JW1057 @missioncontinue @CStamper_ @Joe_Cool_1 @VisioDeiFromLA @MarkReardonKMOX Doesn’t seem very secret does it</t>
  </si>
  <si>
    <t>RT @JW1057: https://t.co/4AAM3Fqhom
Friendly reminder on the importance of cross-examination. 
@jaybarnes5 @jeanielauer @gcmitts @TommieP…</t>
  </si>
  <si>
    <t>@gritshappen @tariqnasheed Must be serving up all sorts of toxic hate n crazy in their water</t>
  </si>
  <si>
    <t>@KMOV  https://t.co/rjPizwVA0b</t>
  </si>
  <si>
    <t>Fraternities typically operate with self governance by students.  They’re  set up that way to remove other parties from liabilities.   Universities, chapter trustees &amp;amp; national organizations needs to govern over them. https://t.co/klhg9N4WMa</t>
  </si>
  <si>
    <t>RT @KMOV: MISSING: Breckenridge Hills police seek help finding 8-year-old last seen Saturday https://t.co/PNin9JzkGC https://t.co/C8NReimrEr</t>
  </si>
  <si>
    <t>@tariqnasheed Same area right? 
https://t.co/NbXoAvRjeP</t>
  </si>
  <si>
    <t>@SuchHate Who wants to invite Debbie downers</t>
  </si>
  <si>
    <t>"Bob Burns has never said anything racial to me. Who the hell do they think they are?" Romanik said. "This is America, but these liberal bastards have forgotten that.
They’re the mean kids of #moleg bullying somebody away from sitting at their lunch table 
#hypocrites #bullying https://t.co/FJJn2Kv4tU</t>
  </si>
  <si>
    <t>@PHMcConnell @LydaKrewson @MOHouseDems @BobRomanik Bob burn didn’t say anything, they already tried this move on an alderman back in 2016
Ask Bruce Franks to Resign , he’s lyrics on the radio are by far worse than romaniks rants
https://t.co/UoaheiLIZR</t>
  </si>
  <si>
    <t>@SuchHate He didn’t say anything, he went on the show patched in call right after romanik ranted.    Bruce franks music is much worse than romanik.   Moleg is trying to do the al Franken move.  Burns shouldn’t cower to the bullies !</t>
  </si>
  <si>
    <t>RT @magathemaga1: Asking that @brucefranksjr resign his position for grotesque comments about dismembering bodies &amp;amp; anti police behavior.…</t>
  </si>
  <si>
    <t>RT @JW1057: Who is more sanctimonious (i.e. a bigger jackass)? 
@EdBigCon @Sticknstones4 @CStamper_ @Joe_Cool_1 @HawleyMO @JamesComeyFBI @…</t>
  </si>
  <si>
    <t>Take Note📝 @HawleyMO 
Your name on the ballot isn’t a slam dunk 🏀
You lost your base when you threw @EricGreitens under the bus 🚎 
Anyone that does not support Due Process shouldn’t be in office
@Monetti4Senate @SykesforSenate @AP4Liberty 
All viable candidates #MoSen https://t.co/I08ccu7ECO</t>
  </si>
  <si>
    <t>@SuchHate Funny how this is the same guy a real jackoff that acused Jamie allmans tweet of being an assault</t>
  </si>
  <si>
    <t>@jones_mahoney @CStamper_ There trying the Al Franken play where their sacrifice one of their own 😂.  Moleg is a bunch of bullies 
https://t.co/tNYF6pPyNO</t>
  </si>
  <si>
    <t>RT @CStamper_: He’s popular everywhere except blue territory and RINO country. Real conservatives aren’t buying what a Soros-backed prosecu…</t>
  </si>
  <si>
    <t>RT @CStamper_: For the Spirit of God does not make us timid, but gives us power, love and self-discipline. (2 Timothy 1:7)</t>
  </si>
  <si>
    <t>@FOX2now Thankful for @RoyBlunt voice of common sense</t>
  </si>
  <si>
    <t>@FOX2now Dems are grandstanding again.  This move was already tried on a Stl Alderman in 2016.  Ask Bruce Franks Jr to Resign too, his lyrics are worse than Romanik’s on air rants.  
The mean kids at #moleg want to bully another from their lunch table 
https://t.co/CyBTXI6cvZ</t>
  </si>
  <si>
    <t>@ScottCharton @tvisgreat @EricGreitens https://t.co/B3Z3jSTnEI</t>
  </si>
  <si>
    <t>@MelanieCurrent @EricGreitens Agree with you my town St. Louis has become areal shithole of crime&amp;amp;  left wing liberals.  the swamp reference refers to both parties within the capital.  Both parties are benefiting from tax credits &amp;amp; lobbyist benefits.</t>
  </si>
  <si>
    <t>RT @Str8DonLemon: @SuchHate @HotPokerPrinces @GailBeatty Yup.
#MoLeg dems need to ask him to step down
Where are you @clairecmc ?
Where…</t>
  </si>
  <si>
    <t>RT @Str8DonLemon: I agree.
But I would also like to know why @brucefranksjr still job at #MoLeg given past comments about police. And also…</t>
  </si>
  <si>
    <t>@scottfaughn Dude you had your due process 
Let greitens have his 
People that drive drunk don’t care about other innocent others 
People that get charged with 4 felonies for stealing &amp;amp; forgery really shouldn’t be commenting</t>
  </si>
  <si>
    <t>@KMOV Kids nowadays are so mean</t>
  </si>
  <si>
    <t>RT @JW1057: @Sticknstones4 @EricGreitens @EricGreitens is a great and honorable man. MO is lucky to have a Governor who is willing to stand…</t>
  </si>
  <si>
    <t>@KurtEricksonPD @EricGreitens Missourians know it’s a witch hunt , they support @EricGreitens  Due Process</t>
  </si>
  <si>
    <t>Missourians know it’s a witch hunt
They love the governor @EricGreitens 
#moleg #noresign #teamgreitens #greitens https://t.co/q8juyCLaiC</t>
  </si>
  <si>
    <t>@JW1057 @Monetti4Senate @HawleyMO He can’t handle AG office in Mo, he won’t be able to handle a senate hearing in Washington,  No Thanks  we need people fixing DC not making it status quo or worse</t>
  </si>
  <si>
    <t>RT @YearOfZero: @Bobdistrict93 called into a radio show of a guy who is a pos? But did he say anything bad? Need confirmation. 
If he goes…</t>
  </si>
  <si>
    <t>RT @cturtle31: @Sticknstones4 The St. Louis Democrats are going to fix the crime problems: Step 1 was to get rid of the Confederate monumen…</t>
  </si>
  <si>
    <t>@christoferguson @stltoday Bruce Franks jr should resign too 
Oops lyrics are racist, violent &amp;amp; anti police 
Worse than shock jock Romaniks on air rants 
Take one Take all</t>
  </si>
  <si>
    <t>@curtisformo @clairecmc @s_webber Bob burns hasn’t done anything wrong @MOLegDems 
Is bullying him out
Call Bruce Franks Jr to resign
Call senator Jamilah Nasheed to Resign 
Call  senator Maria Chapelle Nadal to Resign 
Take one take all , cant pick n choose</t>
  </si>
  <si>
    <t>@nicolergalloway Bruce franks Jr
jamilah Nasheed
Should resign too</t>
  </si>
  <si>
    <t>@MOLegDems @GailBeatty Don’t leave out @senatornasheed in the resignation party 
She be dropping F’Bombs
Resign Jamilah Nasheed https://t.co/N82i8DVEJ4</t>
  </si>
  <si>
    <t>@MOLegDems @GailBeatty Resign Bruce Franks Jr  
https://t.co/9kQAmITZqL</t>
  </si>
  <si>
    <t>@sigi_hill @Str8DonLemon @GailBeatty @clairecmc @ws_missouri @EdBigCon @philip_saulter @MOHouseGOP @Rep_TRichardson @JackSuntrup @strmsptr @FBI @SecretService https://t.co/9kQAmITZqL</t>
  </si>
  <si>
    <t>RT @YearOfZero: As a LEO myself, would like to know why @brucefranksjr still job at #MoLeg given past comments about police.
I see U R dem…</t>
  </si>
  <si>
    <t>RT @sigi_hill: @cjillian0709 When innocent girls &amp;amp; women are raped justice must be done.When a hussy hairdresser sleeps w/high-profile poli…</t>
  </si>
  <si>
    <t>RT @sigi_hill: @cjillian0709 Scam of an indictment https://t.co/dl8wFHoAk8 
What kind of sham-attorney agrees with PROSECUTORIAL MALFEASANC…</t>
  </si>
  <si>
    <t>@Str8DonLemon @WegeSusanne @VisioDeiFromLA @GailBeatty @clairecmc @ws_missouri @EdBigCon @philip_saulter @MOHouseGOP @Rep_TRichardson @JackSuntrup @strmsptr Bruce Franks Jr rap speech lyrics are appalling and hateful 
AGREE , He should RESIGN Too
TAKE ONE TAKE ALL !</t>
  </si>
  <si>
    <t>@blackwidow07 @clairecmc @EricGreitens @AGJoshHawley I don’t listen to romanik,  i heard a tape, that is edited 
&amp;amp; a call in .. burns does not say anything derogatory 
It’s suspicious because clearly burns is not agreeing to romaniks previous statement</t>
  </si>
  <si>
    <t>@blackwidow07 @clairecmc @EricGreitens @AGJoshHawley The witch hunt is sacfricing a new lamb today 
Moleg is a bunch of bullies they pick n chose who sits at the lunch table</t>
  </si>
  <si>
    <t>RT @blackwidow07: @clairecmc did Rep. Bob Burns work for you? Where is the chair of the Black Caucus Allen Green? @EricGreitens you want to…</t>
  </si>
  <si>
    <t>RT @Str8DonLemon: I'm calling on Bruce Frank's Jr 2 resign position immediately from #MoLeg @GailBeatty
"...Franks rapped about shooting &amp;amp;…</t>
  </si>
  <si>
    <t>RT @Str8DonLemon: Hi @GailBeatty 
I'm asking you &amp;amp; @clairecmc ask that Rep Bruce Frank's Jr step down for his past comments about the poli…</t>
  </si>
  <si>
    <t>RT @Str8DonLemon: I'm calling on Bruce Frank's Jr 2 resign his position immediately from #MoLeg 
"In series of videos, some as recent as 2…</t>
  </si>
  <si>
    <t>@ws_missouri What a bunch of BS , the witch hunt continues 🔥🔥🔥
@MOLegDems are a bunch of bullies,  mean kids club, they pick n choose who’s  IN &amp;amp; who’s OUT 
Nobody ever asked Bruce Franks jr to resign, he’s been arrested, raps with vile words as Romanik &amp;amp; fists up in session  #hypocrites</t>
  </si>
  <si>
    <t>RT @mkwntrs: @AP4Liberty @HawleyMO Hawley is to busy trying to screw over our governor @EricGreitens without due process to worry about us…</t>
  </si>
  <si>
    <t>RT @AnthonyBauman5: @AP4Liberty @HawleyMO He is to busy trying to ruin Grietens. He will ruin himself in the process. Get those Votes AP.</t>
  </si>
  <si>
    <t>RT @tkinder: RT @TeamGreitens: Your source lied. That's nothing new for #fakenews. Here's a "source" you can see: https://t.co/7MGYWevxM1 h…</t>
  </si>
  <si>
    <t>RT @tkinder: RT @Monetti4Senate: It is no coincidence that Josh @HawleyMO called for Greitens to step down,
and then accused him of a felon…</t>
  </si>
  <si>
    <t>RT @tkinder: RT @Monetti4Senate: Josh @HawleyMO should keep his pledge not to become a ladder-climbing politician, he should not be running…</t>
  </si>
  <si>
    <t>RT @tkinder: RT @EricGreitens: Circuit Attorney Kim Gardner hid a video that she knew directly contradicted allegations in the House report…</t>
  </si>
  <si>
    <t>RT @philip_saulter: @TeamHawley @HawleyMO I am all for you kicking Claire's butt, but continuing to call for Greiten's resignation is going…</t>
  </si>
  <si>
    <t>RT @fivenickel: #MAGA https://t.co/7Eqt10BrDk</t>
  </si>
  <si>
    <t>@MOLegDems @GailBeatty What about Due Process ?  Why are you so affraid to wait 3 weeks to give him his day in court?  What if he’s found Not Guilty?</t>
  </si>
  <si>
    <t>@JenEnnenbach Senator Blunt is no Fool, he just backed Due Process 
Now #moleg should find their lost  cajones ⚽️⚾️🎾🏀🏐
And follow suit  #greitens 
https://t.co/MiPkUboz8W</t>
  </si>
  <si>
    <t>@jallman971  i watched your video.  The flag was beautiful 🇺🇸Your lava lamp is cool , but that wall of Emmys was even cooler 🏆   #istandwithjamieallman</t>
  </si>
  <si>
    <t>@TheNewRight @Beatlebaby64 Hume if red hot pokers are erotica , when’s the protest at forshaws to stop hot poker sales 😂
Gives a whole new meaning to poke a log huh</t>
  </si>
  <si>
    <t>@TheNewRight @Beatlebaby64 these people must really loose their shit come Halloween with all the Devils and their pitchforks running loose</t>
  </si>
  <si>
    <t>@RealTravisCook I’m going old school sugar hill gang rappers delight</t>
  </si>
  <si>
    <t>@chrisregniertv #Moleg should grow some cajones ⚽️🏀🎾⚾️🏈
And Follow in Senator Roy Blunts example 
Instead of bullying their colleagues 
#greitens</t>
  </si>
  <si>
    <t>RT @magathemaga1: @chrisregniertv Thanks @RoyBlunt let it play out</t>
  </si>
  <si>
    <t>@Joe_Cool_1 Do it everyday , it’s a lifestyle</t>
  </si>
  <si>
    <t>@RealTravisCook @CStamper_ @RoyBlunt Today @RoyBlunt is my hero 💋🙏🏻</t>
  </si>
  <si>
    <t>@Norasmith1000 Homicide season is coming, followed by protest season , followed by boycott season , followed by shut it down season and than we get a deep freeze that really should  shut it all down but thugs still be killing</t>
  </si>
  <si>
    <t>@CStamper_ I have faith 🙏🏻 @royblunt  just restored it</t>
  </si>
  <si>
    <t>RT @CStamper_: Good to see a Republican who actually believes in the importance of the legal process. Too many are quick to join Claire McC…</t>
  </si>
  <si>
    <t>@JenEnnenbach Jen, in your words That's not my job,  thought u wanted me to move along ?</t>
  </si>
  <si>
    <t>@chrisregniertv @RoyBlunt  THANK YOU SIR !  Finally some common sense</t>
  </si>
  <si>
    <t>RT @chrisregniertv: Senator Roy Blunt tells Fox 2 he is not calling for Gov. Greitens to resign in wake of new charge against him. Rather,…</t>
  </si>
  <si>
    <t>@JenEnnenbach We’ll just agree to disagree, i think greitens is doing a great job draining the swamp.  He intimidates the hell out of #moleg who’s terrified of losing their cash pockets.   Rogue prosecutors have no business in US justice.  I’ll let Due Process occur &amp;amp; glad he’s not resigning</t>
  </si>
  <si>
    <t>@1Romans58 @YearOfZero He’s coming to St. Louis , no thanks 
https://t.co/KNnHhFDTqf</t>
  </si>
  <si>
    <t>RT @1Romans58: HAHAHAHA!!!!  Already in the bargain bin!  
Comey’s Book Tossed into Bookstore Bargain Bins https://t.co/WPFu9ORLyJ</t>
  </si>
  <si>
    <t>@JenEnnenbach Glad i make you laugh, laughter is the best medicine 
Show me the evidence that he’s guilty , cause everything i see is a witch hunt.   The house report is BS</t>
  </si>
  <si>
    <t>The Witch Hunt Continues 
The St Louis temperatures Rise and so does
The Homocide Rate 
#kimshady doesn’t care about making St. Louis safer 
It’s all about politics 
Josh Hawley didn’t care about making Missouri Safer
Its all about politics 
#greitens derserves Due Process https://t.co/n7Ugz45JAM</t>
  </si>
  <si>
    <t>@Lautergeist @GatewayMSP @tompetty i heard won’t back down &amp;amp; made me think theme song for greitens &amp;amp; allman</t>
  </si>
  <si>
    <t>@JenEnnenbach I’m not a bot , I’m a #teamgretins supporter 
He’s entitled to due process on these 2 BS cases 
Every American is!</t>
  </si>
  <si>
    <t>RT @EdBigCon: @KurtEricksonPD @EricGreitens We all deserve due process or we become Russia. #moleg #KimShady</t>
  </si>
  <si>
    <t>RT @GayRepublicSwag: Retweet if you're a Republican and you don't hate gay people. Let's shock the Democrats with our numbers.</t>
  </si>
  <si>
    <t>@SKOLBLUE1 @TrumpChess @Avenge_mypeople Her shady mistakes  &amp;amp; not practicing law within the guidelines will cost the taxpayers.  The defense can have their fees reimbursed for having to re depose witnesses because of the prosecutions evidence tampering.   She’s not out to make the city safer, it’s about politics !</t>
  </si>
  <si>
    <t>RT @SKOLBLUE1: @Avenge_mypeople Don't forget the judge also said because of Kim Gardners failure to provide evidence that her office may ne…</t>
  </si>
  <si>
    <t>@FoxNews I love this diamond tiaras &amp;amp; a golden pimp cup
Happy Birthday</t>
  </si>
  <si>
    <t>@Lautergeist That’s a scent that needs to linger all damn day 😜</t>
  </si>
  <si>
    <t>@dsm012 IF Hawleys name is on the ballot , I’ll write In !
Hawley is a RINO Swamp Creature that can hardly handle his AG job, He’s got no business going to DC</t>
  </si>
  <si>
    <t>RT @dsm012: Yellow Josh “Hee” Hawley https://t.co/SZpLuMXvJu</t>
  </si>
  <si>
    <t>@Joe_Cool_1 🤣😂</t>
  </si>
  <si>
    <t>Yet another BS case!  St Louis you’re letting a rogue prosecutor waste your tax dollars &amp;amp; resources.   
Why doesn’t #kimshady go after violent criminals the same way ?
#greitens isn’t a problem to your city the criminals are.
Homocide rate ,gangs &amp;amp; drug are holding you back https://t.co/riU656WmMq</t>
  </si>
  <si>
    <t>@Joe_Cool_1 @TheNewRight @Beatlebaby64 @staceynewman No need, Father Time is doing a good job at that for us. 
All that nastiness doth not make one age well</t>
  </si>
  <si>
    <t>@Beatlebaby64 @TheNewRight Delusional exaggerating left wing idiotism</t>
  </si>
  <si>
    <t>@ThreeColumnsArt @TheNewRight @sarahfenske @D_Towski @staceynewman @RiverfrontTimes Heinous you mean hilarious tweet.   Hillarious that freaks are still freaking out over a reference made from a scene in a movie.  
#istandwithjamieallman</t>
  </si>
  <si>
    <t>@MissouriTimes @SenatorNasheed @EricGreitens Tell me again what is the homocide count in her district
She’s clearly delusional on where security is needed</t>
  </si>
  <si>
    <t>@Str8DonLemon @magathemaga1 With your divine meme skills it amazes me they call u a bot 🤗</t>
  </si>
  <si>
    <t>@JenEnnenbach Yawn , Another BS case.   I’m good letting  Due Process play out</t>
  </si>
  <si>
    <t>@stlpolitics https://t.co/UsjGr9zJVM</t>
  </si>
  <si>
    <t>@stlpolitics She should save her time &amp;amp; ppl should save their money he’s not going to win</t>
  </si>
  <si>
    <t>RT @magathemaga1: When U support witch hunts &amp;amp; not allowing fairness...
...YOU SUPORT #Putin 
"Show me the man, I'll show U the crime" --…</t>
  </si>
  <si>
    <t>RT @Str8DonLemon: Cuz first charge from that washed up DJ ex husband fell apart - and was fake.
They are just throwing stuff against the w…</t>
  </si>
  <si>
    <t>@jrosenbaum @RonFRichard @Rep_TRichardson @EricGreitens I hope @EricGreitens does not resign  ! He is entitled to due process ! Criminal case trial is 3 week ago - why are they so affraid of a not guilty</t>
  </si>
  <si>
    <t>RT @memoriadei: Josh Hawley MO AG lost his election to Senate all by himself. If he doesnt know why, he is too self-serving and out of touc…</t>
  </si>
  <si>
    <t>RT @BrookeGoren: Friday afternoon in Joplin: folks want to know why @HawleyMO waited a year to investigate the governor #MOSen https://t.co…</t>
  </si>
  <si>
    <t>RT @tkinder: Circuit Attorney Kim Gardner's office doesn't have photo at heart of Gov. Eric Greitens case. Does the #moleg have it? Does th…</t>
  </si>
  <si>
    <t>RT @Norasmith1000: @Str8DonLemon @EricGreitens There is no way i would believe in any "investigation" Kim Gardner conducts, not just regard…</t>
  </si>
  <si>
    <t>RT @Norasmith1000: @MissouriTimes @EricGreitens His statement is accurate, by now yes, everyone knows what this is. Kim Gardner is desperat…</t>
  </si>
  <si>
    <t>RT @RyanNonnemaker: “The Process often is ugly.  The Process often is painful. The Process often seems to take longer than it should.
But…</t>
  </si>
  <si>
    <t>RT @Margare03880660: #WitchHunt #KimShady#DrainMoLegSwamp#IStand With Gov Greitens https://t.co/n0QcAz8s4E</t>
  </si>
  <si>
    <t>RT @Lautergeist: Stop with the #WitchHunt!  We, The People, elected @EricGreitens !  Stop trying to over-reaction our votes! #KimShady #ISt…</t>
  </si>
  <si>
    <t>RT @magathemaga1: Dear #MoLeg Swamp dwellers @Rep_TRichardson @elijahhaahr
@EricGreitens gets his day in court. Until then, back off &amp;amp; let…</t>
  </si>
  <si>
    <t>@andybankertv @EricGreitens @stltoday @FOX2now @KPLR11 Could josh give greitens his 50k back</t>
  </si>
  <si>
    <t>@CoraFaith4MO @EricGreitens As a lawyer you should insist on Due Process</t>
  </si>
  <si>
    <t>@jeffreyboyd @FOX2now Due Process</t>
  </si>
  <si>
    <t>RT @magathemaga1: #MoLeg
WitchHunt continues &amp;amp; desire 4 lawmakers 2 oust an outsider continues
Wonder why they waited till the last minut…</t>
  </si>
  <si>
    <t>RT @RealTravisCook: One thing you've got to give #Greitens credit for:  Even with the specter of this 
Witchhunt/trial/impeachment hanging…</t>
  </si>
  <si>
    <t>@TrumpChess @POTUS Trump2020</t>
  </si>
  <si>
    <t>RT @TrumpChess: #BOOM Breaking News ‘Mission complete’ North Koreas Kim Jong-un says no need for further nuclear &amp;amp; missile tests @POTUS Thi…</t>
  </si>
  <si>
    <t>RT @KMOV: BREAKING: North Korea says it has suspended nuclear and long-range missile tests, plans to close nuclear test site.</t>
  </si>
  <si>
    <t>Trump Effect https://t.co/nWHpjx3Ccm</t>
  </si>
  <si>
    <t>@andybankertv @EricGreitens @FOX2now @KPLR11 Stalking out Clayton parking garages sounds like a bum gig,  it’s Friday go to happy hour 🥃 @CapitalGrille</t>
  </si>
  <si>
    <t>RT @SebGorka: This Gulf War veteran deserves your support. 
Join Team @Monetti4Senate is to Make America Great Again. https://t.co/AuyQsBO…</t>
  </si>
  <si>
    <t>Come n Ride the Train 🚂Choo Choo 
#operationHotPoker #hotpokerexpress  #IStandWithJamieAllman  #FreeSpeech https://t.co/lKPrBIDMvL</t>
  </si>
  <si>
    <t>@88YahamaKeys @TrumpChess @Hope4Hopeless1 @EricGreitens @POTUS @staceynewman According to that picture Stacey posted on her Facebook 
The answer would be yes.</t>
  </si>
  <si>
    <t>I only disliked your policy enough to tweet &amp;amp; call you 
But this .....
Somebody really hated you to pay big bucks to let you know &amp;amp; everyone else 😂😂👏🏻👏🏻
bravo  wonder if any more #moleg will be getting billboards or is rob special https://t.co/Ci55mrU0iO</t>
  </si>
  <si>
    <t>@Mike_Rusnak @DLoesch St. Louis is fast becoming a giant shithole city
That’s how</t>
  </si>
  <si>
    <t>@DLoesch Her district also has record Homocides</t>
  </si>
  <si>
    <t>@DLoesch @Hope4Hopeless1 Nasheed is playing games on twitter, she’s so crooked with her welfare &amp;amp; tax credits that line her pockets
https://t.co/G4XbfoElbN</t>
  </si>
  <si>
    <t>RT @DLoesch: IF MO State Sen Nasheed WAS intoxicated, surely she knows MO law: can't drink and carry!  http://t.co/kzUkjhGo3c</t>
  </si>
  <si>
    <t>@BaltTigger @DLoesch Ask the crooked Missouri Legislators why they pick n choose who to investigate they are witch hunters</t>
  </si>
  <si>
    <t>@jallman971 I will gladly watch your podcast daily !  FYI i couldn’t watch it live but watched video &amp;amp; enjoyed all 38 minutes 😘
Love the hat,  the beer  &amp;amp; Cute kids too !</t>
  </si>
  <si>
    <t>@KathieConway @Norasmith1000 @pfeuerborn @tonymess @EricGreitens How is this NOT Corrupt ? https://t.co/4BxUQobLO1</t>
  </si>
  <si>
    <t>@KathieConway I too thought this was an odd tweet , where is the governors rights in his defense of attorney client privledge 
Is somebody being bribed at his law firm?</t>
  </si>
  <si>
    <t>RT @MissouriTimes: Gov. @EricGreitens names eight appointees to various boards and commissions - #moleg
https://t.co/r2Anpxx9y5</t>
  </si>
  <si>
    <t>RT @christoferguson: Weird: Billboards take aim at St Joseph #Moleg lawmaker.  https://t.co/8mCLHq2AWo</t>
  </si>
  <si>
    <t>RT @MarshaBlackburn: Let me tell you something right now, @DiamondandSilk is not terrorism. https://t.co/L0UeF4SPY8</t>
  </si>
  <si>
    <t>RT @RealTravisCook: What we've learned from #Democrats: If you're a #GOP candidate, and if you've ever slept with or touched any woman othe…</t>
  </si>
  <si>
    <t>@markmeyer11 @Lautergeist @jallman971 @staceynewman @Entercom @WeAreSinclair @KDNLABC30 @971FMTalk @jeffallen971 💪🏻🖕🏻 And we’re all still listeners off the air 
Operation hot poker &amp;amp; Allman Army isnt going away
Allmans online videos have more viewing than radio and tv 
Numbers don’t lie 🤥</t>
  </si>
  <si>
    <t>@Lautergeist @HotPokerPrinces @BearGrylls You two are funny,  even with ungodly amounts of ketchup and mustard , she’d still taste bad</t>
  </si>
  <si>
    <t>RT @Monetti4Senate: Dear #MAGA Patriots, I NEED YOU! Claire McCaskill has raised $3.9M these last few months thanks to Hollywood and Wall S…</t>
  </si>
  <si>
    <t>@markmeyer11 @Lautergeist @jallman971 @staceynewman @Entercom @WeAreSinclair @KDNLABC30 @971FMTalk @jeffallen971 I sure love listening 👂🏻 to what he finds</t>
  </si>
  <si>
    <t>RT @EdBigCon: Uh Oh!!! https://t.co/yTvTC3Mltw</t>
  </si>
  <si>
    <t>@EdBigCon He got forked over for forking the wrong person huh 
He must be so forked off</t>
  </si>
  <si>
    <t>@CStamper_ When life intimates art , wonder if 2 more will pop up like the movie 3 billboards outside ebbing  MO 
Whoever did this 👏🏻👏🏻👏🏻👏🏻👏🏻👏🏻👏🏻👏🏻
They really Forked one over on Rob 😂
Is any special house Committee investigating this living arrangement?</t>
  </si>
  <si>
    <t>@kq2 Wow that’s cool free advertising for @MissouriTimes  &amp;amp; @scottfaughn</t>
  </si>
  <si>
    <t>RT @kq2: Billboards have popped up in St. Joseph and across Missouri that have taken aim at Republican State Senator Rob Schaaf.
https://t.…</t>
  </si>
  <si>
    <t>RT @melody_grover: $116,436.96: the amount of money taxpayers pay @HawleyMO to not do his job. #mosen https://t.co/t66l1wQ7uq https://t.co/…</t>
  </si>
  <si>
    <t>RT @melody_grover: It's a nice life getting paid six figures to campaign for office, isn't it? I'm sure struggling Missourians will identif…</t>
  </si>
  <si>
    <t>RT @Sticknstones4: https://t.co/2k92rdM2mB</t>
  </si>
  <si>
    <t>@KathieConway @Norasmith1000 @pfeuerborn @tonymess @EricGreitens 🕵🏻‍♂️How about a special investigation into JES enterprises, their lobbyist, their PACs , how much Moleg is receiving in donations from such 
how much they’re receiving back in tax credit, whose voting for their tax credits 
And what &amp;amp; where these projects are being built</t>
  </si>
  <si>
    <t>RT @Hope4Hopeless1: Those that never thought she was going to lose are BRAZENLY misusing their State Office to keep their FILTHY CRIMES hid…</t>
  </si>
  <si>
    <t>I really want to drive out there and take a selfie 🤳 with that billboard.  That’s better than posing with 🎅🏻  @robschaaf is a crooked #moleg  🍴fork it rob your done</t>
  </si>
  <si>
    <t>https://t.co/2k92rdM2mB</t>
  </si>
  <si>
    <t>RT @JW1057: @ws_missouri @EricGreitens Sounds like @RonFRichard should resign because he is unwilling to do his job. If he doesn't resign,…</t>
  </si>
  <si>
    <t>RT @melody_grover: How do you conduct an impartial investigation of somebody you've called on to resign? Yes, they're two separate matters,…</t>
  </si>
  <si>
    <t>RT @melody_grover: So mature. Richard must feel like a real man now. #moleg #mosen #mogov https://t.co/siCLeI35k0</t>
  </si>
  <si>
    <t>@melody_grover call him up ! And tell him what an unprofessional big baby he is , with tactics like that  Richardson is not fit to serve</t>
  </si>
  <si>
    <t>@melody_grover https://t.co/geDbvIiYIl</t>
  </si>
  <si>
    <t>RT @MarkSimoneNY: Do you remember how Barack Obama was given the Nobel Peqce Prize his first day in office, before doing anything? Donald T…</t>
  </si>
  <si>
    <t>RT @TomJEstes: @tonymess says man attempted to lure child from home because he was “following Greitens’ example” Unbelievable hackery, even…</t>
  </si>
  <si>
    <t>@TwitterSupport  a little help please with this shadow ban
Why can’t somebody support #greitens or ask their legislature questions #moleg  or #maga 
I have done nothing wrong  
@parscale  @Scavino45</t>
  </si>
  <si>
    <t>@DeplorableGoldn @blackwidow07 @magathemaga1 @EricGreitens @MoPublicSafety She’s using ridiculous grandstanding tactics to feud with greitens</t>
  </si>
  <si>
    <t>@88YahamaKeys @TheNewRight Next time i brave my life  &amp;amp; grace the galleria with my Amex ,  i must stop in west elm and complain what crappy art they sell</t>
  </si>
  <si>
    <t>@88YahamaKeys @TheNewRight Rainy day as in kids here some new paint from michaels 
Don’t bother me</t>
  </si>
  <si>
    <t>@88YahamaKeys @TheNewRight That’s not art Those rainy day are craft projects for sale</t>
  </si>
  <si>
    <t>RT @TheNewRight: So many trolls, so little time. https://t.co/vsuntjNlEp</t>
  </si>
  <si>
    <t>RT @Lautergeist: Addendum to @ThreeColumnsArt role in this.  Maybe he should have just stayed a little offside
@staceynewman @roykasten @c…</t>
  </si>
  <si>
    <t>@sigi_hill @NewsTribune @EricGreitens Why didn’t Moleg call for resignation of other elected officials 
 Lots of moral turpitude issues , lots of drunks, marijuana users, cheaters ,</t>
  </si>
  <si>
    <t>RT @tkinder: A lot of politicians and members of the press have tried and convicted Governor .@EricGreitens in the court of public opinion.…</t>
  </si>
  <si>
    <t>RT @EricGreitens: We've been working hard to protect our veterans and ensure they get quality care. Today, I met with the new administrator…</t>
  </si>
  <si>
    <t>@EricGreitens You’re Voters Love YOU .. Keep fighting, we’re fighting with you 💪🏻 The Jeff city swamp is affraid of being drained of their cash lined pockets</t>
  </si>
  <si>
    <t>RT @LastWave2014: @EricGreitens  https://t.co/nZIEiiGR0v</t>
  </si>
  <si>
    <t>RT @LastWave2014: @EricGreitens  https://t.co/yAOda7H1BS</t>
  </si>
  <si>
    <t>RT @LastWave2014: @EricGreitens  https://t.co/M6zj6qCgVs</t>
  </si>
  <si>
    <t>@pfeuerborn @tonymess Peter I’m not a bot ,   But if there’s an army to join and it pays , where do i apply?</t>
  </si>
  <si>
    <t>RT @Str8DonLemon: 🤦‍♂️
U do know lot of passionate citizens out there, don't you?  "Can it definitely be said... Blah blah blah..." Lol
T…</t>
  </si>
  <si>
    <t>@SuchHate Sounds like a Moleg committee</t>
  </si>
  <si>
    <t>@88YahamaKeys @EricGreitens I wish the #Moleg house comittee would investigate Stacey Newman , how is it that Stacey knew Greitens accuser her longtime family hairdresser.
Must bet some haircut.. Stacey &amp;amp; her family get it , greitens go it, &amp;amp; so did Chris Koster ? https://t.co/zqxHnAbMEP</t>
  </si>
  <si>
    <t>@TrumpChess @magathemaga1 @RonFRichard @AP4Liberty @SykesforSenate @ChanelRion @AvrilMai91 @FN4AP @MOHouseGOP @Hope4Hopeless1 @SKOLBLUE1 @philip_saulter He has no business going to Washington 
As AG
✔️ Homocides record numbers 
✔️Crime is rising in Missouri 
✔️More illegals 
✔️More heroin &amp;amp; fentanyl in Missouri 
✔️Courts backed up</t>
  </si>
  <si>
    <t>RT @TrumpChess: @magathemaga1 @RonFRichard @AP4Liberty @SykesforSenate @ChanelRion @AvrilMai91 @FN4AP @MOHouseGOP @Sticknstones4 @Hope4Hope…</t>
  </si>
  <si>
    <t>@theknobboy @hillbilly_from @scoutcats90 @juckniess_linda @EricGreitens @MissouriChamber Why release the house report of testimony when the court report was coming , why couldn’t the house committee wait &amp;amp; investigate ? Oh right it’s a witch hunt .. they had to get as much salacious lies out in public before the gag order.   The house committee was a complete sham</t>
  </si>
  <si>
    <t>RT @DeplorableGoldn: 🤔 https://t.co/wwTJtN5fGB</t>
  </si>
  <si>
    <t>@DeplorableGoldn @blackwidow07 @magathemaga1 @EricGreitens @MoPublicSafety Yes that’s her too exhibiting her #2A right in a crowd</t>
  </si>
  <si>
    <t>RT @DeplorableGoldn: @blackwidow07 @magathemaga1 @Sticknstones4 @EricGreitens @MoPublicSafety And this?
https://t.co/3eRhcRWfWL</t>
  </si>
  <si>
    <t>@DeplorableGoldn @blackwidow07 @magathemaga1 @EricGreitens @MoPublicSafety Yes that jamilah, sobered up &amp;amp; freed from jail</t>
  </si>
  <si>
    <t>RT @DeplorableGoldn: @blackwidow07 @magathemaga1 @Sticknstones4 @EricGreitens @MoPublicSafety This is her, right? https://t.co/el8vFNBKqv</t>
  </si>
  <si>
    <t>RT @blackwidow07: @magathemaga1 @Sticknstones4 @EricGreitens Remember that time they had a shootout outside Jamlie's campaign office in the…</t>
  </si>
  <si>
    <t>The way her mouth is flapping A LOT 
Jamilah loves tax credits https://t.co/6D6N2MS27z</t>
  </si>
  <si>
    <t>@SKOLBLUE1 @blackwidow07 @JW1057 
#kimshady never got back to why this case waste dropped
Anyone know why ?
https://t.co/eIw5RKJJc6</t>
  </si>
  <si>
    <t>#Moleg why are you asking @GovGreitensMO to Resign 
You didn’t conduct any witch hunts or special house reports  on @robertsforSTL 
#hypocrites 
https://t.co/frxZ3y3YkL</t>
  </si>
  <si>
    <t>RT @Lautergeist: If you are a true fan and supporter of @jallman971 #JamieAllman 
you might want to follow him on the YouTubez
https://t.c…</t>
  </si>
  <si>
    <t>RT @Lautergeist: Aaaaand I'm bawling my eyes out right now.  What an incredible gift and what a beautiful little boy.
#BlakeSnyder
@BackSt…</t>
  </si>
  <si>
    <t>@Lautergeist I called and told this man’s secretary what i thought of him not supporting governor greitens this afternoon 
Call and let it rip into their answering machines</t>
  </si>
  <si>
    <t>RT @magathemaga1: When U put UR ear 2 the ground &amp;amp; listen 2 what's going on in MoLeg, it becomes even more clear swamp wants #Greitens out…</t>
  </si>
  <si>
    <t>@Speedy62269 I think the whole thing is a witch hunt https://t.co/X4FNgVZXbw</t>
  </si>
  <si>
    <t>@SKOLBLUE1 @EricGreitens Tell them it’s a kangaroo court</t>
  </si>
  <si>
    <t>@magathemaga1 At least cover the snake exhibit that’s like close to being kimshady</t>
  </si>
  <si>
    <t>@scoutcats90 @Mizzourah_Cuck @theknobboy @juckniess_linda Did anybody figure out what was the sexy workout she said she thought she was going over to his house to do ?
What muscle groups was she planning on working&amp;amp; if she thought she was going to sexy work out why didn’t she come with her own sexy work out clothes</t>
  </si>
  <si>
    <t>@scoutcats90 @Mizzourah_Cuck @theknobboy @juckniess_linda @EricGreitens @MissouriChamber That’s her testimony only .. she also says she may have dreamed it.   There is no picture no transmission of the picture and no device , she did iniate naked face time with him as they continued to see each other after this alleged event</t>
  </si>
  <si>
    <t>@magathemaga1 @SKOLBLUE1 @Hope4Hopeless1 @Avenge_mypeople @Blackboxhalo @SpeakerTimJones Nonotestisaby is going to morph into ipleathe5thTisaby</t>
  </si>
  <si>
    <t>RT @DeplorableGoldn: RT 🚨 #moleg #mogov #MoSen #GreitensIndictment #KimShady https://t.co/XR0UiP5HQL</t>
  </si>
  <si>
    <t>RT @magathemaga1: Isnt it funny one of the people who has been screaming loudest about discarding presumption of innocence for @EricGreiten…</t>
  </si>
  <si>
    <t>RT @DeplorableGoldn: RT 🚨 #moleg https://t.co/1LpI9avjYo</t>
  </si>
  <si>
    <t>@GailBeatty  Do you have the same embarrassment for the other #Moleg members that cheat on their spouses &amp;amp; smoke marijuana or you only go on tv and profess your embarrassment against @EricGreitens ? You should be embarrassed by the sham house report that was BS #hypocrites #swamp</t>
  </si>
  <si>
    <t>@Margare03880660 Did u see he’s doing a fb live tonight at 7
https://t.co/KnMdy0Sv2D</t>
  </si>
  <si>
    <t>@SentinelKSMO @EricGreitens has not betrayed my trust, he still has it.
This is a witch hunt</t>
  </si>
  <si>
    <t>RT @JW1057: @SentinelKSMO @EricGreitens @TeamGreitens doesn't need to restore his honor; he never lost it. He had an affair and only @Sheen…</t>
  </si>
  <si>
    <t>@kstric @BCunninghamN @GovGreitensMO His issue of moral turpitude occurred when he was out of office, but if Moleg wants to play like that,  let’s have every memeber take a drug test &amp;amp; lie detector test
And impeach them too... drain one drain em all</t>
  </si>
  <si>
    <t>RT @AmfellinAlicia: @jallman971 will be LIVE at 7 pm TONIGHT on FB answering YOUR questions!  Don't miss it!  https://t.co/2rNKgaFfNd
#ISta…</t>
  </si>
  <si>
    <t>RT @Beatlebaby64: This is great for those not on FB! https://t.co/fL2PvquFun</t>
  </si>
  <si>
    <t>@Beatlebaby64 Thank you,  Missing Jamie’s voice</t>
  </si>
  <si>
    <t>RT @aaron_hedlund: @TomJEstes @tonymess This is astonishingly irresponsible journalism.</t>
  </si>
  <si>
    <t>@TomJEstes @tonymess What do you expect from the Propoganda Dispatch</t>
  </si>
  <si>
    <t>RT @magathemaga1: 🚨 ATTACK on Missouri! 🚨 
@RonFRichard decided he would rather be petty &amp;amp; attack Missouri voters than work with @EricGrei…</t>
  </si>
  <si>
    <t>RT @melody_grover: Clearly an a**hole. Pardon my french. This statement plus Richard's anal retentiveness about everybody wearing ties in h…</t>
  </si>
  <si>
    <t>RT @JW1057: @melody_grover Sounds like @RonFRichard should resign because he is unwilling to do his job. If he doesn't resign, then he shou…</t>
  </si>
  <si>
    <t>RT @NSFMill: @EricGreitens Good. DO NOT RESIGN.  Missouri will definitely stay red after this fiasco.</t>
  </si>
  <si>
    <t>@LisaGHart @FOX2now Oh BS any other defendant other than a sitting governor 
This case would have been tossed out 
Judge made the wrong decision, i think he was affraid of riots like stockley</t>
  </si>
  <si>
    <t>@FOX2now That’s a fair request from the governor not at all frivolous 
Unless of course @AGJoshHawley remarks were just frivolous poltical appeasement?</t>
  </si>
  <si>
    <t>@RealTravisCook @HawleyMO Fact is He’s a traitor, a sell out &amp;amp; ladder climber
His name on the ballot is dead to me 💀</t>
  </si>
  <si>
    <t>@NewsTribune I think he’s entitled to due process.  Trial is 3 weeks away , why is Moleg in such a rush to impeach?  Are they affraid of a not guilty verdict ?</t>
  </si>
  <si>
    <t>@farmerfar55 @AP4Liberty I know I’m not considering Claire or Hawley 
I open to learning more about the other 3 &amp;amp; wish all of them the best!</t>
  </si>
  <si>
    <t>RT @HotPokerPrinces: It’s the toxic Swamp Gas 
Moleg is so corrupt their farts 💨 can be lethal https://t.co/29kCmG9VvD</t>
  </si>
  <si>
    <t>RT @AP4Liberty: I got a feeling your whole establishment family's going down, Josh. https://t.co/qc5qFEw02C</t>
  </si>
  <si>
    <t>@AP4Liberty 😂😂 now that’s funny &amp;amp; accurate</t>
  </si>
  <si>
    <t>RT @JCunninghamMO: I don’t see that as bad. A not guilty finding by a jury would end the move to impeach where throwing out the case becaus…</t>
  </si>
  <si>
    <t>@melody_grover Probably hates dogs because unlike him they’re loyal</t>
  </si>
  <si>
    <t>RT @melody_grover: Spotted! Around six feet tall. Dog hater. Can't stand getting wet. Pyromaniac. Constantly flies off the handle. Sends mo…</t>
  </si>
  <si>
    <t>@ZekeMelchizedek @Mizzourah_Cuck @VisioDeiFromLA @robschaaf @molegislature @GovGreitensMO That’s so easy just say you ate a mini corn dog for lunch 🌽🌭. Well maybe not the mini corn dog would be more filling</t>
  </si>
  <si>
    <t>RT @DeplorableGoldn: RT 🚨 #MOLeg #mogov #MOsen #Greitens #gre https://t.co/oAVdQuEsIA</t>
  </si>
  <si>
    <t>@aziaone1 @RoyBlunt @clairecmc @Monetti4Senate @SykesforSenate @AP4Liberty YES precisely why We need a wall , not just for illegal immigration, illegal importation of illegal substances</t>
  </si>
  <si>
    <t>RT @DeplorableMOGal: @Sticknstones4 @SenatorNasheed So it's ok for @SenatorNasheed to have a weapon and be unhappy towards our Governor.  B…</t>
  </si>
  <si>
    <t>RT @blackwidow07: @Sticknstones4 @SenatorNasheed So true. I'm concerned about @EricGreitens and his family. I've experienced such hate and…</t>
  </si>
  <si>
    <t>RT @Monetti4Senate: Roger that. As your next senator of Missouri I will work with President Trump to build a BIG &amp;amp; BEAUTIFUL WALL! #MoSen h…</t>
  </si>
  <si>
    <t>@RealTravisCook Could not agree more 
Hawley is Out for me</t>
  </si>
  <si>
    <t>RT @RealTravisCook: How can we be assured that #JoshHawley will stand up for President #Trump in the Senate when he won't even stand behind…</t>
  </si>
  <si>
    <t>@chuckwoolery https://t.co/j51NrpQmKk</t>
  </si>
  <si>
    <t>@KMOXKilleen @EricGreitens LOL This is coming from a woman who #2a carries a 9mm🔫 in a crowd 
She sounds like she’s having delusions of grandeur 
Moleg should call a medic &amp;amp; get her head checked🤕
Maybe Moleg is affraid of her , maybe she’s not fit to serve &amp;amp; carry a gun .. RESIGN</t>
  </si>
  <si>
    <t>@Justin_EAndrews You still look good wind or not , keep us updated on ruling</t>
  </si>
  <si>
    <t>Is @senatornasheed for reals?
I mean this is coming from a woman who #2A carries a loaded 9mm 🔫 in her pocket 
I think #moleg should call a medic, sen.nasheed needs her head examined 🤕 she’s suffering from delusions of grandeur 
Anyone affraid of her all mental with a gun ? https://t.co/4jmmG5ls3T</t>
  </si>
  <si>
    <t>@RoyBlunt @clairecmc 
@Monetti4Senate  @SykesforSenate @AP4Liberty 
How about attacking the illegal source fueling epidemic
Record flow of fentanyl &amp;amp; heroin comin into St. Louis &amp;amp; KC
Fueling overdose deaths, gangs &amp;amp; homocides
Build a wall ! 
#mosen https://t.co/2kG71En5av</t>
  </si>
  <si>
    <t>RT @STLCrimeBeat: Two men with gunshout wounds dropped at St. Louis hospitals 7 hours apart https://t.co/D3EcFM4n3s</t>
  </si>
  <si>
    <t>RT @STLCrimeBeat: Missouri leads nation in black homicide rate, study finds https://t.co/YOBhusmemq</t>
  </si>
  <si>
    <t>Another one 🔫
#moleg @senatornasheed doesn’t feel safe at the capital 
Uh hello 👋🏻 👋🏽  
What about the people in your district, they are not safe 
But you cool &amp;amp; know the criminal element in your district
Which is Why you exhibit your #2a right in your pocket 
#hypocrite https://t.co/6XKqyncCdR</t>
  </si>
  <si>
    <t>RT @memoriadei: @RepMattGaetz Sounds like #MOLEG trying to sabotage #greitens</t>
  </si>
  <si>
    <t>RT @EdBigCon: @KMOV Cause the mistress Kitty cut everyone’s hair in the capital! #WeAreNotStupid #moleg https://t.co/onVjsBmb8q</t>
  </si>
  <si>
    <t>RT @proudmomom: Disgusting accusations don't negate one's right to #DueProcess 
#moleg #mosen  @MOHouseGOP @MissouriGOP @AGJoshHawley https…</t>
  </si>
  <si>
    <t>RT @MariaChappelleN: Same argument can be used on how Ltgov Mike Parson treated me versus how he speaks of the governor in his adulterous s…</t>
  </si>
  <si>
    <t>@oz62 @EricGreitens @MissouriChamber Thank you to you as well , peace ✌️</t>
  </si>
  <si>
    <t>@Justin_EAndrews It’s disrepecting my hair big time !  Definitely a bad hair day</t>
  </si>
  <si>
    <t>RT @memoriadei: Appalled like never before at #MOLEG for bullying.  Unprofessional!  Not once have I ever seen such disgusting behavior and…</t>
  </si>
  <si>
    <t>What Missourian wouldn’t drive to Jefferson City for a chance to dunk the swamp creature ?
Moleg would raise more money that Colorado’s marijuana tax https://t.co/FSEOAoqXDD</t>
  </si>
  <si>
    <t>#Moleg would raise a lot more money if they have a dunking tank in the parking lot of the capital https://t.co/Cg6NdJgyXe</t>
  </si>
  <si>
    <t>@FOX2now That’s a fair maneuver considering the statements made by Hawley</t>
  </si>
  <si>
    <t>@FOX2now I’m glad he’s not resigning, everyone is entitled to due process</t>
  </si>
  <si>
    <t>@Lautergeist @971FMTalk Me too , add return of Allman to that list</t>
  </si>
  <si>
    <t>RT @Lautergeist: Waiting with nervous anticipation 
* #Greitens
* @971FMTalk 
* #ClintonIndictment
* #Spring</t>
  </si>
  <si>
    <t>@KMOV Glad Greitens is staying the course, he’s entitled to due process</t>
  </si>
  <si>
    <t>@Justin_EAndrews @KMOV @EricGreitens What time is the court hearing</t>
  </si>
  <si>
    <t>Check out "An evening with best selling author &amp;amp; former NFL great Burgess Owens" https://t.co/OAl9znWYib @Eventbrite</t>
  </si>
  <si>
    <t>@Joe_Cool_1 @senatornasheed only believe in privacy &amp;amp; due process when it’s a friend of Jamilah Nasheed anyone else it’s a witchhunt.  Jamilah wants the governor gone so she can keep her tax credit donor happy</t>
  </si>
  <si>
    <t>@SpeakerTimJones @JimTalent @CSims45 Are you announcing the return of Jamie Allman</t>
  </si>
  <si>
    <t>@Joe_Cool_1 Joe he’s dead</t>
  </si>
  <si>
    <t>@oz62 @EricGreitens @MissouriChamber Ps &amp;amp; Ks have at least 15k  💵💵💵 reasons 
This lady was pure consensual not a victim</t>
  </si>
  <si>
    <t>@TrumpChess @POTUS @AGJoshHawley Hi 👋🏻 @TrumpChess  that @sentaornasheed staffer not 
@mariachapelleN.  Nasheed has been a hypocrite pertaining to due process and an enemy of the governor.
Nadal has actually been fair in criticism regarding #moleg
Apparently there’s some real moral turpitude issues amongst.</t>
  </si>
  <si>
    <t>@TrumpChess @magathemaga1 @POTUS @AGJoshHawley @SebGorka is backing @Monetti4Senate
 Jamie Allman had them on, back in the day when there was a local conservative tv show 😢 @WeAreSinclair went all censorship</t>
  </si>
  <si>
    <t>RT @JW1057: Dear Members of the Missouri House and Senate:
If you don't want to work with @EricGreitens then you are all free to resign. T…</t>
  </si>
  <si>
    <t>RT @RetNavy93: @tkinder @EricGreitens #MoLeg should wait until the #EricGreitons trial is over. If they don't they'll be getting the Govern…</t>
  </si>
  <si>
    <t>Hey @TwitterSupport this is getting very tiring. I'm tired of getting shadow banned for simply getting conservative.  Please undshadow ban me #CensorshipIsReal
@parscale @AjitPaiFCC @FCC @Scavino45 @getongab
#censorship</t>
  </si>
  <si>
    <t>RT @VisioDeiFromLA: Hey @TwitterSupport this is getting very tiring. I'm tired of getting shadow banned for simply getting conservative.  P…</t>
  </si>
  <si>
    <t>RT @EricGreitens: Great talking with @MissouriChamber’s next generation of leaders about how to bring more quality jobs to Missouri today.…</t>
  </si>
  <si>
    <t>@oz62 @EricGreitens @MissouriChamber Read this one instead 
https://t.co/ZRrPlZyjHm</t>
  </si>
  <si>
    <t>@scoutcats90 @juckniess_linda @EricGreitens @MissouriChamber Mary did you read the sworn court transcript of motion that refutes the salacious testimony ?  The house report is testimony only , no investigation or cross examination 
https://t.co/ZRrPlZyjHm</t>
  </si>
  <si>
    <t>@EricGreitens @MissouriChamber Keep Bringing Jobs to Missouri !  #fittogovern #noresign</t>
  </si>
  <si>
    <t>@Joe_Cool_1 @Fresno_State Jaba the hut wears polka dots for spring 
She still like Jaba the hut</t>
  </si>
  <si>
    <t>RT @joshhawleymo: Governor @EricGreitens wants to place a restraining order on me and the investigation. 
Under normal circumstances, I av…</t>
  </si>
  <si>
    <t>She responded with, “Eric is a valued member of my staff and a friend. My office has the utmost respect for the law and those who enforce it.
I guess due process is only for friends of @senatornasheed     
What if  Jamilah wasn’t a hypocrite #moleg</t>
  </si>
  <si>
    <t>I expect this matter to play itself out in a court of law and not through the media. As this is a personnel matter, I intend to not release further statements or address further media requests on it until court proceedings have reached a conclusion.”
https://t.co/cvQf74FJEj</t>
  </si>
  <si>
    <t>Interesting !  Well farmers sometimes need a controlled burn for the management &amp;amp; restoration of the crop 
Sounds like the swamp might be getting one 
Jesus take the wheel            # Moleg https://t.co/dJcyrVMzY7</t>
  </si>
  <si>
    <t>Bingo !  @senatornasheed takes a ton of campaign contributions from Mo tax credit developers.  She’s been outspoken against gov #greitens right after he was going to reform them. Jamilah Nasheed is so crooked she even cuts the ribbons 🎀 on the new housing projects #moleg https://t.co/DIKfjUpOWf</t>
  </si>
  <si>
    <t>@tkinder @EricGreitens No lawyer would advise their client to testify. A few members of the sham house Committee were lawyers.
Shocking that lawyers would only listen to salacious testimony &amp;amp; issue report. There was no cross examination or investigation by the house committee aka witch hunt sham job</t>
  </si>
  <si>
    <t>@grcfay @Monetti4Senate @HawleyMO Catherine here’s 2 minutes worth 👌🏻
https://t.co/PHgDIKfMPj</t>
  </si>
  <si>
    <t>@Monetti4Senate believes in due process 
#mosen https://t.co/z2xfelU2fT</t>
  </si>
  <si>
    <t>RT @Monetti4Senate: It is no coincidence that Josh @HawleyMO called for Greitens to step down,
and then accused him of a felony, while he i…</t>
  </si>
  <si>
    <t>RT @Monetti4Senate: Josh @HawleyMO should keep his pledge not to become a ladder-climbing politician, he should not be running for the U.S.…</t>
  </si>
  <si>
    <t>RT @sigi_hill: @grcfay @magathemaga1 @ohsynesthesia @MOHouseGOP @MissouriGOP @Avenge_mypeople @Blackboxhalo @Rep_TRichardson @elijahhaahr @…</t>
  </si>
  <si>
    <t>@VisioDeiFromLA @EricGreitens I’m confused why the fake outcry from Jane?  Anybody with a law degree, would completely understand &amp;amp; agree with Greitens legal team.  Any Lawyer that doesn’t agree with the defense request in this, is not anybody you’d ever want representing you.</t>
  </si>
  <si>
    <t>@ProperPullUp @BCunninghamN @GovGreitensMO @EricGreitens Here’s where the house committee Failed 
They didn’t investigate or cross examine 
https://t.co/LjZa9tWarN</t>
  </si>
  <si>
    <t>@BCunninghamN @GovGreitensMO Nice article Blake , do u know why nobody is #moleg will comment about reading the 77 page court transcript of motion that refutes the house report of testimony ? People see through the lies &amp;amp; witch hunt !  They stand by Greitens</t>
  </si>
  <si>
    <t>RT @BCunninghamN: “I don’t care if the report says that he’s been accused of dancing naked on Kingshighway Boulevard at midnight with a lla…</t>
  </si>
  <si>
    <t>@BCunninghamN @GovGreitensMO I’ve never danced naked on kings highway with a Illama before (might be fun ) , but I’m totally in agreement about Due Process.   Every American  is entitled to to Due Process</t>
  </si>
  <si>
    <t>Moral Turpitude would include smoking Marijuana.   
Will all #Moleg members please take a drug test 
So we can start your impeachment process ?
Rumor is there quite a few Tokers amongst you judgemental hypocrites.  Legislating while high will not be tolerated by voters</t>
  </si>
  <si>
    <t>@KMOV I think that’s a fair and appropriate request considering all the circumstances</t>
  </si>
  <si>
    <t>https://t.co/zybLLKKrK2</t>
  </si>
  <si>
    <t>https://t.co/zybLLKKrK2 https://t.co/ZbBiKrowuL</t>
  </si>
  <si>
    <t>polling shows a plurality of voters in the heavily Republican-leaning regions outside Kansas City and St. Louis still approve of Greiten’s job performance and don’t think he should resign.
#Moleg Pay attention to the People and not your pockets 
#greitens https://t.co/dCtHea6xrq</t>
  </si>
  <si>
    <t>RT @grcfay: @Hope4Hopeless1 @safetravels7 @sigi_hill @magathemaga1 @ohsynesthesia @MOHouseGOP @MissouriGOP @Avenge_mypeople @Blackboxhalo @…</t>
  </si>
  <si>
    <t>Some evidence of push back in the Missouri House against punishment of Governor Greitens https://t.co/9rlX2f2BYJ</t>
  </si>
  <si>
    <t>RT @Mizzourah_Mom: At least there are some who want to allow #Greitens to have his day in court! As an American I still believe in innocent…</t>
  </si>
  <si>
    <t>Fake News doesn’t want to show how Missourians feel about Their elected Governor , the left tried to Lie 🤥 about this standing ovation, well here’s the video 
Looks like a standing ovation 👏🏻 
Keep Fighting 💪🏻 Governor #Greitins 
#noresign #moleg # Republicans #maga https://t.co/MfirS1Ytzc</t>
  </si>
  <si>
    <t>@EricGreitens Thank you governor , looks like ur fit to keep governing as elected , all the best !  The fake news media never covers the real stuff</t>
  </si>
  <si>
    <t>RT @magathemaga1: @staceynewman 
Do U hate black americans?
How many black men have been locked up on false charges yet U R quick 2 engag…</t>
  </si>
  <si>
    <t>RT @DeplorableGoldn: RT https://t.co/gx0K7So55q</t>
  </si>
  <si>
    <t>So than why doesn’t #moleg work on stuf that they can actually accomplish ?
Give #greitens his due process in court 
What are they affraid of ?  Not Guilty 
#witchhunt @MOHouseGOP @MOLegDems https://t.co/84a4o6ry4P</t>
  </si>
  <si>
    <t>@Justin_EAndrews @KMOV @EricGreitens Justin can you please ask all #moleg you encounter Why there is no official response to the 77 page court transcript that clearly refutes their incomplete salacious house report ?   Did they even read it or just jump on the impeach party bus ?</t>
  </si>
  <si>
    <t>@Justin_EAndrews @KMOV @EricGreitens #moleg is so crooked , why are they affraid to wait 3 weeks for his trial ? Oh because it’s a witch hunt</t>
  </si>
  <si>
    <t>Again, it’s not the objects causing harm
it’s the violent mindset 
You couldn’t pay me to ride the #thugtrain  #stl https://t.co/HXv5YRB39S</t>
  </si>
  <si>
    <t>@YblackGOP @VisioDeiFromLA @MOHouseGOP @Rep_TRichardson @elijahhaahr @MOGOP_Chairman @AP4Liberty @Monetti4Senate @SykesforSenate Hawley ain’t pulling all that much as Missouri’s Ag , Judges are less than pleased with his lax performance &amp;amp; courts are delayed because of him .  If this Ag jon imagine what a failure he will be in DC</t>
  </si>
  <si>
    <t>@potus @PressSec we re supporting you through all the stupid scandal they try to throw at you.  Give @EricGreitens his day in court.  No Man should cower to a witch hunt.  #moleg is crooked and they can self drain their swamp come Election Day 
#maga #teamgreitens #NORESIGN https://t.co/ACzHZpA91A</t>
  </si>
  <si>
    <t>BUH BYE 👋🏻  @HawleyMO 
🗳 You Lost my vote    
#mosen https://t.co/I3q9pfbjY6</t>
  </si>
  <si>
    <t>@kendylei @magathemaga1 @EricGreitens Kendy that’s hillarious 😘</t>
  </si>
  <si>
    <t>RT @kendylei: @Sticknstones4 @magathemaga1 @EricGreitens No doubt. Stevie Wonder would be able to see the corruption by kim Gardner’s offic…</t>
  </si>
  <si>
    <t>RT @magathemaga1: ⚠️ #Moleg #MoGov #MoSen ⚠️
POLL TIME!
Good morning 2 everybody but the #Missouri media 
Now that #LadderBoy has fully…</t>
  </si>
  <si>
    <t>@BigJShoota @NBCNews How is the hell does any of this happen?</t>
  </si>
  <si>
    <t>He’s definitely not in the people house 
He’s in the dog 🐶 house and don’t let him out https://t.co/GN4RNqjDca</t>
  </si>
  <si>
    <t>For the 4th year in a row #Missouri leads the nation in an unhappy statistic: the rate of homicide victimization for its black residents.
Maybe #moleg  could take a timeout from witch hunting the governor and work on this ! 
Cause This isn’t getting nearly the attention ! https://t.co/IRoGm2Euio</t>
  </si>
  <si>
    <t>@RiverfrontTimes @sarahfenske good article , but what % of the guns used were legally owned firearms?</t>
  </si>
  <si>
    <t>Who would be left standing at #moleg
Not many https://t.co/oaWwCCsPNA</t>
  </si>
  <si>
    <t>RT @JohnLamping: Impeachment: Are we there yet? https://t.co/J7Pqui5bqj via @stltoday</t>
  </si>
  <si>
    <t>@JohnLamping @stltoday If legislators and the attorney general want to get rid of the governor by impeachment, they should look for misconduct or crimes Greitens committed after he became governor ......hahah looks like #moleg didn’t get the memo they’re doing it all wrong</t>
  </si>
  <si>
    <t>RT @melody_grover: That time when @HawleyMO admitted he is politicizing his job duties to win #mosen. https://t.co/qzNMFWCmok</t>
  </si>
  <si>
    <t>RT @melody_grover: Yes! Justice requires truth! Notable that @JCunninghamMO is also one of the biggest and earliest backers of @HawleyMO. #…</t>
  </si>
  <si>
    <t>RT @JW1057: @JCunninghamMO @lfshumake @CheriMO44 @SpeakerTimJones @MOGOP_Chairman @Rep_TRichardson @rossgarber @MarkReardonKMOX 
#moleg #m…</t>
  </si>
  <si>
    <t>RT @JCunninghamMO: I’m with Representatives Lindell Shumake, @lfshumake and Cheri Toalson Reisch, @CheriMO44. Allow the complete process to…</t>
  </si>
  <si>
    <t>RT @melody_grover: “I still think this is America and you’re innocent until you’re proven guilty...There’s two sides to the story.  And rig…</t>
  </si>
  <si>
    <t>@melody_grover @HawleyMO #moleg politicians will get a nice blue dose of tidy bowl to refresh the toxic sludge in their swamp water when they get flushed out</t>
  </si>
  <si>
    <t>RT @grcfay: @magathemaga1 @ohsynesthesia @MOHouseGOP @MissouriGOP @Avenge_mypeople @Blackboxhalo @Rep_TRichardson @elijahhaahr @strmsptr @S…</t>
  </si>
  <si>
    <t>RT @melody_grover: I feel a tad bit sorry for @HawleyMO and the other Chicken Littles whose political careers will be flushed down the drai…</t>
  </si>
  <si>
    <t>@blackwidow07 @RonFRichard Yes I can believe  #moleg is a bunch of crooked corrupt lncompetent inept Liars.  They only care about their cashed lined pockets &amp;amp; not the will of the people of Missouri.   Who in their right mind would want to move here or invest in a business here?  They r holding Mo back</t>
  </si>
  <si>
    <t>It’s Not a Witch Hunt 😜
It’s a swamp creatures rising,  crooked #Moleg saw their 1st attempt to take down #Greiteins was failing. They dug deep &amp;amp; flung a little more swamp mud as their Hail Mary pass.  
Greitins will still not cower &amp;amp; Resign 
Exactly why we voted for him ! https://t.co/jsFOLeBiLa</t>
  </si>
  <si>
    <t>When are people going to realize it’s the violent mindset in our society &amp;amp; not the objects https://t.co/DQC7RshKje</t>
  </si>
  <si>
    <t>@RealTravisCook If he committed a felony why didn’t they press charges sooner?  If they had something they wouldn’t of waited until the statue of limitations was 30 days from expiring 
They are trying to fling as much swamp mud as possible.</t>
  </si>
  <si>
    <t>@RealTravisCook An adult that would drop their vanguard account is a dipshit.</t>
  </si>
  <si>
    <t>@RealJamesWoods That guy looks like his has a MINI 🌽🌭</t>
  </si>
  <si>
    <t>Why is Jamie Allman such a threat to the Left?
Why are they so intimated by him ? 
If they don’t like his show , find another Chanel 
#istandwithallman</t>
  </si>
  <si>
    <t>@JW1057 @melody_grover @EricGreitens with all the racial tensions &amp;amp; public distrust of the system ,  Why is @MOLegDems @housegop condoning the illegal actions of the @stlcao  ?     This sytem is more corrupt post Ferguson that Pre</t>
  </si>
  <si>
    <t>@JW1057 @VisioDeiFromLA @MarshallGReport @EricGreitens @Rep_TRichardson Why hasn’t any memeber of the @MOHouseGOP or @MOLegDems  held  a session to read the 77 page court transcript that refutes their sham house report ?   Not one comment !   For that ineptitude to omit key evidence , They ALL should resign  #moleg #witchhunt</t>
  </si>
  <si>
    <t>@melody_grover #moleg sure has a bunch of bullies in it !  I thought there were anti bullying laws in the workplace?    God Bless @EricGreitens that he has the fortitude to not cowar to these bullies</t>
  </si>
  <si>
    <t>RT @melody_grover: The same state chair who spread malicious lies that drove Tom Schweich to suicide? Gotcha. #mogov #moleg #mosen https://…</t>
  </si>
  <si>
    <t>RT @melody_grover: If @HawleyMO crusade to oust #mogov &amp;amp; overturn will of MO voters causes him to lose #mosen, let that be a lesson to the…</t>
  </si>
  <si>
    <t>RT @Avenge_mypeople: @HawleyMO  is going after other avenues to get rid of #greitens . That should tell you all you need to know about this…</t>
  </si>
  <si>
    <t>🚨 attempted censorship &amp;amp; narrative control  
Independent un biased newspaper @SentinelKSMO 
Gets Greitens article reported by a Facebook user 
Political operatives much 
#greitens #Censorship https://t.co/PZcMlKC3xG</t>
  </si>
  <si>
    <t>@SentinelKSMO Incredible how the left on fake book try to censor !</t>
  </si>
  <si>
    <t>@TrumpChess @POTUS @GovGreitensMO Lol so true</t>
  </si>
  <si>
    <t>Why are all the poplar bluff politicians always the iniative leaders in wanting to oust greitens ?   What’s going on in poplar bluff that greitens is such a threat to them  ?
#moleg 
https://t.co/uj3hyS6SGt</t>
  </si>
  <si>
    <t>@STLCrimeBeat Why are all the poplar bluff politicians always the iniative leaders in wanting to oust greitens ?   What’s going on in poplar bluff that greitens is such a threat to them  #moleg</t>
  </si>
  <si>
    <t>@STLCrimeBeat Wish #moleg was as concerned with getting drugs off our streets , as they were getting Governor Greitens  to Resign</t>
  </si>
  <si>
    <t>Federal search warrant being served for fentanyl 
Thug shoots at police , thug gets shot back at by police
🙏🏻Thankful no officers were hurt https://t.co/d98nrAx5RV</t>
  </si>
  <si>
    <t>RT @STLCrimeBeat: Man kidnapped near SLU, made to withdraw cash at ATM by two suspects https://t.co/yiAlrg6UN7</t>
  </si>
  <si>
    <t>A Giant Monument downtown Stl commemorating 
Lying by a vindictive ex husband 
  🤥🌙
Lies by Moon https://t.co/DcSIYETwcL</t>
  </si>
  <si>
    <t>RT @JohnLamping: The Jeff City swamp wants to nullify an election, Missouri voters (esp GOP) won’t soon forget.....</t>
  </si>
  <si>
    <t>@TwitterSupport 
Yo twitter what’s up with the shadow ban , need some help please 
@parscale #parscale</t>
  </si>
  <si>
    <t>@Joe_Cool_1 @tonymess @staceynewman @HereLiesMoon @1057thePoint @RizzShow Why doesn’t anybody atvthe Propoganda Dispatch investigate this Chase Salon?
I never knew it was a local political hub of personal grooming 
greitens, Stacey Newman &amp;amp; Chris Koster.    this place is just putting great clips to shame</t>
  </si>
  <si>
    <t>@Joe_Cool_1 @tonymess @GovGreitensMO @EricGreitens @HereLiesMoon @1057thePoint @RizzShow Why did Stacey newman like &amp;amp; RT Tony’s tweet?
Is Tony going to now block Stacey newman since she has been posting a picture of greitens accuser https://t.co/8ojnCZgIqW</t>
  </si>
  <si>
    <t>@Joe_Cool_1 @tonymess @HereLiesMoon @1057thePoint @RizzShow Does he not realize his bias propogranda he churns Out disgusts us.   About the only thing propoganda dispatch is good for is to line a kitty liter box</t>
  </si>
  <si>
    <t>RT @EricGreitens: I will not be resigning the Governor's office. In three weeks, this matter will go to a court of law—where it belongs and…</t>
  </si>
  <si>
    <t>RT @Steve_UBGDMY: @FOX2now Democrats what him out badly because he has foiled their dishonest, corrupt, way of doing things. Smh</t>
  </si>
  <si>
    <t>@jhm5150 @KMOVMatt @KMOV I think they are more damaged than him , their crooked corruption is more evident.  If Republicans loose seats, it’s on them</t>
  </si>
  <si>
    <t>Steve Cookson of Poplar Bluff, They're tearing our whole party and caucus apart , referring to #greitens supporters 
That’s  code speak for oh snap, our witch hunt isn’t working &amp;amp; tax credits might actually get reformed 
#moleg @MOHouseGOP  #draintheswamp https://t.co/ZspNHIhth2</t>
  </si>
  <si>
    <t>RT @KMOV: .@EricGreitens has responded saying he will not step down saying in part:  "In three weeks, this matter will go to a court of law…</t>
  </si>
  <si>
    <t>RT @AngelaLily0501: @KMOV @EricGreitens Amen. Love my Governor.</t>
  </si>
  <si>
    <t>Just exactly how many investigations does it take to find something ?  Give it up Swampdwellers !
If you put as much effort into crime @EricGreitens witch hunt , Missouri would be Utopia
The bipartisan witch hunt will cost republicans seats &amp;amp; the Dems know it 
#moleg #mosen https://t.co/yMwIYQTdWS</t>
  </si>
  <si>
    <t>RT @ksdknews: Barbara Bush dies: President Trump and wife Melania praise former first lady https://t.co/Go5uWRvcYP https://t.co/0dNkp7g7Kz</t>
  </si>
  <si>
    <t>@DeplorableGoldn @VisioDeiFromLA Still wondering why the house Committee didn’t invite Stacey newman to be a witness &amp;amp; hear her testimony? 
Oh right, stacey was in on the witch hunt</t>
  </si>
  <si>
    <t>RT @Sticknstones4: @MariaChappelleN Why stop at sex? What about DUIs, tax liens, warrants, unpaid child support, unpaid taxes state &amp;amp; feder…</t>
  </si>
  <si>
    <t>RT @MariaChappelleN: Should every Missouri legislator and executive officer having an affair become public?</t>
  </si>
  <si>
    <t>RT @blackwidow07: Well it's about time! There may have been several so called operatives out for sometime offering goodies/rewards and not…</t>
  </si>
  <si>
    <t>RT @TrumpChess: @Sticknstones4 @magathemaga1 You are an idiot @AGJoshHawley all you had to do was remain neutral and say "lets see what hap…</t>
  </si>
  <si>
    <t>RT @magathemaga1: This.
We the voters DO NOT CARE WHAT the “cool kids” club of #MoLeg thinks. 
We voted for Trump because he was a fighte…</t>
  </si>
  <si>
    <t>RT @JW1057: @EricGreitens Thank you, Governor. We love you and @SheenaGreitens. 
@Rep_TRichardson @HawleyMO @elijahhaahr @RobVescovo you a…</t>
  </si>
  <si>
    <t>https://t.co/B10fOysK5P</t>
  </si>
  <si>
    <t>@EricGreitens Thank you  governor !  Stay the course</t>
  </si>
  <si>
    <t>RT @StevenDialTV: NEW statement on behalf of Gov. @EricGreitens 
""I will not be resigning the Governor's office. In three weeks, this matt…</t>
  </si>
  <si>
    <t>@Rep_TRichardson @elijahhaahr @RobVescovo 
Why should Greitens Resign And cowar to you 
Witch Hunters ?
I notice no statement on the court motion that refuted the sham report</t>
  </si>
  <si>
    <t>@RealTravisCook A liberal free zone , omg where do i sign up
Sounds like utopia for all of 5 minutes until they invade us. 
Oh please the party of tolerance is so intolerant of the party that doesn’t tolerate their tolerance.   Live and let live only applies to them.</t>
  </si>
  <si>
    <t>@RiverfrontTimes I’m looking forward to his return</t>
  </si>
  <si>
    <t>@sigi_hill @StLouisCityCA @GovGreitensMO https://t.co/4cK2TUxAw3</t>
  </si>
  <si>
    <t>Fake News MSM never shows Governor greitens governing 
Why is that ? 
Oh right it doesn’t meet the whole distracted unfit narrative they are trying to push 
Great Job @EricGreitens https://t.co/A2RpqUcaTU</t>
  </si>
  <si>
    <t>RT @melody_grover: A partial list of what @JaneDueker has thrown out the window:
Due process
Presumption of innocence
The rule of law
Her…</t>
  </si>
  <si>
    <t>@JohnLamping Sounds like the deep scalp massage was really deep</t>
  </si>
  <si>
    <t>@ZekeMelchizedek https://t.co/If3p6FFXtD</t>
  </si>
  <si>
    <t>@EricGreitens https://t.co/4cK2TUxAw3</t>
  </si>
  <si>
    <t>@chuckwoolery https://t.co/4cK2TUxAw3</t>
  </si>
  <si>
    <t>RT @Speedy62269: @KMOV This is a democratically motivated witch hunt that the judge (probably a liberal) won't dismiss.  Sort of like the f…</t>
  </si>
  <si>
    <t>RT @stlcountypd: Ofc-Involved Shooting Update: Our officers w/@FBI Safe Street Violent Gang Task Force were serving a search warrant for Fe…</t>
  </si>
  <si>
    <t>@stlcountypd @KMOV @FBI @SLMPD Thankful our officers were not hurt</t>
  </si>
  <si>
    <t>@Monetti4Senate @VisioDeiFromLA @Avenge_mypeople @SmokeyBear2018 @juliematthews50 @jallman971 @EricGreitens @SykesforSenate Post a live stream of the debate</t>
  </si>
  <si>
    <t>RT @JohnLamping: Depends who cuts his hair. https://t.co/Knz3etdqnN</t>
  </si>
  <si>
    <t>Office of the Chief Disciplinary Counsel: Revoke the law license of St. Louis Circuit Attorney Kim Gardner! - Sign the Petition! https://t.co/Uc2Jin0ALk via @Change</t>
  </si>
  <si>
    <t>@curtisdtrent @paulcurtman https://t.co/VHCMR4hcry</t>
  </si>
  <si>
    <t>@gatewaypundit  @FDRLST 
Please share this petition 
https://t.co/VHCMR4hcry</t>
  </si>
  <si>
    <t>@MarkSimoneNY 
https://t.co/VHCMR4hcry</t>
  </si>
  <si>
    <t>@RealJamesWoods 
https://t.co/VHCMR4hcry</t>
  </si>
  <si>
    <t>RT @magathemaga1: @Sticknstones4 @EdBigCon Hey @EricGreitens you got a little Mueller 2.0 walking around #moleg and #mogov 
Hey @KathieCon…</t>
  </si>
  <si>
    <t>@WillSchamper_ @JW1057 @VisioDeiFromLA @EricGreitens @SheenaGreitens @TeamGreitens @StLCountyRepub @MissouriGOP @CStamper_ @MOGOP_Chairman @melody_grover @clairecmc @JCunninghamMO Jealous Much</t>
  </si>
  <si>
    <t>RT @JW1057: @DavidALieb @EricGreitens @AP Lawmakers can save themselves the trouble. Because the alleged pre-office actions are fabricated,…</t>
  </si>
  <si>
    <t>RT @JW1057: @EricGreitens @SheenaGreitens @TeamGreitens @StLCountyRepub @MissouriGOP @CStamper_ @MOGOP_Chairman @VisioDeiFromLA @melody_gro…</t>
  </si>
  <si>
    <t>RT @magathemaga1: #LadderBoy Hawley has decided to take on the role of Mueller 2.0
✔Waits until now?
✔Was he doing his job at all as AG?
✔…</t>
  </si>
  <si>
    <t>Do you think they took notes or no notes ?
Did they have a preconceived forced narrative ?
Did the video tape machine malfunction again . 
How many special investigators &amp;amp; outside counsel is being hired ? https://t.co/fYkyGeqqKO</t>
  </si>
  <si>
    <t>RT @JW1057: @kmoxnews Criminally this appears to be nonstarter. If violation occurred on 3/1/15, or earlier, the three year statute of limi…</t>
  </si>
  <si>
    <t>@Str8DonLemon @EricGreitens @MOHouseGOP this summarizes Jefferson City special house session https://t.co/7v33hslxKm</t>
  </si>
  <si>
    <t>Where is Claire’s statement on Kim Gardner ’s gross incompetence ? 
#politicalgames https://t.co/WDG3otAQ40</t>
  </si>
  <si>
    <t>@kmoxnews Seriously lmao 🤣 where’s Claire’s the former prosecutors statement on kim Gardner’s gross incompetence</t>
  </si>
  <si>
    <t>If Josh Hawleys name should be printed on my ballot ,  Im following suit like Alabama.   I’ll write in Nick Saban , at least he’s a guaranteed winner #RollTide  
 #missouri  #MOSEN</t>
  </si>
  <si>
    <t>RT @JW1057: @Sticknstones4 @ws_missouri For people who are claiming that this is not a witch hunt, they sure are doing a good job of making…</t>
  </si>
  <si>
    <t>RT @VisioDeiFromLA: What ever happened with these allegations against Hawley??
"Hawley illegally paid Senate consultants with state campai…</t>
  </si>
  <si>
    <t>@VisioDeiFromLA @EricGreitens @MOHouseGOP @Eric_Schmitt what happened .. maybe after he loses he can join Hillary on tour</t>
  </si>
  <si>
    <t>RT @melody_grover: When did America stop being a country of laws and due process? The political establishment has the #MAGA agenda in their…</t>
  </si>
  <si>
    <t>RT @Avenge_mypeople: @jallman971 and @EricGreitens  are casualties of an ongoing attack against the republican establishment in Missouri. G…</t>
  </si>
  <si>
    <t>@KMOV Why no comment from the Dems about the prosecutor suborned perjury, falsifying documents &amp;amp; withholding evidence ... oh because it’s a witchhunt 
When one thing doesn’t stick , let’s try another</t>
  </si>
  <si>
    <t>RT @KMOV: Top Democrat wants House to take immediate action to remove Gov. Greitens https://t.co/5B95akfTdF https://t.co/GBrWYywTJr</t>
  </si>
  <si>
    <t>@KMOV Why the rush , he’s innocent until proven guilt</t>
  </si>
  <si>
    <t>@KurtEricksonPD @EricGreitens The witch hunt continues</t>
  </si>
  <si>
    <t>RT @KurtEricksonPD: Add'l statement from @EricGreitens: "Josh has turned the “evidence” he claims to have over to St. Louis Circuit Attorne…</t>
  </si>
  <si>
    <t>This is more like the witch hunt continues https://t.co/snlEDsL6t9</t>
  </si>
  <si>
    <t>RT @JW1057: @stlcao Self-interested Josh Hawley and corrupt Kim Gardner a match made in hell. 
#moleg #mogov #greitens #GreitensIndictment…</t>
  </si>
  <si>
    <t>@ksdknews Potential is what your article says , click bait 
Where is the innocence until proven guilty.?</t>
  </si>
  <si>
    <t>RT @melody_grover: At this point, there is room at the top for either @HawleyMO or #mogov but not both. Since it's the AG who is lobbing ac…</t>
  </si>
  <si>
    <t>@JW1057 @jrosenbaum @clairecmc @HotPokerPrinces @Joe_Cool_1 @magathemaga1 Thought you were suppose move up not down</t>
  </si>
  <si>
    <t>RT @AmfellinAlicia: The truth about what happened to @jallman971...
https://t.co/wFwHnsUXOx
#IStandWithJamieAllman
#NoSurrenderMonkeys
#WeW…</t>
  </si>
  <si>
    <t>RT @88YahamaKeys: https://t.co/05YI7BsB20 #OperationHotPoker @QanonPosts FB shutting down videos now?@Margare03880660 @toddstarnes @TheNewR…</t>
  </si>
  <si>
    <t>@StLouisPatch Lol how do you even know her account of such alleged events are reality vs her own fantasies/dreams from her reading the book.  How many men really read the mommie porn book vs women ?</t>
  </si>
  <si>
    <t>@TwitterSupport  what’s happening to my account
A little help please</t>
  </si>
  <si>
    <t>RT @EricGreitens: Great weekend with Republicans in Platte and Buchanan counties! These crowds were fired up, because conservative reforms…</t>
  </si>
  <si>
    <t>@ws_missouri Sloppy lawyering</t>
  </si>
  <si>
    <t>@ws_missouri Still waiting for their press conference to their reaction to the 77 page sworn court transcript that refutes their sham house report of unchallenged, uninvestigated, salacious testimony. Wondering are they truth seekers or witch hunters ?</t>
  </si>
  <si>
    <t>RT @ws_missouri: The #MoLeg is still out of town today (fallout from House report). 
In the criminal case, defense has accused prosecution…</t>
  </si>
  <si>
    <t>RT @Avenge_mypeople: So, #KimShadey hired an outsider ( with taxpayer money) to dig up dirt on #greitens and then perjured himself on the s…</t>
  </si>
  <si>
    <t>@EdBigCon Wait til the board of Alderman try to balance the budget that’s already in the hole 10 million bucks
And all that money kimshady wasted on nonotestisaby</t>
  </si>
  <si>
    <t>@nicebrainsltd  dm  interested in shadow ban removal</t>
  </si>
  <si>
    <t>@EdBigCon #kimshady has made a mockery out of the circuit attorneys office, not just with greitens, failure to try cases, failure to get convictions , bar complaints, attorneys quiting CA office, potential whistleblower  &amp;amp; being at odds with police dept. 
Times Up ! St Louis needs better</t>
  </si>
  <si>
    <t>RT @EdBigCon: #KimShady needs to resign!Greitens' Prosecution: Relying on Investigator Was a Mistake #Moleg   https://t.co/rY1j298Yul</t>
  </si>
  <si>
    <t>@ksdknews Loved this ! What a wonderful teacher</t>
  </si>
  <si>
    <t>@FOX2now Really, how many Missouri legislator members have had affairs or are currently in one ?   Greitens admitted his 
I don’t see anyone else saying me too</t>
  </si>
  <si>
    <t>If the question was asked at Moleg session:
How many Legislators have ever had an affair 
How many would have to say  Yes</t>
  </si>
  <si>
    <t>@JW1057 @JamesMNHarris @HawleyMO @Joe_Cool_1 Even the judges think he sucks
https://t.co/WCv2VD3XeT</t>
  </si>
  <si>
    <t>@SuchHate @Lautergeist @971FMTalk @jallman971 My expectations from propoganda dispatch went out the window along time ago</t>
  </si>
  <si>
    <t>RT @JCunninghamMO: One of the best, fairest and most reasonable statements I have seen. @curtisdtrent https://t.co/X6lPZAW3iU</t>
  </si>
  <si>
    <t>RT @DeplorableGoldn: RT 🚨
Greitens will never resign. Ever. This is the 2nd time @AGJoshHawley has called for the resignation of a Republic…</t>
  </si>
  <si>
    <t>sad when real life sodomy occurs on a child 
No out cry or protest from the left 
What if this got 1/10 the attention , protest, boycott &amp;amp; outcry as Jamie Allmans sarcastic taken out of context free speech tweet did  ?
@Lautergeist  @971FMTalk  @jallman971 https://t.co/Qvz4qg2QZr</t>
  </si>
  <si>
    <t>@STLCrimeBeat Where’s Stacey Newman’s &amp;amp; her liberal left wing Lynchman ?</t>
  </si>
  <si>
    <t>@KMOV Stl needs new building codes with bulletproof glass
&amp;amp; Kevlar lined walls</t>
  </si>
  <si>
    <t>@FOX2now Nope 👎🏻 i have a zero tolerance for DWI, absolutely zero excuses  call an Uber</t>
  </si>
  <si>
    <t>@FOX2now Hawley’s investigation is “clearly compromised” because he has “predetermined the guilt of his own investigative target.”  This seems to be the new mode of operation for Missouri Justice.  What happened to innocent until proven guilty instead of guilty until proven innocent ?</t>
  </si>
  <si>
    <t>@FOX2now Glad he’s lawyering up &amp;amp; fighting the crooked political operatives trying to take him down.   Greitens is a fighter</t>
  </si>
  <si>
    <t>@FOX2now Hope when slmpd catches them , #kimshady will be competent to build a case that holds</t>
  </si>
  <si>
    <t>@cturtle31 @BigJShoota And the exhusbands lawyer !</t>
  </si>
  <si>
    <t>@jallman971 Your Fan Base is Huge &amp;amp; you are greatly missed !
Keep talking , we wanna listen ❤️</t>
  </si>
  <si>
    <t>@melody_grover @HawleyMO Agree ! ladder boy should resign as AG too, hes so busy climbing, he’s not doing a good job as AG</t>
  </si>
  <si>
    <t>RT @melody_grover: If the case against #mogov is dismissed or results in acquittal, @HawleyMO must immediately resign as AG and depart the…</t>
  </si>
  <si>
    <t>@TwitterSupport  @parscale 
A little help please , remove my shadowban , confused as to which 
Hashtag gets somebody banned Moleg, team greitens or greitens</t>
  </si>
  <si>
    <t>RT @BSepStl: @chuckwoolery Living in St. Louis and following this case very closely its it unbelievable what the prosecution has done to th…</t>
  </si>
  <si>
    <t>RT @Laura28617228: @chuckwoolery As a former St. Louis City Resident, I know the corruption runs deep. A democratic run city falling apart.…</t>
  </si>
  <si>
    <t>RT @Don194757: @chuckwoolery That bitch is crazy and I'm wondering when the bar association of Missouri is going to step in. The governor w…</t>
  </si>
  <si>
    <t>RT @misharu2: @chuckwoolery Chuck, this whole thing is a joke.  Her only evidence:  a secret tape  made by the EX-husband of the chick Grei…</t>
  </si>
  <si>
    <t>RT @Str8DonLemon: Yo @TwitterSupport 
Can I please get my shadow ban removed?
I did nothing wrong!
Thanks!
@parscale</t>
  </si>
  <si>
    <t>@Str8DonLemon @twittersupport https://t.co/Hfy0mB2G4v</t>
  </si>
  <si>
    <t>RT @TheNewRight: When the knee-jerk narrative begins to crumble https://t.co/EY6iYTsyEM</t>
  </si>
  <si>
    <t>RT @Lautergeist: Lots of people in this town and across the nation love @jallman971 @JamieAllman
What a shame the #OutrageMafia is so biase…</t>
  </si>
  <si>
    <t>@grcfay @Change I got a mini allman fix with his FB video 
I miss Jamie !  Operation Hot Poker sounds like a good one
Go Jamie Go ! #IStandWithJamieAllman</t>
  </si>
  <si>
    <t>@grcfay @Change https://t.co/TH8S0g6NQZ</t>
  </si>
  <si>
    <t>@TwitterSupport @parscale 
Why on earth did I get shadow banned ? 
Please fix my account , Thank you 🙏🏻</t>
  </si>
  <si>
    <t>RT @SentinelKSMO: Greitens' Prosecutors Admit "Egregious Mistakes," Face Dismissal of Case - https://t.co/ROewkVC6c9</t>
  </si>
  <si>
    <t>@SentinelKSMO Another well written factual detailed article 👍🏻 It’s very refreshing to read #realnews</t>
  </si>
  <si>
    <t>Thread of Corrupt #Kimshady ‘s #Lies 
Where is the Press Conference from #Moleg with their ourtage of such behavior ? 
Do you condone all this bad behavior from the Prosecutor?
Will you be asking #KimShady to Resign ? 
#greitens #malfeasance #witchhunt @MOHouseGOP @MOLegDems https://t.co/2C4uCMEEAD</t>
  </si>
  <si>
    <t>RT @Norasmith1000: @Sticknstones4 @KMOXKilleen Isn't Gardner the one that insisted on hiring him rather than using STL police, even though…</t>
  </si>
  <si>
    <t>#MoLeg @MOHouseGOP @MOLegDems 
Yo Legislators I didnt see you on my TV tonight
Why No press conference about your response to the
77 page court transcript that refutes your sham report 
Are you Witch Hunters or Truth Seekers? 
#greitens #teamgreitens #Missouri #GreitensReport https://t.co/klgu6U8Qbd</t>
  </si>
  <si>
    <t>RT @kendylei: @Sticknstones4 Exactly, that’s the worst thing about this whole witch hunt. this prosecutor has her own ulterior motives, bes…</t>
  </si>
  <si>
    <t>@KMOXKilleen Didnt we the tax payers pay for this dipshit inspector that her spokeswoman said was a well qualified investigator because the one staff one weren’t 
That office is f’d up</t>
  </si>
  <si>
    <t>@KMOXKilleen TheLegalGod of STL being looking hella Fly</t>
  </si>
  <si>
    <t>Good Evening #moleg 
Are you Bullies ? 
Which Ones of you Crooked MoFo’s are Bullying your coworkers ?   
Isn’t there an Anti-bullying law in the workplace ?
Are y’all Mean Boys N Girls or just straight up corrupt?
#greitens #stopbullying #bullies 
@MOHouseGOP @MoLegDems https://t.co/BCWPSCDTBu</t>
  </si>
  <si>
    <t>The sad thing is we do have killers
And they are going free because #kimshady wont make a case 
#stlouis #stlboa #stl #recordhomocidss #moleg
#stlcards #soros #democrats #prosecutorialmisconduct #barcomplaint https://t.co/cAmv5Q3t6d</t>
  </si>
  <si>
    <t>@gibmot @Joe_Cool_1 @RealTravisCook @HereLiesMoon @1057thePoint @RizzShow What’s wrong with pro wrestling</t>
  </si>
  <si>
    <t>"We know what the situation is," says State Representative Kevin Engler.
"It would be premature to start impeachment if something changes then we will change,"
I Agree !   Kevin Engler is a smart man he gets a 👍🏻
The democrats Not so Smart  they get a👎🏻
#moleg #greitens https://t.co/zaWv71hFel</t>
  </si>
  <si>
    <t>RT @RealTravisCook: @gibmot @Joe_Cool_1 @Sticknstones4 @HereLiesMoon @1057thePoint @RizzShow Obsessed with making sure #justice is done in…</t>
  </si>
  <si>
    <t>@gibmot @Joe_Cool_1 @RealTravisCook @HereLiesMoon @1057thePoint @RizzShow Tom i assure you i have much better taste in men, i like to be satisfied &amp;amp; 🌙wouldn’t cut it. 
I am concerned about poltical operatives trying to unseat a duly elected governor &amp;amp; a shady prosecutor obstructing justice</t>
  </si>
  <si>
    <t>@YearOfZero @K___Garner @EricGreitens Women even have home sex toy parties , sexy toys are the new Tupperware</t>
  </si>
  <si>
    <t>RT @cfsho444: @myovaloffic @Stargatelady99 @EricGreitens Sir, do you not care about allowing a governor elected by the people to defend him…</t>
  </si>
  <si>
    <t>RT @EdBigCon: @Sticknstones4 @tmsnbb @realDonaldTrump @PressSec @TuckerCarlson @seanhannity Makes you think it was a setup all along...</t>
  </si>
  <si>
    <t>@EdBigCon @tmsnbb @realDonaldTrump @PressSec @TuckerCarlson @seanhannity Bingo !</t>
  </si>
  <si>
    <t>RT @SLMPD: Help detectives identify 3 suspects who robbed a Sprint store on 4/9/18, at 8 pm. One suspect was armed with a handgun. Suspects…</t>
  </si>
  <si>
    <t>attorney Edward L. Dowd Jr. raised concerns over Josh Hawley's comment last week urging Greitens to resign. The letter says Hawley's investigation is "clearly compromised" because he has "predetermined the guilt of his own investigative target."
Agree ! https://t.co/UE9L8uAbuQ</t>
  </si>
  <si>
    <t>RT @philip_saulter: @kendylei @cenasby @Sticknstones4 @EricGreitens The stupidity of so many of our Representatives is what worries me the…</t>
  </si>
  <si>
    <t>@tmsnbb @realDonaldTrump That’s funny if it’s so unsafe WHY is Rep Stacey Newman parading Greitens alleged accuser At the capital 
Looks Safe to Me , everybody be smiling 
@PressSec @TuckerCarlson @seanhannity #moleg #witchhunt https://t.co/rLmDteuhnR</t>
  </si>
  <si>
    <t>@amyinthelou How do you get predator ?</t>
  </si>
  <si>
    <t>@tmsnbb He has admitted to the affair
The testimony in the house report doesn’t have any intercourse only Oral ala bill Clinton style
Yes Adultery is Morally wrong &amp;amp; not something done in office.  It’s also Not a Crime,
How many #Moleg have had affairs ?</t>
  </si>
  <si>
    <t>@K___Garner I back greitens and I’m not Scum 
Until I see proof otherwise, this affair was consensual 
Having consensual sex is not a crime</t>
  </si>
  <si>
    <t>#moleg witchhunters
This ones for you ! https://t.co/ZKv1E3ZD4J</t>
  </si>
  <si>
    <t>@mizzouatheart If you think that of Greitens , you must think Kim Gardner prosecutorial malfeasance is just down outright low down dirty</t>
  </si>
  <si>
    <t>@thesearcher998 Did you have any luck with this story
https://t.co/G4XbfoElbN</t>
  </si>
  <si>
    <t>@melody_grover They are Swamp Creatures</t>
  </si>
  <si>
    <t>@GrahamDavidA How about tracking down the real root cause of this witch hunt. The consensual affair was well known before office. Greitens was out to reform the team credits &amp;amp; Boom the story hit.  Who’s on the take &amp;amp; who looses the most
#moleg
https://t.co/G4XbfoElbN</t>
  </si>
  <si>
    <t>@TomJEstes Start with Crazy Jamilah Nasheed, she want to regulate guns but she was arrested protesting ,suspected of being drunk &amp;amp; had a loaded 9mm in her pocket
She’s now pandering with the moms demand groups for votes #Moleg #hypocrite</t>
  </si>
  <si>
    <t>@ws_missouri @GovWalker seems not fit to govern.  He makes statements based on inaccuracy 
He should read the court transcript that refutes his inaccurate reports 
Than he should apologize to @GovGreitensMO
https://t.co/ZRrPlZyjHm</t>
  </si>
  <si>
    <t>@govwalker  you seem like  a Moron 
You should read before you speak , read a 77 page  transcript of court motion that refutes the House committee report &amp;amp; the prosecution lied multiple times
#Greitens is Not Resigning  but maybe you should 
#Wisconsin #missouri #witchhunt https://t.co/otY4kbhLNf</t>
  </si>
  <si>
    <t>RT @chuckwoolery: Dirty Soros-Backed St. Louis Circuit Attorney Withheld Major Evidence in Governor Greitens’ Case – Must Resign Immediatel…</t>
  </si>
  <si>
    <t>@chuckwoolery https://t.co/0fIKL20T3p</t>
  </si>
  <si>
    <t>RT @melody_grover: Missouri #FakeNews media along with the #moleg surrender caucus: "Why wait until we know if it's accurate?" #mogov https…</t>
  </si>
  <si>
    <t>We agree 
#kimshady needs to step down
#stl https://t.co/uPWKNpi73y</t>
  </si>
  <si>
    <t>@chuckwoolery https://t.co/QGPPBYy9e0</t>
  </si>
  <si>
    <t>@BFT_Podcast Even the police chief is at a war of words with #kimshady 
https://t.co/QGPPBYy9e0</t>
  </si>
  <si>
    <t>@gatewaypundit @mopns had a report on an fbi public corruption investigation into Stlca and Kim Gardner , with a whistle blower on another case  
Have you heard anything about this @gatewaypundit</t>
  </si>
  <si>
    <t>RT @VisioDeiFromLA: #MoSwamp more concerned about who this guy is, if so and so is getting paid, rather than discussing the actual truth of…</t>
  </si>
  <si>
    <t>RT @magathemaga1: So who is paying it Beth. 15k is kind of a low number... that's probably just a chunk. I can only imagine it's probably 5…</t>
  </si>
  <si>
    <t>@VisioDeiFromLA I don’t want @EricGreitens to resign @POTUS this is a corrupt witch hunt happening in Missouri</t>
  </si>
  <si>
    <t>@JudgeJeanine @Judgenap @SebGorka @IngrahamAngle 
@TuckerCarlson  Y’all need to have Jamie Allman on as a guest &amp;amp; start covering this spectacle of a witch hunt that’s attacking governor greitens from a crooked prosecutor to the crooked legislature and their tax credits  #moleg</t>
  </si>
  <si>
    <t>@JudicialWatch Start in Missouri lots of swamp creatures</t>
  </si>
  <si>
    <t>RT @BFT_Podcast: Dirty Soros-Backed St. Louis Circuit Attorney Withheld Major Evidence in Governor Greitens’ Case – Must Resign Immediately…</t>
  </si>
  <si>
    <t>@BFT_Podcast Soros paid #KimShady conducted a witch hunt based on lies
Indicted our duly elected governor based on lies &amp;amp; no evidence 
#greitens #missouri #maga #trump #witchhunt #donotreign #teamgreitens #republicans https://t.co/7WQOl3Y7is</t>
  </si>
  <si>
    <t>@Pr1vate_Hud50n @BFT_Podcast @vintgshopgirl May the door hit ya where the good lord split ya #kimshady</t>
  </si>
  <si>
    <t>She’s referring to #kimshady 
We Agree  We Agree https://t.co/SDKbgVr1YD</t>
  </si>
  <si>
    <t>@Lautergeist @jallman971 @Entercom @WeAreSinclair Or if you're parent and your kids are diving you bat shit crazy yell it at them and shit be gettin done</t>
  </si>
  <si>
    <t>@stevenwaite2 @JW1057 @Joe_Cool_1 @VisioDeiFromLA @magathemaga1 Read .. they failed to investigate or gather 
They listened and wrote a salacious report 
https://t.co/LjZa9tWarN</t>
  </si>
  <si>
    <t>RT @Lautergeist: There is even a news report that said #KimShady KNEW ON MONDAY they had that videotape
#Greitens #GreitensIndictment 
#Do…</t>
  </si>
  <si>
    <t>RT @JW1057: @ws_missouri A corrupt prosecutor is deeply troubling. A committee that take testimony and evidence from one side is deeply tro…</t>
  </si>
  <si>
    <t>@ws_missouri More disturbing is the
At @clairecmc is a former prosecutor and she’s not calling out the misconduct &amp;amp; lies of the St Louis Circuit Attorneys office.  Claire knows evidence has been withheld , lies have been told &amp;amp; prosecutorial malfeasance is evident.  
#MOSEN #maga #trump</t>
  </si>
  <si>
    <t>@PDBeth @jdavidsonlawyer @SentinelKSMO What’s it true beth ? That your paper is bias or the affair allegedly being non consensual thus a victim vs consensual no victim ?</t>
  </si>
  <si>
    <t>@VisioDeiFromLA @LanceDKewley @shawnrhoads154 @EricGreitens @joelpollak @gatewaypundit @MOHouseGOP @SheenaGreitens The fact non of these legislators have read &amp;amp; given a press conference about this court transcript 
Is very troubling #moleg
https://t.co/ZRrPlZyjHm</t>
  </si>
  <si>
    <t>RT @MizzouPatriot: To those calling for Governor Greitens to resign before he’s had a chance to defend himself in court: that most American…</t>
  </si>
  <si>
    <t>RT @JW1057: @stevenwaite2 @Joe_Cool_1 @VisioDeiFromLA @Sticknstones4 @magathemaga1 Without proper cross-examination you can't determine cre…</t>
  </si>
  <si>
    <t>@chuckwoolery Read her lies and what a witch hunt our duly elected governor is under attack #greitens 
https://t.co/ZRrPlZyjHm https://t.co/gQ3BYI13TI</t>
  </si>
  <si>
    <t>RT @YearOfZero: 🚨 #KimShady 🚨 
“Dirty Soros-Backed St. Louis Circuit Attorney Withheld Major Evidence in Governor Greitens’ Case – Must Re…</t>
  </si>
  <si>
    <t>@RealTravisCook @Joe_Cool_1  help Travis out 😏</t>
  </si>
  <si>
    <t>@RealTravisCook Darling those arent rumors the crazy sob publicly tweeted at Greitens in 2016 
Even his self “proclaimed whore” attorney said it was out there &amp;amp; worst kept secret in North America</t>
  </si>
  <si>
    <t>@melody_grover @NRSC @SCF Well let’s gets put the magic eraser and get this scum out 
I keep a clean house no swamp scum  up in here</t>
  </si>
  <si>
    <t>RT @melody_grover: People with dirt on their hands act like they're Mr. Clean but best disinfectant is light. @NRSC regularly threatens con…</t>
  </si>
  <si>
    <t>RT @JoanneColombo: Dirty Soros-Backed St. Louis Circuit Attorney Withheld Major Evidence in Governor Greitens’ Case – Must Resign Immediate…</t>
  </si>
  <si>
    <t>RT @SykesforSenate: The Missouri State Senate republicans are either being played for fools or personally benefiting by attacking Greitens.…</t>
  </si>
  <si>
    <t>@stevenwaite2 @JW1057 @Joe_Cool_1 @VisioDeiFromLA @magathemaga1 Read 77 pages see some lies 
https://t.co/ZRrPlZyjHm</t>
  </si>
  <si>
    <t>Why #moleg  ?  
A report based on just testimony 🤷🏼‍♀️🤷🏽‍♀️🤷🏾‍♀️🤷‍♂️🤷🏻‍♂️🤷🏾‍♂️
No Investigation  No Cross Examination 
Just irresponsibly issue a salacious report based on a testimony 
#greitens #witchhunt #missouri #maga #trump #donoresign #consensual https://t.co/zt670MUNw2</t>
  </si>
  <si>
    <t>@RealTravisCook If i see something i say something in every color of the rainbow 🌈</t>
  </si>
  <si>
    <t>RT @Hope4Hopeless1: #KimShady witheld EVIDENCE in discovery and it MAGICALLY appeared 1hr after #Moleg's "report"  that SHOWS that when Kit…</t>
  </si>
  <si>
    <t>RT @EdBigCon: @shesova @sigi_hill @Norasmith1000 @Sticknstones4 @JW1057 @magathemaga1 @Joe_Cool_1 @VisioDeiFromLA @jaybarnes5 @KevinLAustin…</t>
  </si>
  <si>
    <t>@shesova @sigi_hill @Norasmith1000 @JW1057 @magathemaga1 @Joe_Cool_1 @VisioDeiFromLA @jaybarnes5 @KevinLAustin1 @gcmitts @jeanielauer @TommiePierson @shawnrhoads154 @Rep_TRichardson @FoxNews @TuckerCarlson Please feel free to join in anytime and tag anyone you think should read our tweets , much appreciated</t>
  </si>
  <si>
    <t>RT @juckniess_linda: @EricGreitens Keep fighting the swamp Govenor 🇺🇸🇺🇸🇺🇸</t>
  </si>
  <si>
    <t>@EricGreitens Wonderful Governor! We support you !</t>
  </si>
  <si>
    <t>@Avenge_mypeople @EdBigCon The Missouri king of tax credits &amp;amp; his hayseed mafia of course</t>
  </si>
  <si>
    <t>RT @Avenge_mypeople: @EdBigCon This whole thing stinks to high heaven. The question we should all be asking is "who benefits?" Could all of…</t>
  </si>
  <si>
    <t>@jrosenbaum @EricGreitens He should Dismiss &amp;amp; issue sanctions against the circuit attorney</t>
  </si>
  <si>
    <t>@JW1057 @Hope4Hopeless1 @Joe_Cool_1 @VisioDeiFromLA @magathemaga1 Lol lucky guy 2 in a day</t>
  </si>
  <si>
    <t>@Hope4Hopeless1 @JW1057 @Joe_Cool_1 @VisioDeiFromLA @magathemaga1 This sounds like quickie consensual Foreplay b4 work 
And than after work came back for more</t>
  </si>
  <si>
    <t>@RealTravisCook @paulcurtman bar complaint mentions a case where they have video of stabbing victim  /. What about the Asian man that was beaten in back of his store &amp;amp; died  &amp;amp; the list goes on #kimshady</t>
  </si>
  <si>
    <t>RT @RealTravisCook: Bingo. While this political witch hunt continues, there are countless murders, robberies, carjackings, rapes, &amp;amp; drug de…</t>
  </si>
  <si>
    <t>All this money to make a baseless class D felony stick
While violent crime cases fall apart
#kimshady is a champion for Heroin Dealers
I bet recently acquitted of 1st degree murder Kaneil "Little Black Dude" Hess is enjoying his freedom
#stl #stlouis #stlboa 
#stlboa #stl https://t.co/3KmaPrKzuv</t>
  </si>
  <si>
    <t>@scottfaughn Drain the entire swamp of crooks, we don’t need spineless cowards representing Us.</t>
  </si>
  <si>
    <t>Missourians need to take back #Missouri and not these corrupt greedy Mofos
Show Me Sate Needs to show them who’s the boss US the people or their Corrupt Money 💰 
#Moleg #Greitens #teamgreitens #witchhunt #soros 
#Republicans #Maga #DrainTheSwamp #democrats https://t.co/BCWPSCDTBu</t>
  </si>
  <si>
    <t>@RGreggKeller @missouriscout Missourians need to take back Missouri and not these corrupt greedy Mofos</t>
  </si>
  <si>
    <t>@MoLegDems  #Moleg #greitens #mogov #WitchHunt
When will you be having a special Reading session of the 77 page Transcript of motion hearing that refutes the sham report by the House Committee ?
Will you have a press conference after ?
https://t.co/ZRrPlZyjHm</t>
  </si>
  <si>
    <t>@MOHouseGOP  #Moleg #greitens #mogov #WitchHunt
When will you be having a special Reading session of the 77 page Transcript of motion hearing that refutes the sham report by the House Committee ?
Will you have a press conference after ?
https://t.co/ZRrPlZyjHm</t>
  </si>
  <si>
    <t>RT @EdBigCon: BREAKING: Dirty Soros-Backed St. Louis Circuit Attorney Withheld Major Evidence in Governor Greitens' Case - Must Resign Imme…</t>
  </si>
  <si>
    <t>@Lautergeist @SheenaGreitens @HubbardRadio @1057thePoint @KCStar  article reports under oath 🌙cheated with 5 women while separated</t>
  </si>
  <si>
    <t>When Is special reading session for New Evidence that makes House Investigative Report A Sham ? 
@jaybarnes5 @gcmitts @TommiePierson @jeanielauer @shawnrhoads154 @KevinLAustin1  #DonPhillips
#Moleg #Greitens #Mogov #mosen #withhunt
https://t.co/ZRrPlZyjHm</t>
  </si>
  <si>
    <t>RT @SorosInSTL: Stop making good points!
I bought them all off. I don't need no two bit justice "warrior" screwing it up!
#MoLeg #MoGov #…</t>
  </si>
  <si>
    <t>RT @FOX2now: Scheduled pre-trial hearing for Gov. Greitens Monday https://t.co/AfYOqMWyte https://t.co/J6M1GlpGcr</t>
  </si>
  <si>
    <t>RT @ems1944: @RGreggKeller @missouriscout What's so special about Greitens that folks will ignore a roaring moral/legal conflagration to ba…</t>
  </si>
  <si>
    <t>RT @magathemaga1: Paging @KathieConway 
Real fine job you did looking at all the facts. Think it's time we move to shut this clown show do…</t>
  </si>
  <si>
    <t>RT @Lautergeist: Again.
👏ALL👏WORDS👏
👏NO👏EVIDENCE👏
Those of you in Jeff City with law degrees, representing us out here paying your salary…</t>
  </si>
  <si>
    <t>RT @VisioDeiFromLA: ⚠️ NARRATIVE ALERT ⚠️
✔Allegations falling apart
✔#MoLeg scrambling!
✔Made up stories about tractor driving hemroid vi…</t>
  </si>
  <si>
    <t>RT @SykesforSenate: Remember the first time you saw a politician sell out? Here's a front row seat. WATCH HERE: https://t.co/hc694RrBV4
#MO…</t>
  </si>
  <si>
    <t>RT @magathemaga1: @EricGreitens Help me understand this! https://t.co/OqD3NaWNzH</t>
  </si>
  <si>
    <t>@JW1057 I thought that description was off when  I 1st Read too</t>
  </si>
  <si>
    <t>RT @JW1057: Cross-examination trivia! 
Can anyone spot the hole in Kitty's testimony? The committee members sure did not.
Answer below!…</t>
  </si>
  <si>
    <t>Instead of tweeting, emailing, stalking &amp;amp; shopping story
Why didn’t PS show that tape to the police ? 
The police, the people that would of listened,reacted, keep us safe &amp;amp; protect us.
The police won’t pay you for fiction will they ? 
Consensual 
#moleg #greitens #WitchHunt #lies https://t.co/IOTrbiGe0d</t>
  </si>
  <si>
    <t>RT @magathemaga1: @queenofBLAH @EricGreitens He shouldn’t resign. Tell me, why would the accuser call @EricGreitens a home wrecker and chea…</t>
  </si>
  <si>
    <t>RT @aaron_hedlund: The politics will all sort itself out in the end. The cowardly move is to throw someone under the bus purely out of poli…</t>
  </si>
  <si>
    <t>RT @VisioDeiFromLA: Good question for @robschaaf
#MoLeg #MoGov #MoSen #MoHouse https://t.co/ZPi0w87OmM</t>
  </si>
  <si>
    <t>RT @Avenge_mypeople: @robschaaf Where do you stand on tax increment financing? Asking for a friend... https://t.co/ZalUV5Hqw2</t>
  </si>
  <si>
    <t>RT @sigi_hill: @Norasmith1000 @Sticknstones4 @JW1057 @magathemaga1 @Joe_Cool_1 @VisioDeiFromLA @jaybarnes5 @KevinLAustin1 @gcmitts @jeaniel…</t>
  </si>
  <si>
    <t>@CovfefeAgent @cenasby @kendylei @EricGreitens Sounds like she dreamed about the mommie porn book 50shades of grey &amp;amp; was living out her fantasies
Of a sexy workout</t>
  </si>
  <si>
    <t>RT @magathemaga1: When U put UR ear 2 the ground &amp;amp; listen 2 what's going on in #MoSwamp that is #MoLeg, it becomes even more clear swamp in…</t>
  </si>
  <si>
    <t>@magathemaga1 @VisioDeiFromLA @WillSchamper_ @EdBigCon @KathieConway @ohsynesthesia @YearOfZero @TommyLeeAllman @EricGreitens @BigJShoota @joelpollak @SKOLBLUE1 @Avenge_mypeople @Blackboxhalo @MOHouseGOP @DaynaGould @Hope4Hopeless1 @MissouriGOP @GOPMissouri @strmsptr @ninekiller @JohnLamping @FN4AP @ErgoStreetNurse @AvrilMai91 @blackwidow07 Instead tweeting, emailing, stalking &amp;amp; shopping story
Why didn’t he show that tape to the police ? 
The police , the people that would of listened &amp;amp; reacted, keep up safe &amp;amp; protect us.
The police won’t pay you for fiction will they ? 
#moleg #greitens #WitchHunt #lies</t>
  </si>
  <si>
    <t>RT @VisioDeiFromLA: @KathieConway @ohsynesthesia @YearOfZero @TommyLeeAllman @EricGreitens Yet didn't cross examine the witness?  Sorry but…</t>
  </si>
  <si>
    <t>RT @ohsynesthesia: @YearOfZero @KathieConway @TommyLeeAllman @VisioDeiFromLA @EricGreitens I'm so exhausted with the anti-Greitens side imm…</t>
  </si>
  <si>
    <t>RT @EdBigCon: @VisioDeiFromLA @KathieConway @ohsynesthesia @YearOfZero @TommyLeeAllman @EricGreitens They are rushing this so the establish…</t>
  </si>
  <si>
    <t>@magathemaga1 @VisioDeiFromLA @WillSchamper_ @EdBigCon @KathieConway @ohsynesthesia @YearOfZero @TommyLeeAllman @EricGreitens @BigJShoota @joelpollak @SKOLBLUE1 @Avenge_mypeople @Blackboxhalo @MOHouseGOP @DaynaGould @Hope4Hopeless1 @MissouriGOP @GOPMissouri @strmsptr @ninekiller @JohnLamping @FN4AP @ErgoStreetNurse @AvrilMai91 @blackwidow07 CONSENSUAL</t>
  </si>
  <si>
    <t>RT @magathemaga1: @VisioDeiFromLA @WillSchamper_ @EdBigCon @KathieConway @ohsynesthesia @YearOfZero @TommyLeeAllman @EricGreitens @Sticknst…</t>
  </si>
  <si>
    <t>RT @magathemaga1: When U realize #MoLeg libs/RINOS &amp;amp; other #MoSwamp creatures appealing 2 @potus who many of them hate 2 get @EricGreitens…</t>
  </si>
  <si>
    <t>RT @magathemaga1: @Norasmith1000 @YearOfZero @Sticknstones4 @HawleyMO @EricGreitens @SykesforSenate @AP4Liberty @Monetti4Senate Take the po…</t>
  </si>
  <si>
    <t>RT @magathemaga1: 🚨 #MoLeg #MoSen #MoGov 🚨 
POLL TIME!
Now that #LadderBoy Hawley is no longer viable option since he wants to deny @Eric…</t>
  </si>
  <si>
    <t>RT @Norasmith1000: @YearOfZero @Sticknstones4 @HawleyMO @EricGreitens @SykesforSenate @AP4Liberty @Monetti4Senate Hawley has lost my vote a…</t>
  </si>
  <si>
    <t>RT @memoriadei: Shaming is now a #MOLEG norm by some.  I do not vote for bullies.  #Greitens needs to stand his ground</t>
  </si>
  <si>
    <t>RT @JW1057: @parscale If @realDonaldTrump ask @EricGreitens to resign, then you may tell the President has lost at least one vote in Ohio.…</t>
  </si>
  <si>
    <t>RT @JW1057: @realDonaldTrump There is a rumor that you may call on @EricGreitens to resign. Please note that if you do, you will lose my su…</t>
  </si>
  <si>
    <t>RT @Avenge_mypeople: @JeffSmithMO It appears this fake #GreitensIndictment  isn't gonna pan out, so they move on to other issues, exposing…</t>
  </si>
  <si>
    <t>RT @Avenge_mypeople: Sometimes, those who tell lies end up being the ones in jail. I'd tread lightly #kimshadey with all the lies and decei…</t>
  </si>
  <si>
    <t>@TommyLeeAllman @aaronbaker50 Proudly voted for trump, greitens,  &amp;amp; blunt .. your welcome</t>
  </si>
  <si>
    <t>RT @magathemaga1: So many #MoLeg swamp dwellers acting like they know the accuser.... do they?
Well Stacey Newman does per her Facebook pa…</t>
  </si>
  <si>
    <t>@ScottCharton @EricGreitens Wow my bottom has never experienced such, nor have i ever driven a tractor, maybe they need  some inflatable donuts while driving.  Interesting church though ⛪ judging for Jesus</t>
  </si>
  <si>
    <t>@TommyLeeAllman @aaronbaker50 Funny how liberals always troll non liberal accounts &amp;amp; can’t have a discussion without personal insult</t>
  </si>
  <si>
    <t>@KathieConway @YearOfZero @TommyLeeAllman @VisioDeiFromLA @EricGreitens She too shopped her story to media outlets along with ex husband , she shopped her story , story being the operative word, she never reported a crime
She was not a victim, there was never a crime, it was consensual</t>
  </si>
  <si>
    <t>@YearOfZero Yeah one stop propoganda dispatch 
One stop where we leave all the facts out</t>
  </si>
  <si>
    <t>@YearOfZero Maybe #Moleg should have one of those bus tours down to Larry Flynts Hustler Store , satin blindfold and fuzzy handcuffs for everyone</t>
  </si>
  <si>
    <t>@VisioDeiFromLA @MOHouseGOP @MOGOP_Chairman Everbody should look into all of their backgrounds</t>
  </si>
  <si>
    <t>RT @VisioDeiFromLA: #MoLegCriedWolf
Allegations falling apart!
Now emails! What’s next? Parking tickets?
So transparent how y’all are tr…</t>
  </si>
  <si>
    <t>RT @Avenge_mypeople: @Sticknstones4 @VisioDeiFromLA @EricGreitens After leaving his trash with underwear in tow, they'll next check tread d…</t>
  </si>
  <si>
    <t>@TommyLeeAllman @aaronbaker50 He has all the business and right to be in electoral politics
HE WON AN ELECTION 🗳 #teamgreitens</t>
  </si>
  <si>
    <t>RT @JW1057: @YearOfZero @blackwidow07 @Sticknstones4 @HawleyMO @EricGreitens @SykesforSenate @AP4Liberty @Monetti4Senate Why the rush? The…</t>
  </si>
  <si>
    <t>RT @blackwidow07: @YearOfZero @Sticknstones4 @HawleyMO @EricGreitens @SykesforSenate @AP4Liberty @Monetti4Senate Think @HawleyMO got some b…</t>
  </si>
  <si>
    <t>RT @YearOfZero: @blackwidow07 @Sticknstones4 @HawleyMO @EricGreitens @SykesforSenate @AP4Liberty @Monetti4Senate I don’t see what is the ru…</t>
  </si>
  <si>
    <t>RT @blackwidow07: @YearOfZero @Sticknstones4 @HawleyMO @EricGreitens @SykesforSenate @AP4Liberty @Monetti4Senate Can you write- in a candid…</t>
  </si>
  <si>
    <t>@blackwidow07 @YearOfZero @HawleyMO @EricGreitens @SykesforSenate @AP4Liberty @Monetti4Senate Yes in Alabama people opted to write in, 
Nick Saban won 3rd place</t>
  </si>
  <si>
    <t>@SorosInSTL What is the hell was going on at the Chase  💇‍♂️ 
Sounds like there was a hidden agenda in a cut n blow appointment</t>
  </si>
  <si>
    <t>@Avenge_mypeople @VisioDeiFromLA @EricGreitens Holy crap they’ll find out my my banana 🍌 wasn’t organic</t>
  </si>
  <si>
    <t>Another One ☝️ #stl 
It ain’t a weekend in da Lou unless somebody dies https://t.co/Ubn6DHvmfC</t>
  </si>
  <si>
    <t>@VisioDeiFromLA @MOHouseGOP @EricGreitens Yawn their attacks are getting old 
Cuff n stuff me, i once had a library book past due for a week   #moleg</t>
  </si>
  <si>
    <t>@kendylei I think her ginormous lips might get caught on the door frame on the way out</t>
  </si>
  <si>
    <t>RT @shesova: This is a witch hunt! Never saw a group of people who want to take down a @GOP  politician based on NON EVIDENCE before he is…</t>
  </si>
  <si>
    <t>RT @YearOfZero: I will be casting my vote for somebody else since you want to trample on @EricGreitens right to prove innocence. Consensual…</t>
  </si>
  <si>
    <t>RT @YearOfZero: @HawleyMO 
WAS planning on voting for U
Not now
Do not support witch hunt against @EricGreitens &amp;amp; as LEO can tell U alle…</t>
  </si>
  <si>
    <t>@Lautergeist @ScottCharton @EricGreitens https://t.co/ZRrPlZyjHm https://t.co/tsN0AgTvDz</t>
  </si>
  <si>
    <t>RT @Lautergeist: These UNSUBSTANTIATED allegations, IF they occurred, did before @EricGreitens was #MoGov
There is NO EVIDENCE of an impea…</t>
  </si>
  <si>
    <t>@MariaChappelleN Why stop at sex? What about DUIs, tax liens, warrants, unpaid child support, unpaid taxes state &amp;amp; federal, arrests, illegal drug usege, suspended drivers licenses, bankruptcies, disbarments, financial fraud, unpaid debt
don’t hold back you Go girl !   Out Em All  #moleg #crooks</t>
  </si>
  <si>
    <t>RT @Norasmith1000: @VisioDeiFromLA @shawnrhoads154 @EricGreitens @joelpollak @gatewaypundit @MOHouseGOP @SheenaGreitens Absolutely. Doesn't…</t>
  </si>
  <si>
    <t>RT @kendylei: Lawyers keep leaving St. Louis Circuit Attorney's office https://t.co/LNXQHBaLMl via @stltoday</t>
  </si>
  <si>
    <t>@kendylei @stltoday Gardner recently renewed a consulting contract with Maurice Foxworth, SLU classmate whose law license has been suspended since 2015 for not having paid income taxes and interest. managed her campaign and was hired for 6months at $25,000 &amp;amp; renewed for the Same
#kimshady gives back</t>
  </si>
  <si>
    <t>@Lautergeist @JJCarafano @jallman971 It’s been a whole week without Jamie 😢  I really miss his voice, common sense talk &amp;amp; opinions  #IStandWithJamieAllman</t>
  </si>
  <si>
    <t>RT @Lautergeist: Again, his extra-marital affair was before he was Gov.  Absolutely MO PROOF he did anything 😸 or 🌛 say he did.  Not even c…</t>
  </si>
  <si>
    <t>RT @philip_saulter: @ScottCharton @EricGreitens You clearly do not understand the culture of Missouri.  Missourians don't just take people'…</t>
  </si>
  <si>
    <t>RT @grcfay: EXCLUSIVE – Hantler: If The Democrats Remove Governor Eric Greitens, Their Witch Hunt of Donald Trump Will Be Emboldened https:…</t>
  </si>
  <si>
    <t>@magathemaga1 @Hope4Hopeless1 @AvrilMai91 @AP4Liberty @MOHouseGOP @SpeakerTimJones @EricGreitens @Avenge_mypeople @MOGOP_Chairman @ChanelRion Double trouble</t>
  </si>
  <si>
    <t>RT @Jimi971: Even David Hogg didn't think it was a big deal @Entercom. He probably would have never known about had some Democrat fringe St…</t>
  </si>
  <si>
    <t>RT @magathemaga1: Painting 4 #GreitensIndictment to commemorate witch hunt
Trying 2 include all players in saga. With Hawley turning #Turn…</t>
  </si>
  <si>
    <t>@magathemaga1 @Hope4Hopeless1 @AvrilMai91 @AP4Liberty @MOHouseGOP @SpeakerTimJones @EricGreitens @Avenge_mypeople @MOGOP_Chairman @ChanelRion This beautiful Rod.  It should hang inside the chamber at the capital , oh my bad they don’t need a painting to remind them what a bunch of crooks they are, they just look at their big bank balances #crooked #moleg</t>
  </si>
  <si>
    <t>RT @melody_grover: There are 3 options for #mosen GOP primary: @HawleyMO if you think Danforth Republicans and big donors have done a swell…</t>
  </si>
  <si>
    <t>RT @toadtws: @JohnLamping @JaneDueker When people like @JaneDueker, @robschaaf and @calebrowden call for you to hurry up and resign because…</t>
  </si>
  <si>
    <t>RT @VisioDeiFromLA: No Scott. They shouldn't.
And they won't unless @MOHouseGOP wants a bloodbath at polls in November.
Let me ask you @S…</t>
  </si>
  <si>
    <t>@blackwidow07 @scottfaughn @AGJoshHawley @jaybarnes5 @EricGreitens @HawleyMO A Sexual cleansing of #moleg</t>
  </si>
  <si>
    <t>RT @blackwidow07: @scottfaughn if we are going to cleanse the state then @AGJoshHawley &amp;amp; @jaybarnes5 should do the same to the #moleg that…</t>
  </si>
  <si>
    <t>RT @blackwidow07: While we are at it throw some more in https://t.co/hAgXECD58A</t>
  </si>
  <si>
    <t>RT @MariaChappelleN: I personally know of 6 affairs among Missouri legislators &amp;amp; an executive branch member (not the governor). Should thes…</t>
  </si>
  <si>
    <t>@Lautergeist The only hogg who’s bacon 🥓 i wouldn’t eat</t>
  </si>
  <si>
    <t>RT @SentinelKSMO: Breaking: Greitens' Prosecutors Produce Missing Video Hours After Release of House Report - https://t.co/y6W1M5hsoc</t>
  </si>
  <si>
    <t>RT @SentinelKSMO: Wow! Greitens’ Prosecutors Fail To Defend Own PI From Perjury Accusation - https://t.co/MiMDwHHA2O</t>
  </si>
  <si>
    <t>@DJMiniMart1 @MartyMurrayJr @EricGreitens @stlcao Guilty of what ? A consensual affair before he was elected 
Show me where that’s a crime please  ⏳ I’m waiting</t>
  </si>
  <si>
    <t>RT @joel_capizzi: @YearOfZero @HawleyMO @EricGreitens @SykesforSenate @AP4Liberty @Monetti4Senate Hawley supports unproven allegations as o…</t>
  </si>
  <si>
    <t>@YearOfZero @staceynewman Because she’s a  team player political operative IN on the sham
Her political agenda is opposite of Greitens</t>
  </si>
  <si>
    <t>RT @Lautergeist: Respectfully requesting that members of #MoLeg who initially filed an incomplete report on @EricGreitens come out as a sin…</t>
  </si>
  <si>
    <t>@Lautergeist Send those fine boys to gas out the #moleg swamp creatures</t>
  </si>
  <si>
    <t>RT @Lautergeist: This CHARADE put on by the cuckholded, not-so-monogamous himself ex-husband and some anonymous big money in St Louis, is b…</t>
  </si>
  <si>
    <t>@Lautergeist  https://t.co/VdFeWp45gl</t>
  </si>
  <si>
    <t>@Lautergeist  https://t.co/xYLOGdQo7y</t>
  </si>
  <si>
    <t>RT @GreekSTL: Why is the #HayseedMafia wasting time interviewing the ex-husband ? #GreitensIndictment</t>
  </si>
  <si>
    <t>RT @GreekSTL: @MarcCox971 the #HayseedMafia doesn’t want to lose their lobbyist meal ticket.</t>
  </si>
  <si>
    <t>RT @gagemitchusson: Today marks five years since the horrific terror attack at the 2013 #BostonMarathon. We remember the 3 lives lost and t…</t>
  </si>
  <si>
    <t>@SykesforSenate @AGJoshHawley @HawleyMO  thinks it ok to impeach @EricGreitens over 24 pages of testimony than look at the truth in  77 pages of sworn court Testimony under oath 
https://t.co/ZRrPlZyjHm</t>
  </si>
  <si>
    <t>RT @YearOfZero: @JW1057 @Monetti4Senate @HawleyMO @EricGreitens @SykesforSenate @AP4Liberty I also don’t buy republicans saying this will h…</t>
  </si>
  <si>
    <t>@Monetti4Senate @YearOfZero @HawleyMO @EricGreitens @SykesforSenate @AP4Liberty Thank You Tony  I agree</t>
  </si>
  <si>
    <t>RT @Monetti4Senate: @YearOfZero @HawleyMO @EricGreitens @SykesforSenate @AP4Liberty My position is based on the Constitution and something…</t>
  </si>
  <si>
    <t>@VisioDeiFromLA @EricGreitens When the flies of truth ⚖️debunk our 🤥bull shit, we just plop out another hot steaming pile 💩💩💩💩</t>
  </si>
  <si>
    <t>RT @VisioDeiFromLA: ⚠️ JUSTICE WARRIOR ALERT ⚠️
Email he sent to @MOHouseGOP about their FAILURE to CROSS EXAMINE the "witness"
Retweet!…</t>
  </si>
  <si>
    <t>@RiverfrontTimes @AGJoshHawley @HawleyMO   If You call for impeachment on a baseless salacious testimony , with no investigation or cross examination, than you shouldn’t be in office.   If you don’t seek truth, do not ascend to Washington  #mosen #moleg #greitens 
https://t.co/ZRrPlZyjHm</t>
  </si>
  <si>
    <t>@FOX2now Call the committee memebers and tell them READ the 77 page report Truth Matters 
https://t.co/8yjAKkBXny</t>
  </si>
  <si>
    <t>@FOX2now #Moleg did not investigate, that was a listening session to write a baseless report.  Why don’t they care about the 77 page report that has the truth  ?
You have to question the motives on why they want to react on falsehoods instead of act on truths 
https://t.co/ZRrPlZyjHm</t>
  </si>
  <si>
    <t>RT @STLCrimeBeat: Teenagers injured in separate shootings in St. Louis https://t.co/tCgBZmWXj1</t>
  </si>
  <si>
    <t>RT @STLCrimeBeat: Deadly strain of K2 that's killed in Illinois has landed in St. Louis https://t.co/gdo6RPemeE</t>
  </si>
  <si>
    <t>RT @STLCrimeBeat: Early morning shooting in The Grove injures one https://t.co/Q60af4Fara</t>
  </si>
  <si>
    <t>@RandySt12227488 @KMOV Tell that to Stacey Newman that got Jamie allmans tv &amp;amp; radio show shut down over a stupid tweet</t>
  </si>
  <si>
    <t>RT @KMOV: Man shot in stomach, killed in South St. Louis https://t.co/ippK5ztM6r</t>
  </si>
  <si>
    <t>RT @magathemaga1: I am physically sick right now
Sick 2 my stomach
Sick of prosecutors like #KimShady lying about evidence, sick of crook…</t>
  </si>
  <si>
    <t>@JW1057 @MissouriTimes @JaneDueker @thisweekinmopol https://t.co/anm9CaZ4ux</t>
  </si>
  <si>
    <t>@magathemaga1 @gocrazy4cards @Jay_Nelson2020 Did you not read ?  Does truth Not Matter ? 
https://t.co/ZRrPlZyjHm</t>
  </si>
  <si>
    <t>RT @DeplorableGoldn: RT-ing🚨Want your blood to boil #Missouri and #StLouis ?
Read entire transcript of Thursday’s raucous #Greitens court…</t>
  </si>
  <si>
    <t>RT @DeplorableGoldn: RT 🚨 #moleg #GreitensIndictment #GreitensReport https://t.co/hQEAO7SPmv</t>
  </si>
  <si>
    <t>RT @DeplorableGoldn: RT-ing 🚨
This is that moment you realize that you have screwed up, but you are not smart enough to self-correct before…</t>
  </si>
  <si>
    <t>@DeplorableGoldn @EricGreitens @mikeparson I love tax credits, i love crooked politicians &amp;amp; dirty developers getting filthy rich while I bust my ass.  I love that  no court of law is needed to accuse &amp;amp; oust greitens. Y’all know how to show in the show me state</t>
  </si>
  <si>
    <t>RT @DeplorableGoldn: RT 🚨
#GreitensIndictment
is a HORRIFYING misuse &amp;amp; abuse of power &amp;amp; it puts us all at risk!
ACTIVIST #KimShady 
is So…</t>
  </si>
  <si>
    <t>@TrumpChess @robschaaf @DougLibla25 @POTUS @GovGreitensMO @dsm012 what do you think about the above</t>
  </si>
  <si>
    <t>@TrumpChess @robschaaf @DougLibla25 @POTUS @GovGreitensMO Why does #Moleg only want to react to those 24 salacious pages  instead of act on the newly released 77 pages of truths ?   
#greitens #missouri #mogov #mosen #truth #maga #teamgreitens #taxcreditreform #republicans #democrats #trump #Patriots #stlcards
https://t.co/ZRrPlZyjHm</t>
  </si>
  <si>
    <t>@TrumpChess @robschaaf @DougLibla25 @POTUS @GovGreitensMO He will block anyone that supports greitens &amp;amp; asks questions.  The house special investigation committee only listened to compile a report, they did not cross examine or investigate.  Listened, believed &amp;amp; released, 24 salacious pages knowing 77 pages of truth was coming #moleg</t>
  </si>
  <si>
    <t>@KCStar Why don’t they like greitens ? Because he was reforming the highest tax credits in the country that were ineffective to the taxpayers.  Democrats &amp;amp; Republicans take contributions from developers.  Follow the money #greitens #WitchHunt #moleg 
https://t.co/G4XbfoElbN</t>
  </si>
  <si>
    <t>@KCStar I rather have a lone wolf #greitens than a swamp full of pussy crooked Republicans that cower to poltical operatives that are bought &amp;amp; paid for. If seats are lost THOSE republicans are to blame.   Greitens is innocent Until proven guilty.  He should not resign #witchhunt #moleg</t>
  </si>
  <si>
    <t>RT @SuchHate: @Sticknstones4 Moon is a psychopath.... he constantly was Tweeting &amp;amp; Facebooking about Greitens and Kitty's affair even inclu…</t>
  </si>
  <si>
    <t>@RiverfrontTimes @sarahfenske  did you read the court transcript ?  The witnesses were paid by an undisclosed source, prosecution caught in many lies , evidence &amp;amp; testimony in depo make witness story not credible 
https://t.co/ZRrPlZyjHm</t>
  </si>
  <si>
    <t>https://t.co/8yjAKkBXny</t>
  </si>
  <si>
    <t>@aaronbaker50 https://t.co/13UIKkjlmM</t>
  </si>
  <si>
    <t>We Agrree #kimshady https://t.co/6olPqUufRI</t>
  </si>
  <si>
    <t>@Ptsbrian @KevinCorlew Kevin should drop out , Missouri doesn’t need a lawyer that doesn’t believe in due process &amp;amp; allows prosecutorial misconduct. Shame on him!</t>
  </si>
  <si>
    <t>@CStamper_ https://t.co/8yjAKkBXny</t>
  </si>
  <si>
    <t>@politicalHEDGE https://t.co/8yjAKkBXny</t>
  </si>
  <si>
    <t>@STLCITYGOP @clairecmc https://t.co/8yjAKkBXny</t>
  </si>
  <si>
    <t>@MissouriGOP https://t.co/8yjAKkBXny</t>
  </si>
  <si>
    <t>@STLGOP https://t.co/8yjAKkBXny</t>
  </si>
  <si>
    <t>RT @NCogneetoCon: @Hope4Hopeless1 @EricGreitens I've been saying since day one that this entire case is a sham, complete fraud. It's a poli…</t>
  </si>
  <si>
    <t>⏳ Time to Call📞
The 3 Stooges 🤡🤡🤡of #Moleg
🗣DEMAND THEY READ &amp;amp; RESCIND
@Robschaaf @DougLibla25 #garyromine
#Greitens #Maga #Missouri #DrainTheSwamp #republicans #stl #hayseedmafia #trump #Pence 
#gop #mogov #mosen #teamgreitens #missouritimes
#stlcards #WitchHunt https://t.co/tXoykLfKuG</t>
  </si>
  <si>
    <t>Good Evening #Moleg Witch Hunters
Your Lies have not Derailed our duly elected governor 
Standing ovation 👏🏻👏🏻👏🏻 Tonight 
#greitens #teamgreitens #missouri #Republicans #missouriGOP #maga #patriot #navyseal #DrainTheSwamp #MoGov #MoSen https://t.co/hBVKP8jfNc</t>
  </si>
  <si>
    <t>@PlatteCountyGOP @EricGreitens @parkvillemo https://t.co/8yjAKkBXny</t>
  </si>
  <si>
    <t>@FOX2now https://t.co/8yjAKkBXny</t>
  </si>
  <si>
    <t>@ThreeColumnsArt @VisioDeiFromLA @EricGreitens @MOHouseGOP Ha , a troll farm sounds like Smurf Village with the little blue smurfs cranking out tweet</t>
  </si>
  <si>
    <t>@DennisParker57 @kendylei @EricGreitens Marriages &amp;amp; Families are complicated , Everyone has trials &amp;amp; struggles.   If Sheena &amp;amp; Eric can persevere through this ordeal as a couple , I’d say that’s some family values. 
Nobody is happy he had an affair, but that doesn’t make a criminal. Read the 77 page report</t>
  </si>
  <si>
    <t>@cenasby @kendylei @EricGreitens https://t.co/XXKMe04ILp</t>
  </si>
  <si>
    <t>@DennisParker57 @kendylei @EricGreitens Obviously you  pages 
What are you affraid of The Truth ?
Even the Kc star see the lie🤥
https://t.co/XXKMe04ILp</t>
  </si>
  <si>
    <t>RT @justmethatsall3: @Sticknstones4 @Hope4Hopeless1 @MartyMurrayJr @EricGreitens @stlcao I really hate when women make false allegations ag…</t>
  </si>
  <si>
    <t>@TrumpChess @SpeakerTimJones @TheNewRight @staceynewman @jallman971 @971FMTalk Me too 😂</t>
  </si>
  <si>
    <t>@ThreeColumnsArt @VisioDeiFromLA @EricGreitens @MOHouseGOP It’s in ur bio moron ur not worth the keystrokes to google</t>
  </si>
  <si>
    <t>@gocrazy4cards @sarahfelts @EricGreitens @Dogan4Rep I’m sick to my stomach that men can be acused  of such acts &amp;amp; they weren’t even true 
the volcano 🌋 of truth is exploding  all  77 pages 
Read Here 
https://t.co/5R0IWOeUce</t>
  </si>
  <si>
    <t>Governor Greitens Not Cowering Down 💪🏻
Keep up the Good Fight Sir
He’s Not backing down !  Fighting for Missourians  &amp;amp; fighting swamp creatures the capital 
#TeamGreitens #greitens #missouri #republicans #navyseal #author #governor #politics #politics #maga #Patriot #moleg https://t.co/BwPXzdiGSH</t>
  </si>
  <si>
    <t>@ivanfoley @EricGreitens Keep up the Good Fight , Justice will prevail
#moleg owes you a big apology 
#donottesign</t>
  </si>
  <si>
    <t>@ThreeColumnsArt @VisioDeiFromLA @EricGreitens @MOHouseGOP Not in Moscow Dan, next time i brave the Galleria I’ll check out your art , if you paint 🎨 a crying #kimshady being disbarred I’d buy that!</t>
  </si>
  <si>
    <t>@Lautergeist @EricGreitens Read this one 
https://t.co/0XgZOLyFGf</t>
  </si>
  <si>
    <t>@JenEnnenbach @GovGreitensMO If you don’t like him that’s fine, but the man has not committed a crime
https://t.co/taPBgoUfpu</t>
  </si>
  <si>
    <t>@JenEnnenbach @GovGreitensMO https://t.co/XXKMe04ILp</t>
  </si>
  <si>
    <t>@JenEnnenbach @GovGreitensMO Read all 77 glorious pages  of information kept from the house committee &amp;amp; defense 
https://t.co/5R0IWOeUce</t>
  </si>
  <si>
    <t>@wrap02 @CalebCavarretta Hopefully is will be the ex couple #kimshady &amp;amp; maybe al Watkins 
https://t.co/XXKMe04ILp</t>
  </si>
  <si>
    <t>@KCStar Keep up the governing !  #moleg is going to owe @GovGreitensMO  an Apology  after all the lies &amp;amp; truths are sorted out  #witchhunt</t>
  </si>
  <si>
    <t>RT @Sticknstones4: 🗣 ACTION ALERT 🚨 📞CALL  Leave a Message to the #Moleg Members of the House Committee that issued the Inaccurate  #Greite…</t>
  </si>
  <si>
    <t>@Avenge_mypeople @HawleySightings If  Ladder Boy  can’t take on the swamp creatures in Missouri, than he’s not qualified to climb to Washington 
He sucks as AG and should be investigating #kimshady &amp;amp; apologizing to Governor Greitens #MoSen</t>
  </si>
  <si>
    <t>@magathemaga1 @mikeparson @EricGreitens Lets talk about the piss poor sloppy report the House investigative committee released. No hard work or effort went into that #Moleg  Are you legislators or witch hunters?  Or maybe just Morons 
I hope you’ll be moving forward by issuing @GovGreitensMO &amp;amp; Mo voters an apology</t>
  </si>
  <si>
    <t>@VisioDeiFromLA @EricGreitens @MOHouseGOP I’m not a bot, I’m a registered Missouri voter &amp;amp; I’m MF Mad as Hell at this spectacle of injustice 
I’m not paid staff @EricGreitens  however if he’d like to invite me to the Mo Mansion just to shake his 🤚🏻, I’d be most honored.  #moleg I’m loud &amp;amp; coming for you crooks</t>
  </si>
  <si>
    <t>@SuchHate Moon slept with 5 women while separated from his wife
KS consensually acted with greitens 
Al Watkins set up a legal trust before the story Broke 
Oh the TRUTH  is beginning to BLOW Out of the Volcano 🌋 of BS</t>
  </si>
  <si>
    <t>@Lautergeist @stlcao #kimshady has sharted all over 💩💩💩💩</t>
  </si>
  <si>
    <t>🗣 ACTION ALERT 🚨 📞CALL  Leave a Message to the #Moleg Members of the House Committee that issued the Inaccurate  #Greitens Report 
Tell them Missourians will not tolerate a witch hunt
That’s exactly what they conducted ,a report based on Lies🤥
#missouri #republicans #MOSEN https://t.co/MNNwpThb0i</t>
  </si>
  <si>
    <t>@sarahkendzior I’m a mom too, a mom of sons that i fear could be wrongly accused.  The court transcript of motion hearing completely refute the house Committee report 
https://t.co/ZRrPlZyjHm</t>
  </si>
  <si>
    <t>RT @YearOfZero: Remember in Jim Crow when black men unfairly prosecuted? UR doing the same as Jim Crow. Are you FOR turning back the clock…</t>
  </si>
  <si>
    <t>@JessicaStover18 @EricGreitens Yes he is !   He will be vindicated in this witch hunt 
And all those enemies will be run out of the swamp</t>
  </si>
  <si>
    <t>RT @DaynaGould: @realDonaldTrump @RoyBlunt @RepAnnWagner @POTUS Mr President We The Voters Of Missouri DO NOT AGREE With THIS Establishment…</t>
  </si>
  <si>
    <t>@DennisParker57 @kendylei @EricGreitens You need to read this &amp;amp; kiss 💋 😘 your ass goodbye with the truth 
https://t.co/ZRrPlZyjHm</t>
  </si>
  <si>
    <t>@MartyMurrayJr Before judgement is cast on @EricGreitens,  the prosecutorial malfeasance conducted by the @stlcao is a greater stain.  #Moleg irresponsibly issued an incomplete report.  Everyone should read The court transcripts , the lies, deceit &amp;amp; truths are there. 
https://t.co/ZRrPlZyjHm</t>
  </si>
  <si>
    <t>@RoyBlunt @FOX2now Support @EricGreitens from this disgusting witch hunt of lies</t>
  </si>
  <si>
    <t>Good Morning #moleg witchhunters 
 People are beginning to see your BS💩
We’re tired of the lies , y’all RESIGN https://t.co/kQ3SyTlMt2</t>
  </si>
  <si>
    <t>@Norasmith1000 @JW1057 @magathemaga1 @Joe_Cool_1 @VisioDeiFromLA @jaybarnes5 @KevinLAustin1 @gcmitts @jeanielauer @TommiePierson @shawnrhoads154 @Rep_TRichardson Nora please call and leave messages at #molegs offices 
At your disgust of their incomplete report and premature call of resignation.  I will be posting names &amp;amp; numbers 
This is a witch hunt</t>
  </si>
  <si>
    <t>@JW1057 @FOX2now Youre right #kimshady is not breaking news she’s breaking Laws</t>
  </si>
  <si>
    <t>@Joe_Cool_1 😂❤️</t>
  </si>
  <si>
    <t>@Lautergeist @Joe_Cool_1 Momma K won twitter yesterday with that tweet</t>
  </si>
  <si>
    <t>@JW1057 @magathemaga1 @Joe_Cool_1 @VisioDeiFromLA @jaybarnes5 @KevinLAustin1 @gcmitts @jeanielauer @TommiePierson @shawnrhoads154 @Rep_TRichardson They need to RESIGN they are not fit to govern over our state , that committee report &amp;amp; hearing was pathetic! 
Shame on them</t>
  </si>
  <si>
    <t>Good Morning #Moleg
House Committee Memebers AKA witch Hunting Fools 
Issuing a shameful inaccurate report 
You should all RESIGN 
READ the TRUTH https://t.co/yVd5JA2cFJ
@Rep_TRichardson @jaybar @TommiePierson @jeanielauer @gcmitts @shawnrhoads154 @KevinLAustin1  #greitens</t>
  </si>
  <si>
    <t>@JohnLamping The fat lady sang last night https://t.co/yVd5JAjNxh
Paid witnesses, coerced narratives, Lies, prosecutorial malfeasance</t>
  </si>
  <si>
    <t>RT @EdBigCon: War of words between St. Louis police chief and circuit attorney #KimShady  https://t.co/KtpofSy6UN</t>
  </si>
  <si>
    <t>@BigJShoota @VisioDeiFromLA @EdBigCon @ChiefJohnHayden has been working his butt off doing a great job to establish &amp;amp; restore trust between the police &amp;amp; public. It’s a shame #kimshady is trying to discredit him. CA office lied 🤥 &amp;amp; r a joke #NoNotesTisaby was hardly a qualified investigator.</t>
  </si>
  <si>
    <t>@Joe_Cool_1 @GovGreitensMO @EricGreitens @HereLiesMoon @1057thePoint @RizzShow Disgusting people , while mysterious donors set up trusts for them &amp;amp; their kids based on their fake charges, we the taxpayers funded this circus in the courts &amp;amp; legislature.</t>
  </si>
  <si>
    <t>@philip_saulter @WillSchamper_ @EricGreitens @jaybarnes5 @MissouriTimes Lol did somebody say bot , im just tweeting through the tornado watch &amp;amp; reading  https://t.co/8hvCDP3QBj
#moleg  are some real idiots  they were warned 
Their report is BS</t>
  </si>
  <si>
    <t>@sarahfelts @AishaS Read the 77 page transcript, the house report is inaccurate 
Witnesses were paid 
https://t.co/8hvCDP3QBj</t>
  </si>
  <si>
    <t>#Moleg every single one of you fools need to issue @EricGreitens  an Appology 
You should be embarrassed at your inconclusive house report
The sworn court transcript completely refute your report 
Consensual, paid witness, not credible, lie 
https://t.co/8hvCDP3QBj</t>
  </si>
  <si>
    <t>@Rep_TRichardson @jaybar @TommiePierson @Jennielauer @gcmitts @shawnrhoads154 @KevinLAustin1   #moleg
I hope you witch hunters read  all 77 pages &amp;amp; see what poor jobs you did on your house report 
Monday you should issue an immediate apology #greitens
https://t.co/qBGr2PqgBk</t>
  </si>
  <si>
    <t>@JW1057 @gcmitts They owe @EricGreitens an apology</t>
  </si>
  <si>
    <t>@ChiefJohnHayden is doing a great job as new chief along with jimmy Edwards.  It’s just sad to see anyone try to tarnish the community trust they are working so hard to achieve.  #kimshady is wasting money chasing #greitens while thugs go free #stlboa #stl  @LydaKrewson https://t.co/zBH0w4kpmf</t>
  </si>
  <si>
    <t>@cenasby @kendylei @EricGreitens Read the 77 page transcripts, it refutes a lot of the accusations in the house report 
https://t.co/9Ro2HRcTut</t>
  </si>
  <si>
    <t>@DennisParker57 @kendylei @cenasby @EricGreitens If it was in my mouth i assure it would be there consensually  read the 77 page transcripts 
In her depo she was turned on 
Thes house didn’t have all the facts or cross examine 
This is a witch hunt 
https://t.co/9Ro2HRcTut</t>
  </si>
  <si>
    <t>@DennisParker57 @kendylei @EricGreitens There was no abuse the house report was not efficient , they didnt even cross examine the witnesses 
 new court documents show witnesses were not credible &amp;amp; have been paid , witnesses don’t remember the slap
https://t.co/9Ro2HRcTut</t>
  </si>
  <si>
    <t>@FOX2now Why is @LydaKrewson allow this ? What a waste of money 
Read the transcripts , circuit Attorneys office is sloppy ! 
A heroindealer was acquitted of murder with a witness &amp;amp; all this over a witch hunt    Fire kim shady</t>
  </si>
  <si>
    <t>@joelcurrier @EricGreitens Why is @stltoday paying K.S./p.s</t>
  </si>
  <si>
    <t>@jdavidsonlawyer @SentinelKSMO I just read all 77 pages released from Thursday’s motion
There’s no victim buddy 
And guess who’s paying legal fees . The post dispatch</t>
  </si>
  <si>
    <t>@RealTravisCook @HotPokerPrinces @jallman971 you should make bumper stickers 
Allman stick a hot poker up her ass 
FYI i have a strict no sticker policy on my vehicles but that I’d make an exception</t>
  </si>
  <si>
    <t>@RealTravisCook @HotPokerPrinces Water 💦 just came out of my nose 🤣
whenever she speaks we should protest her event
With fire pokers in the air</t>
  </si>
  <si>
    <t>@magathemaga1 @EricGreitens 🤵🏼👨🏻‍⚖️👩🏽‍⚖️👩🏻‍✈️👨🏼‍✈️👩🏻‍🎨👨🏻‍🔬👩🏻‍🔧👨‍🔧👨‍🚒👨🏻‍💼👨‍💻👩🏼‍🏭👨‍🍳
The people of Missouri are standing by @EricGreitens</t>
  </si>
  <si>
    <t>RT @magathemaga1: The perception of #MoLeg is on the line.
Are they going to screw an innocent man before facts are out, or is the tax cre…</t>
  </si>
  <si>
    <t>@mattmfm Boo your news is old , his case is a sham , the prosecution has been caught in multiple lies , i bet Monday the case is dropped   Its a witch hunt</t>
  </si>
  <si>
    <t>@shannonrwatts This witness was not cross examined by the house committee , she didn’t go to the police to file a report, her friends didn’t tell her to file a report,  the witness coerced her friends details  because they had forgotten them , no evidence is a photo &amp;amp; the blackmailer is her ex</t>
  </si>
  <si>
    <t>@JW1057 @POTUS @PressSec  IGNORE THE #HayseedMafia
Greitens isn’t going anywhere   Missouri needs to drain swampdwellers @DougLibla25 #RobSchaff #GaryRomine 
This prosecution is a #WitchHunt based on lies</t>
  </si>
  <si>
    <t>RT @JW1057: Rob Schaff accuses KS of committing perjury before committee!
Schaff says there were no consensual acts between KS and EG afte…</t>
  </si>
  <si>
    <t>This article has details of the evidence &amp;amp; testimony 
Regarding the alleged 👋🏻 SLAP
Greitens Lovers &amp;amp; Haters should read this 
#moleg needs to read this since they never cross examined the witness 
#MoLeg #Mosen #kimshady #greitens #teamgreitens 
#missouri #witchhunt https://t.co/gnoHSxfPbN</t>
  </si>
  <si>
    <t>@SentinelKSMO Another good one ☝️ most factual detailed reads on greitens</t>
  </si>
  <si>
    <t>READ ALL THE LIES🤥🤥
A Must read , defense attornies present all the Lies The prosecution Told in the Greitens case 
#MoLeg #greitens #witchhunt #soros #lies #kimshady 
#stl #stlboa #democrats #republicans #trump #witchhunt
#dontresign #mosen #mogov https://t.co/Y3cgj8a8Sy</t>
  </si>
  <si>
    <t>@SentinelKSMO I would like to compliment this article, im in St. Louis the biased journalism is horrible.  Thank you for reporting the facts.  This was an enjoyable &amp;amp; informative read</t>
  </si>
  <si>
    <t>Wow! Greitens’ Prosecutors Fail To Defend Own PI From Perjury Accusation https://t.co/GxTH6tstgP via @SentinelKSMO</t>
  </si>
  <si>
    <t>RT @melody_grover: Self-proclaimed Nostradamus of the Central West End @scottfaughn pats himself on the back for being Gardner's media erra…</t>
  </si>
  <si>
    <t>@melody_grover @scottfaughn I rather enjoyed the article they wrote this week on bots 😉</t>
  </si>
  <si>
    <t>@Lautergeist Preach ! https://t.co/lQjRZhpCnu</t>
  </si>
  <si>
    <t>RT @Lautergeist: Wow ~ I hope the Guvnuh  and his family have enough energy to punch back at every one if you mother fuckers who say he's g…</t>
  </si>
  <si>
    <t>@ST_Designs asking a question is not shaming</t>
  </si>
  <si>
    <t>RT @Independamerica: @Sticknstones4 Funny how Claire McCaskill &amp;amp; her husband gets rich off state contracts. she's done NOTHING FOR MISSOURI!</t>
  </si>
  <si>
    <t>@JackSuntrup @stltoday The outsourced prosecution is coming out of the taxpayer so fair is fair.   Give greitens his day is court , than worry about impeachment lawyer , unless of course Rob Schaaf is conducting a witchhunt</t>
  </si>
  <si>
    <t>@ChristopherAve @stltoday @kevinmcdermott Must be nice when @SorosInSTL hits up your bank account</t>
  </si>
  <si>
    <t>@YDominus @ChristopherAve @stltoday @kevinmcdermott Lol they left out the ex tweeted at greitens and stalked Sheena Greitens &amp;amp; her family</t>
  </si>
  <si>
    <t>RT @88YahamaKeys: We believe in @jallman971!  Protested in front of @GatewayBlend who want to revoke free speech! Not on our watch! @Margar…</t>
  </si>
  <si>
    <t>@juliematthews50  a clipboard mafia tried to take me down as i was getting out of my car,  I put  arm out and made the stop ✋🏻 gesture with  decline to sign , told him he was creepy like a carjacker &amp;amp; reported him to store</t>
  </si>
  <si>
    <t>@cenasby @kendylei @EricGreitens  https://t.co/y1HoPhlCAT</t>
  </si>
  <si>
    <t>@magathemaga1 @robschaaf @EricGreitens Tell him to stop blocking Missourians that he doesn’t agree with</t>
  </si>
  <si>
    <t>RT @threadreaderapp: @VisioDeiFromLA Hello the unroll you asked for: Thread by @VisioDeiFromLA: "(1) Thread Time! Boyd famously said in lif…</t>
  </si>
  <si>
    <t>@MrBlifil @RepAnnWagner @EricGreitens @GovGreitensMO There are no photos , there is not device , there is no tramnsmission and no recipient of any photo
There was a paid ex husband by an unknown source for the tape</t>
  </si>
  <si>
    <t>@FOX2now  https://t.co/zNhUUBj1L4</t>
  </si>
  <si>
    <t>@FOX2now #kimshady #stl #stlboa #moleg #greitens 
#nonotestisaby https://t.co/QGZEokNMu7</t>
  </si>
  <si>
    <t>RT @VisioDeiFromLA: Sorry phony narrative wont work.
We see what you are trying to do. Trot out some expert  to try to say consent is retr…</t>
  </si>
  <si>
    <t>RT @magathemaga1: #Soros isn’t happy that money he spent on #KimShady is working out!
Call @MissouriGOP and @MOHouseGOP and tell them you…</t>
  </si>
  <si>
    <t>RT @magathemaga1: Good afternoon #MoLeg to everybody but Swamp Dweller  @robschaaf 
I wanted to introduce the newest member to the #Greite…</t>
  </si>
  <si>
    <t>@Margare03880660 Bravo 👏🏻 Margaret 😂</t>
  </si>
  <si>
    <t>RT @Margare03880660: Okay,ladies, we need to get rid of Greitens and his mouthpiece, Allman😾. Who’s with us?”Rabbi:  I want to get rid of t…</t>
  </si>
  <si>
    <t>RT @VisioDeiFromLA: What do you make of the CAO lying about evidence, John?
Or that House committed didn’t properly cross examine?
#Moleg…</t>
  </si>
  <si>
    <t>@JackSuntrup @stltoday The house Committee took that salacious testimony as gospel &amp;amp; didn’t even cross examine KS. Zero timeline was even established that these alleged events could occur 
https://t.co/UiKEq4eTxi</t>
  </si>
  <si>
    <t>@SuchHate @LaurenTrager caption that https://t.co/TtmjOyhlmd</t>
  </si>
  <si>
    <t>@MarkReardonKMOX @JohnLamping The fact that the house Committee took KS salacious testimony as gospel &amp;amp; did not cross examine her , didn’t even establish a timelineh = witchunt
https://t.co/UiKEq4eTxi</t>
  </si>
  <si>
    <t>@NathanBLawrence Why didn’t the house comitte cross examine the witness 
There’s no timeline established, they took her word as gospel 
See @JW1057</t>
  </si>
  <si>
    <t>@RealTravisCook Remember when Stacey newman went after tactical sh*t over a patch</t>
  </si>
  <si>
    <t>@STL2steppin @RightSideUp313 Hell yeah !</t>
  </si>
  <si>
    <t>RT @STL2steppin: Hell yea!! 
Tactical Shit To Sponsor Targeted Conservative! https://t.co/CbiLMCQpTA #IstandwithJamieAllman</t>
  </si>
  <si>
    <t>@JohnLamping Well imagine that a scurry  to pass something the Governor was opposed to
There a lot of creatures swimming in the swamp</t>
  </si>
  <si>
    <t>RT @JohnLamping: Missouri Senate approves bill banning lobbyist gifts.  Fake news!  This bill adds 16 Years on to term limits!!   https://t…</t>
  </si>
  <si>
    <t>Funny how the media doesn’t show our Governor 
Governing 
#moleg #greitens #teamgreitens #dontresign #missouri https://t.co/aAsUIEg50s</t>
  </si>
  <si>
    <t>@JW1057 @RiverfrontTimes @sarahfenske I once did the pole dancing workout and that about damn near killed me, that is hard !</t>
  </si>
  <si>
    <t>@DNosegotten @cenasby @kendylei @EricGreitens https://t.co/UiKEq4eTxi</t>
  </si>
  <si>
    <t>@cenasby @kendylei @EricGreitens The house Committee failed to cross examine her testimony &amp;amp; establish a timeline
Why is that ?  It’s a #witchhunt 
https://t.co/UiKEq4eTxi</t>
  </si>
  <si>
    <t>@RiverfrontTimes @sarahfenske  I’ve been to every place around town &amp;amp; never heard of “sexy workout”   Exactly what muscle groups are involved &amp;amp; what equipment 🤭 if I’m not living my best life &amp;amp; missing out on something , please do an article on that i like to keep things tight n right</t>
  </si>
  <si>
    <t>@RiverfrontTimes This is a witch hunt 
Why didnt the house Committee cross examine &amp;amp; establish timeline, instead they took that plagerized verbatim 50 shades of gray as GOSPEL 
https://t.co/UiKEq4eTxi</t>
  </si>
  <si>
    <t>@JW1057 @Rep_TRichardson @TommiePierson @jeanielauer @gcmitts @shawnrhoads154 @KevinLAustin1 @jaybarnes5 @TeamGreitens @mopns  @sarahfenske</t>
  </si>
  <si>
    <t>Me thinks the House Committee FAILED to Cross Examine 
The witness 🤔
Why did they not cross examine that salacious testimony ?
Why did they not establish a timeline ?
Why did they just take KS testimony verbatim as credible?
A W I T C H   H U N T 
#Moleg #mogov #greitens https://t.co/hW5Lou1zLk</t>
  </si>
  <si>
    <t>@JW1057 @Rep_TRichardson @TommiePierson @jeanielauer @gcmitts @shawnrhoads154 @KevinLAustin1 @jaybarnes5 @TeamGreitens great questions ?</t>
  </si>
  <si>
    <t>RT @Amart2115: @stltoday Maybe did something wrong, but so does the media when it tries and convicts in the media/paper.  Messenger is not…</t>
  </si>
  <si>
    <t>@hickhamt @Change @Doug_Giles @KennedyNation @FoxNewsSunday @jallman971 @AmfellinAlicia Gladly signed ✍🏻 #IStandWithJamieAllman</t>
  </si>
  <si>
    <t>RT @hickhamt: FRIENDS OF JAMIE ALLMAN, HELP! Tell Richard Schmaeling to Stand with Fellow Conservative, Jamie Allman, and fight this left-w…</t>
  </si>
  <si>
    <t>RT @VisioDeiFromLA: No it isnt.
@MOHouseGOP 
What are you afraid of waiting a few weeks? That the evidence will exonerate @EricGreitens…</t>
  </si>
  <si>
    <t>@jeffreyboyd How about don’t become a convicted felon &amp;amp; loose your rights.</t>
  </si>
  <si>
    <t>RT @VisioDeiFromLA: Sorry but no it isnt.
Prosecutor lied
Laughing during questioning 
Transcript shows she had feelings for the man.
#Kim…</t>
  </si>
  <si>
    <t>@MaxwellAFillion @CoMissourian The abuser was this woman’s ex husband who violated her privacy.  Woman was separated from ex husband at time of affair,  she was strong enough to be separated from a jerk.  I believe she was strong enough to be in a consensual affair.  It’s a witchhunt !</t>
  </si>
  <si>
    <t>@BlunderingIdiot @shesova @cenasby @kendylei @EricGreitens POC have a great outcome in St. Louis , heroine trade is booming 💥💉 &amp;amp; record Homicides 
https://t.co/DazkJMiTWE</t>
  </si>
  <si>
    <t>RT @joelcurrier: Judge Burlison OK’d release of screengrabs from videotaped January interview with @ericgreitens’ alleged victim, which sho…</t>
  </si>
  <si>
    <t>@FOX2now It’s troubling all the money &amp;amp; effort to make a case on something that doesn’t exist  
while  no money or effort is being exerted crimes that really exist.
Record homocides , shootings daily , carjacking, gangs,
And drug dealers are walking free from bad prosecution</t>
  </si>
  <si>
    <t>#kimshady did hide evidence
She’s no prosecutor she’s a magician 🎩 🐇
No Tape 🚫📼  
House Report Released 
ABRACADABRA ⚡️💥
Tape 📼 Appears 
W I T C H   H U N T 🧙🏽‍♀️
#Moleg #witchhunt  #geitens #lies #stl #stlboa #mogov
#sham #courtroomtricks #evidencetampering https://t.co/EpjxHgtOAR</t>
  </si>
  <si>
    <t>RT @cajunhusker: @FOX2now It indeed is a Witch Hunt, Judge dismiss this today.</t>
  </si>
  <si>
    <t>@VisioDeiFromLA @staceynewman @ChrisHayesTV If al Watkins knew about the affair , i find it hard to believe KS cut Stacey’s hair for years.  I bet Stacey knew first &amp;amp; connected KS &amp;amp; PS with al Watkins &amp;amp; got her democratic soros left Wing operative cronies to set up the rest</t>
  </si>
  <si>
    <t>RT @VisioDeiFromLA: @staceynewman what u mean when u called alleged victim “an activist” on ur Facebook page?  She was close friend accordi…</t>
  </si>
  <si>
    <t>@philip_saulter @DNosegotten @cenasby @kendylei @EricGreitens  https://t.co/7rr3Kuy8ic</t>
  </si>
  <si>
    <t>@Moniquestl3940 @Shawtypepelina @FOX2now @KimGardnerSTL ⚡️Off topic I often wonder how much silicone white women can inject in their lips 👄 before they explode 💥
Girl has the mouth of a prolapsed anus</t>
  </si>
  <si>
    <t>RT @VisioDeiFromLA: (8) In a very similar fashion, @EricGreitens is an outsider.
Flawed, as we know. But he had that roll call, too. 
To…</t>
  </si>
  <si>
    <t>RT @VisioDeiFromLA: (1) #Greitens Thread Time!
Boyd famously said in life, there comes a roll call. 
To be or 2 do!
“To be somebody or t…</t>
  </si>
  <si>
    <t>RT @sigi_hill: Now we know that the Report by the MO House from Jay Barnes about the Greitens witch hunt is a fake investigation as the fak…</t>
  </si>
  <si>
    <t>RT @philip_saulter: @DNosegotten @erictheacktr @kendylei @Sticknstones4 @cenasby @EricGreitens  https://t.co/4CJcZ3ny0z</t>
  </si>
  <si>
    <t>@philip_saulter @DNosegotten @kendylei @DeplorableGoldn @cenasby @EricGreitens Ive done a lot of different workouts with an expectation of athletic.  She had the expectation of a “sexy workout” 
What muscle groups was she referring to ?  Is sexercise a thing? Apparently it is 🎭🧘🏻‍♀️🤸🏻‍♂️🥋</t>
  </si>
  <si>
    <t>RT @DeplorableGoldn: RT #Moleg #GreitensReport https://t.co/Q3Pxw9voEK</t>
  </si>
  <si>
    <t>RT @shesova: @cenasby @kendylei @Sticknstones4 @EricGreitens What about the right to a trial and jury. SHE CLAIMS she saw a camera but mayb…</t>
  </si>
  <si>
    <t>@Moniquestl3940 @FOX2now @KimGardnerSTL Girl you got my ATTENTION  with disgraces 
#kimshady has disgraced #stlouis, she runs her office so bad, drug dealers &amp;amp; gang bangers are getting off Scott FREE 🚨 I’m so glad a bar complaint was filed against her.
Prosecutorial malfeasance is blantant. Her cases are sloppy!</t>
  </si>
  <si>
    <t>MIGHT definition expressing a possibility based on a condition not fulfilled
📌 NO PICTURE  NO DEVICE  NO TRANSMISSION📱🖥
📌JEALOUS EX HUSBAND
📌 ANONYMOUS 15K LEGAL FUND DONOR 💵💵💵
📌 SHADY PROSECUTION MALFEASANCE 
👉ITS A WITCH HUNT 🧙🏽‍♀️
#MoLeg #greitens #kimshady https://t.co/CgcZLlvsye</t>
  </si>
  <si>
    <t>@ronaldpeterson3 @DeplorableGoldn @EricGreitens  https://t.co/rLe74V5KVx</t>
  </si>
  <si>
    <t>RT @Hope4Hopeless1: @KMOXKilleen @EricGreitens #KimShady IS a #Soros FUNDED #Activist who rcvd at least $200,000 to  get HER in POWER!!!
N…</t>
  </si>
  <si>
    <t>RT @KMOXKilleen: Lawyers for @EricGreitens accuse Circuit Attorney Kim Gardner of lying to hide evidence that affair was consensual. They w…</t>
  </si>
  <si>
    <t>@Moniquestl3940 @FOX2now @KimGardnerSTL https://t.co/FOOAiG3QpP</t>
  </si>
  <si>
    <t>RT @EdBigCon: The video exists. The #STL prosecutor, BREAKING LAW, refused to give it the defense. And it looks like the circuit attorney…</t>
  </si>
  <si>
    <t>RT @Str8DonLemon: Good Morning #MoLeg
It appears one of #Cosby accusers made the entire story up for money! 
This should serve as a warni…</t>
  </si>
  <si>
    <t>@erictheacktr @philip_saulter @DNosegotten @kendylei @cenasby @EricGreitens Hey some weird freaky went down in what that woman called “sexy workout”  still no evidence of blackmail or a picture.   I suspect the ex hubs was blackmailing  his ex wife or greitens</t>
  </si>
  <si>
    <t>RT @RM4Liberty: @Sticknstones4 @AP4Liberty @HawleyMO @EricGreitens The question is: Was he always this way? Or did McConnell corrupt him? E…</t>
  </si>
  <si>
    <t>RT @magathemaga1: 🚨 Call (573) 751-2000 🚨 
TELL #MoLeg U WILL NOT tolerate witch hunt against @EricGreitens by #KimShady!
✔️No probable c…</t>
  </si>
  <si>
    <t>@DNosegotten @philip_saulter @erictheacktr @kendylei @cenasby @EricGreitens So this woman fearfully escapes from her alleged attacker
By an oral sex exit, but than realizes hours later oops i forget my keys let me go back n get em. 😂😂😂😂
Than let me keep seeing him for months 
 C O N S E N S U A L</t>
  </si>
  <si>
    <t>RT @philip_saulter: @DNosegotten @erictheacktr @kendylei @Sticknstones4 @cenasby @EricGreitens . https://t.co/olwwMSx4mT</t>
  </si>
  <si>
    <t>RT @toadtws: @ChrisHayesTV If this sleaze ball investigator said under oath he didn't take notes, this is grounds for dismissal of the char…</t>
  </si>
  <si>
    <t>RT @Markknight45: @ChrisHayesTV If we had more impartial media in this state we could possibly find the truth, and I suspect it’s not going…</t>
  </si>
  <si>
    <t>RT @magathemaga1: @ChrisHayesTV Hmmmm #KimShady
#Moleg #Greitens #mogov https://t.co/mgJEm5mtTQ</t>
  </si>
  <si>
    <t>@Blackboxhalo @ChrisHayesTV 📝 notes  or cartoon doodles 
That investigator guy is a very expensive 🤥 liar 
🛑 stop wasting taxpayers dollar 💵 with his bs💩
Start prosecuting the violent criminals 💉💊🔪🔨🔫
Record homicides ⚰️ 
#stl #kimshady #moleg #stlboa</t>
  </si>
  <si>
    <t>@Moniquestl3940 @FOX2now @KimGardnerSTL It was a great read📖parts plagerized verbatim from 50 shades of gray😂 
🗣Tell yo girl👩🏽 she doing a crappy job💩 and you spelled predator wrong 
Is this about a black woman lynching a white man or Justice ⚖️   
What’s the homicide count 4️⃣9️⃣ https://t.co/NFLTln6vAN</t>
  </si>
  <si>
    <t>@Lautergeist @davidsonmark650 @OkayBeckie @RepAnnWagner @tonymess @staceynewman Stacey is a left wing puppet , she lays on her sofa tweeting about shootings in other cities , oddly the stlouis shootings never get a shout out</t>
  </si>
  <si>
    <t>@Lautergeist @Margare03880660 @RealTravisCook @WeAreSinclair Birds of a feather are liberal together</t>
  </si>
  <si>
    <t>@Lautergeist @davidsonmark650 @OkayBeckie @RepAnnWagner @tonymess @staceynewman Anybody know about this ? What is Stacey’s political operative role  to take out greitens.  His agenda is no her agenda 
https://t.co/dUnoqJapua</t>
  </si>
  <si>
    <t>@lindabluff @staceynewman https://t.co/dUnoqJapua</t>
  </si>
  <si>
    <t>RT @lindabluff: @staceynewman You witch hunter!  Governor Greitens had a consensual affair 2 YEARS before he was in public office! NO CRIME…</t>
  </si>
  <si>
    <t>RT @lindabluff: @staceynewman @clairecmc How disrespectful and unprofessional calling our Governor "Creepy"!  And you are a State Represent…</t>
  </si>
  <si>
    <t>RT @Hope4Hopeless1: @EricGreitens Gov .@EricGreitens I've dug in to every aspect of this case &amp;amp; I support you 100%. The fact that "these" p…</t>
  </si>
  <si>
    <t>@lucketthistory @EricGreitens Google who is the king of Missouri tax credits is 
Follow the money</t>
  </si>
  <si>
    <t>@CodyJJenkins @kendylei @GOPisISIS @cenasby @EricGreitens @AGJoshHawley is not fit to be AG , Kim Gardner is running a Kangaroo Court ! She’s so fixated on greitens Murderers &amp;amp; drugs dealers are being found not guilty 
Her cases are that bad 
https://t.co/pUlypn8mg7</t>
  </si>
  <si>
    <t>@WillSchamper_ @EricGreitens @jaybarnes5 @MissouriTimes I flipping freaked getting that shout out. It was an honor to have somebody write about my bot/troll activity 
Thank you</t>
  </si>
  <si>
    <t>@JW1057 @EvilHasAFace @JohnLamping And Kim Gardner too #kimshady</t>
  </si>
  <si>
    <t>RT @SKOLBLUE1: Kim Gardner needs to go. She has had an appalling record, murders are on the rise and she continuously fails St. Louis. We i…</t>
  </si>
  <si>
    <t>@donco6 @kendylei @GOPisISIS @cenasby @EricGreitens I think the ex husband is scum and the swamp creature in #Moleg that didn’t want to reform tax credits
These crooks are the real rapists.  I like greitens and I’m glad he’s fighting &amp;amp; not resigning</t>
  </si>
  <si>
    <t>RT @DeplorableGoldn: RT 🚨
When U begin 2 realize why #MoLeg &amp;amp; #MoGov are pushing for @EricGreitens 2 resign before ALL FACTS presented, U b…</t>
  </si>
  <si>
    <t>@RepAnnWagner The transcripts have many falsehood and evidence was deliberately withheld from the committee 
I believe @EricGreitens @GovGreitensMO is very fit to lead our state and I’m proud he’s not resigning</t>
  </si>
  <si>
    <t>RT @Str8DonLemon: @RepAnnWagner if u don't support allowing @EricGreitens to have his day in court we dont support you and we are coming fo…</t>
  </si>
  <si>
    <t>RT @FOX2now: St. Louis Circuit Attorney refutes misconduct allegations, says ‘I did not commit a crime’ https://t.co/zoyqnk1C1j https://t.c…</t>
  </si>
  <si>
    <t>@FOX2now STOP THE WITCH HUNT ON GREITENS 
And prosecute the real thugs of St Louis 
a drug dealer not guilty of murdering another drug dealer 
in 2015.
A jury found Kaneil "Little Black Dude" Hess, 40, not guilty of first-degree murder 
#moleg # homicide #stl
https://t.co/pUlypn8mg7</t>
  </si>
  <si>
    <t>RT @VisioDeiFromLA: When U begin 2 realize why #MoLeg &amp;amp; #MoGov are pushing for @EricGreitens 2 resign before ALL FACTS presented, U begin 2…</t>
  </si>
  <si>
    <t>RT @JW1057: @TeamGreitens @EricGreitens @SheenaGreitens @rossgarber @StLCountyRepub @CStamper
Tip: If you're prosecuting a case and have t…</t>
  </si>
  <si>
    <t>RT @wheelsoh1: @EricGreitens Hang in there Eric. We have your back!</t>
  </si>
  <si>
    <t>RT @MactavishShawn: When the dust settles and the smoke clears, It will be shown that @EricGreitens is the victim of a political witch hunt…</t>
  </si>
  <si>
    <t>RT @Sticknstones4: How long has Kim Gardner been in office ?
Why is letterhead with previous circuit attorney being used ?
So much #kimsh…</t>
  </si>
  <si>
    <t>@DNosegotten @cenasby @kendylei @EricGreitens She also had dreams and quoted parts of her testimony verbatim from from fifty shades of gray 
Why didnt her husband at the time go to the police ? Instead he coerced her &amp;amp; made a tape &amp;amp; he’s been getting bank https://t.co/fMm0lHTrJs</t>
  </si>
  <si>
    <t>@InmostCity @CaraSpencerSTL https://t.co/pUlypn8mg7</t>
  </si>
  <si>
    <t>RT @ChristopherAve: NEW: Man who exposed Greitens' affair hasn't explained who paid his $15k legal bill, via @KevinMcDermott https://t.co/j…</t>
  </si>
  <si>
    <t>RT @jray_redfever: @GabelLeigh @ChristopherAve Oh btw, Missouri State law prohibits Soros from constributions to state and local elections…</t>
  </si>
  <si>
    <t>RT @wgriffith11: @fox4kc Kim Gardner needs to resign she is tainted by the Politics of the Swamp and maybe George Soros’s Money!!!  It star…</t>
  </si>
  <si>
    <t>RT @wgriffith11: @fox4kc Just hang in there Governor and let it play out in Court!!! Kim Gardner needs to resign she is tainted by the Poli…</t>
  </si>
  <si>
    <t>RT @AnthonyBauman5: @Mike_Colombo @FOX2now Kim Gardner needs to be put in prison. Funny thing is Grietens is the one she would need to pard…</t>
  </si>
  <si>
    <t>@Mike_Colombo @FOX2now  https://t.co/EsUObebVta</t>
  </si>
  <si>
    <t>RT @ChrisHayesTV: These are the photos Governor Greitens’ defense team said proves the Circuit Attorney’s office lied &amp;amp; withheld evidence.…</t>
  </si>
  <si>
    <t>@pitbulls_kill @ChrisHayesTV I agree with you about the victims  fd up story 
  It this is a witch hunt</t>
  </si>
  <si>
    <t>RT @kendylei: @Sticknstones4 @cenasby @EricGreitens Well we’re all learning not only is this prosecutor Gardner shady, but she doesn’t foll…</t>
  </si>
  <si>
    <t>@ads302s @FOX2now Im fricken rich and do this for sport</t>
  </si>
  <si>
    <t>@EricGreitens #moleg #greitens https://t.co/4OtZzpUOpx</t>
  </si>
  <si>
    <t>@philip_saulter Drain the swamp in Jefferson City ! Crooked Moleg</t>
  </si>
  <si>
    <t>RT @philip_saulter: Further evidence of the political hit job that Kim Gardner is attempting to pull on our Governor.  Attention Mo. GOP, t…</t>
  </si>
  <si>
    <t>@cenasby @kendylei @EricGreitens Purely consensual NOT Coerced 
#Greitens #moleg #kimshady https://t.co/xSeTEyxDf9</t>
  </si>
  <si>
    <t>@EricGreitens #Moleg #kimshady #WitchHunt https://t.co/JEb3zpSQ12</t>
  </si>
  <si>
    <t>@cenasby @kendylei @EricGreitens Ive never had a penis in my mouth i didn’t want , 
But if i did id bite it and i wouldn’t go back later in the day for more</t>
  </si>
  <si>
    <t>@AP4Liberty @HawleyMO @EricGreitens Josh got neutered in the swamp</t>
  </si>
  <si>
    <t>RT @AP4Liberty: On February 27, @HawleyMO said that the criminal justice system needs to be allowed to proceed without partisanship... 2 mo…</t>
  </si>
  <si>
    <t>@EricGreitens #kimshady needs to resign 
A heroin dealer accused of 1st degree murder with a witness was acquitted 
#stl is NOT SAFE  #homocides https://t.co/P4vCbCJDbM</t>
  </si>
  <si>
    <t>@kendylei @EricGreitens https://t.co/DazkJMiTWE</t>
  </si>
  <si>
    <t>@RealBigRedBeard @EricGreitens No i don’t care for synthetic dyed beverages with sugar</t>
  </si>
  <si>
    <t>RT @VisioDeiFromLA: Standing with @EricGreitens until he has his day in court
#MoLeg needs to 2 recognize fundamental rule of politics
DA…</t>
  </si>
  <si>
    <t>GO GOVERNOR GREITENS GO  !
#moleg #kimshady #teamgreitens https://t.co/YOb7sil0IS</t>
  </si>
  <si>
    <t>@FOX2now When is the sham case getting dropped</t>
  </si>
  <si>
    <t>@EricGreitens  https://t.co/Y1ClmjAkt2</t>
  </si>
  <si>
    <t>@EricGreitens DO NOT RESIGN !  This is a witch hunt</t>
  </si>
  <si>
    <t>RT @EricGreitens: Circuit Attorney Kim Gardner hid a video that she knew directly contradicted allegations in the House report, and she all…</t>
  </si>
  <si>
    <t>RT @Hope4Hopeless1: @jcavaiani @robschaaf @realDonaldTrump These idiot traitors at #Moleg like @robschaaf &amp;amp; the "Investigative" Committee s…</t>
  </si>
  <si>
    <t>@toadtws @stltoday Me too al sharpton me too , bring all your chins &amp;amp; let’s protest the swamp creatures and their moral turpitude of ripping the taxpayers off and lining their friends pockets</t>
  </si>
  <si>
    <t>We told people that they needed to see all the evidence. And now, we have proof that Circuit Attorney Kim Gardner and her team hid evidence from the people of Missouri and from the Missouri House of Representatives 
#moleg #stlboa #kimshady #greitens #lydakrewson  #dropthecase https://t.co/OwdTezvI57</t>
  </si>
  <si>
    <t>@Nanci2GH @HereLiesMoon He Sounds horrid, i feel so bad for his ex wife having to coparent with him.   His kids will grow up and realize what a jerk he was to their mom</t>
  </si>
  <si>
    <t>A slimeball Jealous Stalking Ex Husband 
With a money trail  
💵💰💵💰💵💰💵💰💵
A Lawyer that says Hush 🤫 🤫🤫🤫
What a dynamic duo these two make 👬
Who paid them ? Show Me the Money 
#greitens #teamgreitens #moleg #ShowMe #missouri #stl https://t.co/BvHIFD7GQR</t>
  </si>
  <si>
    <t>PERJURY ALERT 
Liar Liar 🤥Case on Fire 🔥 
#teamgreitens #greitens #kimshady #stlboa #stl
#Moleg #Greitens #missouri https://t.co/lGC0Gr8jnE</t>
  </si>
  <si>
    <t>@KMOV What an idiot ! No excuses for drunk drivers 
UBER BRO</t>
  </si>
  <si>
    <t>RT @Hope4Hopeless1: #Moleg "Investigative" Committee disregarded Judges warning that it would be reckless to publish their report before Go…</t>
  </si>
  <si>
    <t>@Jarlbear @jrosenbaum If we are ousting people on moral turpitude let’s drain the entire swamp of crooks in Jefferson City. they have been raping the taxpayers of Missouri for years with ineffective tax credits while they get richer #moleg</t>
  </si>
  <si>
    <t>@jrosenbaum @JohnLamping John the going rate for a self proclaimed whore of an attorney of Al Watkins enormous talent has got to be more than 15k.  He shopped the tape at the capital, had meetings, set up a money pipeline, negotiated distribution of the tape,filed motions, &amp;amp; performed on the sidewalk</t>
  </si>
  <si>
    <t>RT @JohnLamping: I, like you, look forward to Eric's day in court. https://t.co/nw94XAalLw</t>
  </si>
  <si>
    <t>@eddie_kedge @TuftsDemocrats The case is going up in smoke as i type , the prosecutorial malfeasance 
Is oozing like a giant zit</t>
  </si>
  <si>
    <t>@ericgraves50 @realDonaldTrump @KOMUnews Look into these guy Schaaf, Libla, &amp;amp; Ronnie
How are they voting on tax credits &amp;amp; how much money have they taken in donations from developers PACs 
They are the swamp of Jefferson City 
#Moleg #teamgreitens #DontResign #WitchHunt #Missouri #MoSen #MoGov</t>
  </si>
  <si>
    <t>RT @toadtws: These dirtball Republicans in #moleg step up their attempts to oust Governor Eric Greitens before the rest of the prosecutoria…</t>
  </si>
  <si>
    <t>@TuftsDemocrats Take your revocable honorary degree is stick it 
I’m glad #greitens is Not resigning 
He’s entitled to his day in court</t>
  </si>
  <si>
    <t>@allanbrauer @sarahkendzior Lol you obviously didn’t read the report , cause what they consenually did was no way to make a baby</t>
  </si>
  <si>
    <t>RT @joelcurrier: .@EricGreitens defense team accuses @StLouisCityCA of suborning perjury by investigator she hired to investigate governor.…</t>
  </si>
  <si>
    <t>@joelcurrier This is most troubling when you have a heroin using witness that actually saw the shooting , and hes acquitted 
BUT 
You have a governor acquitted on a Dream with no picture 
AND
We’re above average in Homocides to surpass 2017 
#stlboa #stl #slmpd #kimshady #help</t>
  </si>
  <si>
    <t>RT @joelcurrier: A jury found Kaneil "Little Black Dude" Hess, 40, not guilty of first-degree murder and armed criminal action in the shoot…</t>
  </si>
  <si>
    <t>RT @AllenTruitt1: @Str8DonLemon @JSCarterGilson @EricGreitens @GreekSTL @SKOLBLUE1 @Sticknstones4 @DRUDGE @DaynaGould @JohnCena Unbelievabl…</t>
  </si>
  <si>
    <t>RT @KMOXKilleen: @EricGreitens attorney Scott Rosenblum says never in his 35 year career has he accused a prosecutor of misconduct, now he…</t>
  </si>
  <si>
    <t>@KMOXKilleen @EricGreitens That is seriously an award winning photo 
Of a legal trailblazer GO SCOTT GO !</t>
  </si>
  <si>
    <t>@TheNewRight Followed</t>
  </si>
  <si>
    <t>@RiverfrontTimes Not really , many people support him
#teamgreitens</t>
  </si>
  <si>
    <t>How much money did Claire’s husband get in Missouri tax credits for his nursing homes ?
#MoLeg #MoSen #greitens #teamgreitens https://t.co/DHJgvY5YKx</t>
  </si>
  <si>
    <t>RT @AllenTruitt1: Perplexed: we live in a country where 50 Shades of Grey was a smash hit, but are offended that #greitens and a woman had…</t>
  </si>
  <si>
    <t>@AllenTruitt1 Me too , i rather enjoyed the books &amp;amp; the movies</t>
  </si>
  <si>
    <t>RT @gocrazy4cards: @Amy_in_Michigan @ILoveSlaw @J_Hancock @MoRepEvans @EricGreitens Hey did you know @staceynewman knew this alleged victim…</t>
  </si>
  <si>
    <t>@Beatlebaby64 @juliematthews50 @Lautergeist @Entercom @jeffallen971 @jallman971 @971FMTalk @CapitalGrille @commonsensei @ATeamMom1 @dianejneff1 @AnnetteRR Sharon your genius @WeberChevrolet  should wrap a party bus 🚌  the Allman Heat Bus</t>
  </si>
  <si>
    <t>🚨 Greitens Hot n Juicy 
Details on  2hour hearing this morning 
The case should be Thrown Out along with the prosecutor &amp;amp; her mid conduct 
#stl #stlboa #Moleg #KimShady  #teamgreitens #justice #law #democrats #republicans #WitchHunt #nocase https://t.co/gX4Ke4vExb</t>
  </si>
  <si>
    <t>RT @blackwidow07: @joelcurrier @EricGreitens @StLouisCityCA @stltoday Gardner needs to be DISBARRED. Some of her behavior may be genetic.</t>
  </si>
  <si>
    <t>@joelcurrier @EricGreitens @StLouisCityCA @stltoday Well that’s amazing 🔮✨ I never knew #kimshady was a magician of evidence 🎩🐇
From malfunctioned  damage goods &amp;amp; Abracadabra ✨💫  the tape📼 has appeared 
What a kangaroo court of witch hunt socerery 🧙🏽‍♀️
#moleg #greitens #WitchHunt #magic #magictricks #stlboa #stl</t>
  </si>
  <si>
    <t>Well that’s amazing 🔮✨ I never knew #kimshady was a magician of evidence 🎩🐇
From malfunctioned  damage goods &amp;amp; Abracadabra ✨💫  the tape📼 has appeared 
What a kangaroo court of witch hunt socerery 🧙🏽‍♀️
#moleg #greitens #WitchHunt #magic #magictricks #stlboa #stl https://t.co/jHXLM3rNGS</t>
  </si>
  <si>
    <t>RT @kendylei: @Sticknstones4 @Kip_Kendrick If you want to talk about scum, take a look into kim Gardner aka Kim shady, the so called prosec…</t>
  </si>
  <si>
    <t>@KMOV Well that’s amazing 🔮✨ I never knew #kimshady was a magician of evidence 🎩🐇
From malfunctioned  damage goods &amp;amp; Abracadabra ✨💫  the tape📼 has appeared 
What a kangaroo court of witch hunt socerery 🧙🏽‍♀️
#moleg #greitens #WitchHunt #magic #magictricks #stlboa #stl</t>
  </si>
  <si>
    <t>@gagemitchusson Bust out the new beast</t>
  </si>
  <si>
    <t>@TheNewRight Well let the universe  bust out the red hot poker &amp;amp; make it happen  #istandwithjamieallman</t>
  </si>
  <si>
    <t>RT @YearOfZero: @calebrowden Sorry but if you try to take away @EricGreitens we will vote you out.
Until he is proven guilty, this is just…</t>
  </si>
  <si>
    <t>@Lautergeist @Entercom @jeffallen971 @jallman971 @971FMTalk @CapitalGrille @juliematthews50 @commonsensei @ATeamMom1 @dianejneff1 @AnnetteRR @Beatlebaby64 yes please !   We could have a drinking game every time someone says hot poker  Stacey newman can eat her heart out</t>
  </si>
  <si>
    <t>@Kevin_Agee @ws_missouri @GregHolmanNL And the witnesses attorneys were &amp;amp; they were present at all the depositions in the criminal case 
It’s a witch hunt</t>
  </si>
  <si>
    <t>RT @Str8DonLemon: Give me a break. The only reason chaos is because it's made up in your mind
You have a witness who seems NOT CREDIBLE…</t>
  </si>
  <si>
    <t>@jljh121 Bro a class d felony is not jail for a long long long time 
It’s a 4 year max sentence IF convicted</t>
  </si>
  <si>
    <t>RT @Str8DonLemon: Good morning #moleg 
Just wanted 2 give a shout out 2 all who are trying to convict @EricGreitens without his day in cou…</t>
  </si>
  <si>
    <t>@Lautergeist @Entercom @jeffallen971 @jallman971 @971FMTalk We need an Allman fix 💉</t>
  </si>
  <si>
    <t>@RealBigRedBeard And first degree murdering heroin dealers with witnesses are running free under kim shadys reign 
https://t.co/bxP2epW0Dw</t>
  </si>
  <si>
    <t>@Shawtypepelina 😂😂😂 you slay me</t>
  </si>
  <si>
    <t>@RealBigRedBeard What’s really a family man? I’ve never seen a family without any dysfunction.  That’s between him &amp;amp; his wife. He’s a lucky guy that their relationship could work through this. Maybe that’s a form of family values ?</t>
  </si>
  <si>
    <t>@Lautergeist @Entercom @jeffallen971 @jallman971 @971FMTalk I miss him !  I wish he had an underground radio show to discuss all the unfolding events</t>
  </si>
  <si>
    <t>@TracersCynlee I with you voted for him, i think he’s well qualified to be governor.</t>
  </si>
  <si>
    <t>@RealBigRedBeard I’m not cool with cheating but it’s not a crime, the affair was consensual This is an attack on tax credit reform,  Nixon stopped when he tried.  Greitens they couldn’t control and they saved this hit for when he tried 
Reform those credits, i stand for a fiscal conservative</t>
  </si>
  <si>
    <t>@sarahfenske I also think 15 k is not enough for al Watkins ( mr oh man i could of gotten more money on the Anthony Lamar smith case )  for multiple sidewalk performances, depositions, media shopping &amp;amp; setting up finances in a trust account</t>
  </si>
  <si>
    <t>@sarahfenske I can think or Dream a lot of things 
It’s proving them , but that seem very suspect
Somebody poltical paid</t>
  </si>
  <si>
    <t>🚨A murdering drug dealer with a witness is acquitted 
But a governor is indicted over a possible Dream 
Kaneil "Little Black Dude" Hess Run Free Brother 
#whatif  thugs went to jail
#greitens #kimshady #stlboa #MoLeg #stlouis #heroin #crime #slmpd 
https://t.co/N4gpq5Tvb1</t>
  </si>
  <si>
    <t>@sarahfenske Check out their website , they even get the politicians to cut the grand opening ribbons for them</t>
  </si>
  <si>
    <t>@sarahfenske I’d start following that money trail of Republicans &amp;amp; Democrats.  Who's Been screaming the loudest for resignation &amp;amp; who supports those credits.  The corruption runs deep</t>
  </si>
  <si>
    <t>@sarahfenske Here it is https://t.co/G4XbfoElbN</t>
  </si>
  <si>
    <t>@sarahfenske Why did the 2014 story on tax credit King in post dispatch go dead ? Nixon tried to reform them   Dm me</t>
  </si>
  <si>
    <t>@tonymess @stltoday A well known Consensual affair, shopped to koster/temple,  nobody reported the crime because there was no crime.  They saved it for pay day, it was the mulligan of political control 
The rape is the tax credits greitens wanted to reform!
Taxpayers are getting raped</t>
  </si>
  <si>
    <t>@AngelaLily0501 @tonymess @stltoday Al Watkins shopped the story to the highest bidder</t>
  </si>
  <si>
    <t>@JakeGrayPoliSci @MaxGoodwin36 @MattGallo4 @MarriedManTalk @YDominus @tonymess @stltoday I’m still confused as to what the reasonable expectation of a sexy workout would be, after changing my clothes ?  
Sounds very consensual</t>
  </si>
  <si>
    <t>@Eric_Greitbot @K_Rosa17 @SaneAFInAmerica @tonymess @stltoday I get that bot thing all the time too 
https://t.co/Upm129dcQM</t>
  </si>
  <si>
    <t>@Squid25 @tonymess @stltoday But she came back again &amp;amp; again</t>
  </si>
  <si>
    <t>@cookie8010 @tonymess @stltoday Verbatim in places to the point of was it plagerized testimony or were they consensually enacting scenes from the book</t>
  </si>
  <si>
    <t>@sarahfenske Sarah none of this looks good, but it all smells like 💩
Why did PS make a tape to sell  instead of going to the police ?  Does that make him a pimp?  Ps knew this was consensual   Why didn’t the tape go to the police instead of being shopped to temple/koster</t>
  </si>
  <si>
    <t>@sarahfenske @chica22761 She should be fired  that was cruel &amp;amp; disgusting what she did to KS, she delivered the sicko ex husband hit</t>
  </si>
  <si>
    <t>RT @andykopsa: @sarahfenske  https://t.co/SB8y56IisL</t>
  </si>
  <si>
    <t>@leedevito @RiverfrontTimes Lol it really is</t>
  </si>
  <si>
    <t>The ex husband tweeted at #greitens routinely 
Calling him a home wrecker 
Why not call him a rapist if that’s what occurred ?
Because it was all consensual ! 
Why not go to the police to report a rape? 
Make a tape, shop it &amp;amp; sell it for 15K   #MOLEG
https://t.co/mU1RWU328Q</t>
  </si>
  <si>
    <t>@ES03784893 I hope they investigate a lot more in that special session !</t>
  </si>
  <si>
    <t>RT @Lautergeist: THANK YOU @JimTalent !! 
"...reaction to the tweet was disproportionate.. ". 
EXACTLY
@971FMTalk @Entercom 
@jeffallen9…</t>
  </si>
  <si>
    <t>@Monetti4Senate I so agree</t>
  </si>
  <si>
    <t>RT @Monetti4Senate: Concerning our Governor and AG: “Innocent until proven guilty” applies to everyone. Let the judge sentence. Let’s deman…</t>
  </si>
  <si>
    <t>@SuchHate And don’t forget the jihadi sleepover that msm doesn’t cover , Corey Johnson they knew too</t>
  </si>
  <si>
    <t>RT @Lautergeist: This ALSO could apply to the @EricGreitens case in #Missouri
A cuckholded ex-husband shopped his ex-wife's affair w/the G…</t>
  </si>
  <si>
    <t>@Lautergeist I think she is right about his assessment wrong about how to pay for it.  I am impressed by her ancestral tie Boone county &amp;amp; Puerto Rico</t>
  </si>
  <si>
    <t>@WhereIs_Billy @Kip_Kendrick Political enemies that tryto unseat a duly elected governor are the low bar ones.  Lining their pockets on the backs of hard working misssourians tax dollars. 
The salacious details in that report show consensual relations.  How did her ex manage to pay no child support 2 kids ?</t>
  </si>
  <si>
    <t>@ShannonBrecks she Was so coerced to go back later that day 
And if she left her keys where the hell was her car 
How did she get to work, many wholes in that story 
It was consensual and she was totally down for sexy workout whatever that is</t>
  </si>
  <si>
    <t>RT @Sticknstones4: @Kip_Kendrick Let’s look at the real scum, those who assault the Missouri tax payers with ineffective tax credits. 
#mo…</t>
  </si>
  <si>
    <t>@ShannonBrecks Yes all 24 pages</t>
  </si>
  <si>
    <t>@gocrazy4cards @MissouriGOP He’s a crooked coward ! When asked questions he blocks</t>
  </si>
  <si>
    <t>RT @Str8DonLemon: @wilde_dylan @jbarrchicago @Shayndi @EricGreitens Dude yes, and the #MOleg here doesn't like him because he isn't doing t…</t>
  </si>
  <si>
    <t>@ShannonBrecks It should be called consensual sex because that exactly what it was</t>
  </si>
  <si>
    <t>You might not like the guy , but no crime has been committed.  And while your passing out scum labels how about 1 for the vindictive ex husband that collaborated with political operatives to embarrass his ex wife without her consent # Moleg https://t.co/WxElDjgj9z</t>
  </si>
  <si>
    <t>@Kip_Kendrick Let’s look at the real scum, those who assault the Missouri tax payers with ineffective tax credits. 
#moleg #teamgreitens #greitens</t>
  </si>
  <si>
    <t>@Kip_Kendrick You might not like the guy , but no crime has been committed.  And while your passing out scum labels how about 1 for the vindictive ex husband that collaborated with political operatives to embarrass his ex wife without her consent # Moleg</t>
  </si>
  <si>
    <t>RT @StalkTheTrade: @Kip_Kendrick Bold statement about a person yet to have his day in court.  Could come back to bite you if he’s cleared o…</t>
  </si>
  <si>
    <t>RT @DeplorableGoldn: RT 🚨 #MOLeg #MOGov #Greitens https://t.co/qlCl922zmz</t>
  </si>
  <si>
    <t>No Caleb we’re going to look at you bro,  how much in pac contributions did you take from the Missouri tax king of credits ?  How did you vote ?  What’s your position on reforming tax credits ?  Until you crooks start talking 
#greitens stays put , we elected him #moleg https://t.co/tyDHKg1jMI</t>
  </si>
  <si>
    <t>@calebrowden No Caleb we’re going to look at you bro,  how much in pac contributions did you take from the Missouri tax king of credits ?  How did you vote ?  What’s your position on reforming tax credits ?  Until you crooks start talking 
#greitens stays put , we elected him #moleg</t>
  </si>
  <si>
    <t>@ksdknews You omitted she went back later that day after leaving the basement ?  
She sent him nude face time throughout their affair 
No crime has been committed, this was a consensual relationship with consensual participation</t>
  </si>
  <si>
    <t>@SebMistretta @Str8DonLemon @Adj_Hinson @mariahcjones25 @EricGreitens @SheenaGreitens @KMOV @LaurenTrager This woman must co parent with this vindictive ex 
Can you imagine what hell that must be for her? 
Think too HE got 15k  for him &amp;amp; didn’t give her anything 
That a real #schmuck    Kudos to her she’s a single mom, business owner &amp;amp; a student</t>
  </si>
  <si>
    <t>@SebMistretta @Str8DonLemon @Adj_Hinson @mariahcjones25 @EricGreitens @SheenaGreitens This woman was a victim &amp;amp; she was assaulted, but it wasn’t by greitens 
@kmov @LaurenTrager her ex husband &amp;amp; his lawyer 
They all assaulted her with their vindictive plot against her will , they violated her</t>
  </si>
  <si>
    <t>@JW1057 @ws_missouri @EricGreitens This ex husband is a slimeball, im saying an extra prayer for his ex wife, it must be pure HELL to have to coparent with such a vindictive jerk</t>
  </si>
  <si>
    <t>@ZavalaA Lol so he stalked Sheena Greitens, tweets greitens taunting him in 2016, accepted 15,000 from a un named outside source. He vindictively exposed the mother of his children for his personal revenge  
Real stand up guy, i feel sorry for his ex having to coparent with this jerk</t>
  </si>
  <si>
    <t>RT @JW1057: @USATODAY There are glaring holes in her testimony that will easily be exposed on cross-examination. Cross-examination is funda…</t>
  </si>
  <si>
    <t>RT @KCTV5: "This was an entirely consensual relationship, and any allegation of violence or sexual assault is false. This was a months-long…</t>
  </si>
  <si>
    <t>RT @Str8DonLemon: @SebMistretta @mariahcjones25 @EricGreitens @SheenaGreitens Dude. I'm simply saying.
Stop the witch hunt. If hes guilty,…</t>
  </si>
  <si>
    <t>RT @Str8DonLemon: @mariahcjones25 @SebMistretta @EricGreitens @SheenaGreitens Now dont be a hypocrite we gotta demand this guys life be rui…</t>
  </si>
  <si>
    <t>RT @Str8DonLemon: @mariahcjones25 @SebMistretta @EricGreitens @SheenaGreitens Now dont be a hypocrite now. I want to see protests, I want y…</t>
  </si>
  <si>
    <t>RT @Str8DonLemon: @mariahcjones25 @SebMistretta @EricGreitens @SheenaGreitens @SheenaGreitens was VICTIM of this terrible act at the hands…</t>
  </si>
  <si>
    <t>RT @Str8DonLemon: @mariahcjones25 @SebMistretta @EricGreitens Since u stand for women, I'm going to need you to stand 4 @SheenaGreitens 
S…</t>
  </si>
  <si>
    <t>RT @Str8DonLemon: @mariahcjones25 @SebMistretta @EricGreitens Note you totally ignored my point. Monsters ruin people's lives over allegati…</t>
  </si>
  <si>
    <t>The woman’s vindictive ex husband got paid $15,000
From an undisclosed outside source for the tape
Why did #moleg  stop 🛑  Questioning 
🕵🏻‍♂️who paid him &amp;amp; why ? 🕵🏻‍♂️
#greitens #polticalopponents #democrats #republicans 
#corruption #missouri</t>
  </si>
  <si>
    <t>@ksdknews Absolutely, no crime has been committed</t>
  </si>
  <si>
    <t>@BigJoos @jgronek2 @J_L_Forrester @clairecmc Did u read all 24 pages</t>
  </si>
  <si>
    <t>@clairecmc I can’t get my head around how a former prosecutor doesn’t call bs on the prosecutor in this case 
Crooked Claire</t>
  </si>
  <si>
    <t>@Norasmith1000 @robschaaf @philip_saulter @DaynaGould @mcbridetd A ton, sorros is funneling tons of find through Ronald Sullivan , weaponized prosecution
Thank god  bar complaint was filed against her by mo rep Paul curtman</t>
  </si>
  <si>
    <t>RT @Sticknstones4: @robschaaf @philip_saulter @DaynaGould @mcbridetd If greitens was such a monster per your definition rob , why would the…</t>
  </si>
  <si>
    <t>@gocrazy4cards @EricGreitens @MissouriGOP @robschaaf Paul they’re crooks, they don’t want to loose their gravy train 🚂 of cash💵
God Bless @GovGreitensMO @EricGreitens  for having the courage to reform the crooked tax credits &amp;amp; give money back to us the taxpayers &amp;amp; not the pockets of the corrupt !
#moleg #witchhunt</t>
  </si>
  <si>
    <t>RT @gocrazy4cards: You don't represent Missouri if you plan on stealing OUR VOICE which is @EricGreitens without his day in court 
And tha…</t>
  </si>
  <si>
    <t>RT @DeplorableGoldn: Wow.  I have never seen a politician act like this, nor do I like it.  #Greitens #GreitensIndictment #moleg #MOGov htt…</t>
  </si>
  <si>
    <t>RT @Sticknstones4: 🚨When you ask your elected #moleg real questions 
They block you 
It’s a witch hunt 
Start answering about Stacey Newm…</t>
  </si>
  <si>
    <t>RT @Hope4Hopeless1: @robschaaf @philip_saulter @DaynaGould @mcbridetd #Moleg an ethical &amp;amp; responsible Lawmaker would never ACTIVELY work to…</t>
  </si>
  <si>
    <t>RT @Str8DonLemon: Now national media is paying attention to #moleg 
U have to ask why so many people in Jeff City knew about this affair o…</t>
  </si>
  <si>
    <t>@Norasmith1000 @robschaaf @philip_saulter @DaynaGould @mcbridetd Me too Nora, it’s completely a political hit job, ex got paid 15k , do we really believe the the self proclaimed whore of an attorney is getting only 15k for his service? This is the attorney that won the settlement for Anthony Lamar smith 💵this guy goes after big settlements</t>
  </si>
  <si>
    <t>RT @Norasmith1000: @Sticknstones4 @robschaaf @philip_saulter @DaynaGould @mcbridetd Im skeptical of this whole story, it's right out of the…</t>
  </si>
  <si>
    <t>@314TruthSeeker I’d like to know ?
https://t.co/rJsSol2bPv</t>
  </si>
  <si>
    <t>🚨When you ask your elected #moleg real questions 
They block you 
It’s a witch hunt 
Start answering about Stacey Newman &amp;amp; Missouri king of tax credits lining your pockets with OUR money 💰 
Let the national media start looking into you crooks
Follow the money 
#greitens</t>
  </si>
  <si>
    <t>@DaynaGould @philip_saulter @robschaaf @mcbridetd What is a sexy workout  , clearly I am not living my best life</t>
  </si>
  <si>
    <t>RT @DaynaGould: @robschaaf @philip_saulter @mcbridetd Your An Adult You've lived long enough to know No Married Woman Goes To A Married Man…</t>
  </si>
  <si>
    <t>@KMOV Kmov &amp;amp; @LaurenTrager iniated  an unwanted  interview on a single mother at her work &amp;amp; an unwanted release of the tape by the victim #ShameOnYou</t>
  </si>
  <si>
    <t>@Str8DonLemon @strmsptr Who is the guy they call the Missouri king of tax credits 
Follow the money 💰 And follow the ones that yell resignation the loudest .  This is about greitens wanting to reform the tax credits that was lining their pockets with OUR money.  #greiteins #Moleg #taxcredits #witchhunt</t>
  </si>
  <si>
    <t>RT @Str8DonLemon: @strmsptr Now that the national media is paying attention to #moleg Can you look into this whole #taxcredit thing? I have…</t>
  </si>
  <si>
    <t>RT @strmsptr: It is all about corporate tax credit and  the Dem's inability to accept a loss. A three year old allegation with no physical…</t>
  </si>
  <si>
    <t>RT @KCTV5: More from Missouri Gov. @EricGreitens: "Allegations will be proven false" &amp;gt;&amp;gt; https://t.co/74M52y82sz https://t.co/c1RhAAWK1K</t>
  </si>
  <si>
    <t>@somethingldsay Read all 24 pages , it was exceptionally consensual</t>
  </si>
  <si>
    <t>@robschaaf @philip_saulter @DaynaGould @mcbridetd If greitens was such a monster per your definition rob , why would the witness come to the capital with Stacey newman in April 2016  ?  She never made a police report  but comes to the capital ?  I call a big fat pile of BS #moleg</t>
  </si>
  <si>
    <t>@robschaaf @philip_saulter @DaynaGould @mcbridetd Add me to the list as well if i find many inconsistencies 
I don’t see a crime has been committed 
I see a vindictive ex husband that received money from an outside source, lol let’s also be real al Watkins is getting paid a lot more than 15k for his sidewalk performances</t>
  </si>
  <si>
    <t>@kmov @LaurenTrager  Really booking a fake appointment with a hard working single mother after meeting with her slimey ex &amp;amp; his slimeball attorney   #vindictive #fakenews #boycottkmov #firelaurentrager</t>
  </si>
  <si>
    <t>@Joe_Cool_1 @staceynewman @EricGreitens Stacey is a democratic political operative</t>
  </si>
  <si>
    <t>How about @AGJoshHawley  drop out of the senate race
@SykesforSenate @AP4Liberty @Monetti4Senate https://t.co/o4ox5eebLq</t>
  </si>
  <si>
    <t>RT @AndrewsDisciple: The death of the metaphor. #Maga #1a #JamieAllman https://t.co/ymhNPsXFlT</t>
  </si>
  <si>
    <t>@LV_Scooter @kylegriffin1  https://t.co/yTvT3Vz1pa</t>
  </si>
  <si>
    <t>@Lautergeist @RuthsChris @staceynewman They are suppose to be moving out of Clayton , I will NEVER eat at @RuthsChris ever again 
They picked leftist left wing politically motivated censorship.   I’d rather have a hot poker than a hot plate of sizzling butter #IStandWithJamieAllman</t>
  </si>
  <si>
    <t>@RealBarefoot @DaynaGould @BlasDoug @MarcCox971 @jallman971 Exactly Mark there’s umpteen cable &amp;amp; radio Chanel’s if u don’t like a show change the Chanel 
crazy folks</t>
  </si>
  <si>
    <t>RT @STLCrimeBeat: St. Louis man acquitted in 2015 killing of drug dealer https://t.co/sCYDF4KbhC</t>
  </si>
  <si>
    <t>RT @JohnLamping: Will I fight with the most fiscally conservative governor in my lifetime?  No doubt. What public doesn't know but you and…</t>
  </si>
  <si>
    <t>A message from @jallman971  has appeared 
He’s not resigned &amp;amp; he hasn’t been fired  
This give me hope   🗣👂🏻  #istandwithallman
@971FMTalk @KDNLABC30   #freespeech https://t.co/e5xJMh8uUE</t>
  </si>
  <si>
    <t>@JohnLamping I’m standing with ya John , lots of us are 
That press conference was GLORIOUS</t>
  </si>
  <si>
    <t>@RadRealityShow @RiverfrontTimes Lol 😂 why thank you  lots of ho’s n clowns  in all this saga</t>
  </si>
  <si>
    <t>@kylegriffin1 Lol so unwanted that she continued to see him and sent him naked face time ,  um yeah no that was a mutually consensual hookup by both of them</t>
  </si>
  <si>
    <t>RT @YearOfZero: @eyokley @EricGreitens Well a consensual affair isn’t a crime, and it is clear that #kimshady is running a shady a** CAO...…</t>
  </si>
  <si>
    <t>RT @YearOfZero: That will change people’s mind!
Sorry but if all this report is only about an affair they had while not governor, hate to…</t>
  </si>
  <si>
    <t>RT @YearOfZero: You obviously don’t know Missouri.
If all this was over him cheating while he wasn’t governor, sorry but I’m doubling down…</t>
  </si>
  <si>
    <t>RT @RiverfrontTimes: Missouri Governor Eric Greitens goes full Trump, comparing the investigation against him to the "witch hunts in Washin…</t>
  </si>
  <si>
    <t>@RiverfrontTimes I Rather Enjoyed his full Trump.  I don’t see any evidence of a law he has broken , so I’m glad he’s not Resigning.  I do see evidence of a witch hunt.</t>
  </si>
  <si>
    <t>@Joe_Cool_1 @EricGreitens YES THEY DO !  Fight like the warrior your are</t>
  </si>
  <si>
    <t>@RadRealityShow @RiverfrontTimes Who me ?</t>
  </si>
  <si>
    <t>RT @JW1057: @TeamGreitens @SheenaGreitens @CStamper_ @StLCountyRepub
GO @EricGreitens!!! WE GOT YOUR BACK. 
One mistake - you don't have…</t>
  </si>
  <si>
    <t>Easy there baby daddy,   You only got your family values in order to run for office .  #Moleg https://t.co/wjKbAJ9VSs</t>
  </si>
  <si>
    <t>@CaseyNolen Casey what are you talking about  the slapping rumor made the daily mail back in January  #moleg #fakenews
https://t.co/q3Z7AqAbR8</t>
  </si>
  <si>
    <t>@EricGreitens YOU GO MAN ! 
DONT RESIGN 
#moleg https://t.co/FwsDhUiKpX</t>
  </si>
  <si>
    <t>@Lautergeist @jallman971 Thank you so much for posting , i miss you Jamie</t>
  </si>
  <si>
    <t>RT @JW1057: @KMOV @GailBeatty @GovGreitensMO Yes. We can agree you should stay out people's personal lives. You should now return to the pe…</t>
  </si>
  <si>
    <t>@andykopsa I sure hope so !  This is a witch hunt</t>
  </si>
  <si>
    <t>@CaseyNolen @EricGreitens Is ksdk airing it live when it breaks</t>
  </si>
  <si>
    <t>@Tom_Wright12 Your fricken lucky your alive when on metro</t>
  </si>
  <si>
    <t>@JackSuntrup @SenatorNasheed @stltoday Why should he resign? It’s up to his wife to judge him nobody else 
#Moleg has legislators that are baby daddy’s  with paternity suits  everybody’s deplorable 
A crime was not committed</t>
  </si>
  <si>
    <t>RT @KurtEricksonPD: At 4 pm, @EricGreitens to make statement in his office. #moleg</t>
  </si>
  <si>
    <t>@CaseyNolen i hope this report is a G rated version , for Pete’s sake get the kids out of there</t>
  </si>
  <si>
    <t>RT @DaynaGould: @BlasDoug @Sticknstones4 @RealBarefoot @MarcCox971 @jallman971 It Is Censorship 100% What Jamie Does on His OFF Time Has NO…</t>
  </si>
  <si>
    <t>RT @dsm012: The latest The Missouri Senate (#MOSen) Daily! https://t.co/uPk3fzoBwb Thanks to @champ4autism @McCaskill4MO @BrookeGoren #mose…</t>
  </si>
  <si>
    <t>RT @JW1057: @EricGreitens @TeamGreitens @SheenaGreitens @MOHOUSECOMM @sarahfenske @KMOV @KMOVMatt @MarkReardonKMOX
#moleg #mogov #greitens…</t>
  </si>
  <si>
    <t>@grcfay @PershingSoldier @971FMTalk @jallman971 Bring back our beloved sunshine of common sense</t>
  </si>
  <si>
    <t>RT @grcfay: @PershingSoldier @971FMTalk @jallman971 I listened To a little Sunshine in the morning.  It was Jamie Allman.  Always put me in…</t>
  </si>
  <si>
    <t>@TNSkerFan @AmazingAye555 @adingo @tracycollins @DanaWKFR @SpeakerTimJones @YearOfZero @PhyllisMarion7 @staceynewman @jallman971 @971FMTalk Corey blockers are like little dogs are bark no bite  
They secretly love ya</t>
  </si>
  <si>
    <t>What’s really going to come out today ? Play by play of consensual sexy that wasn’t in a missionary position
Afultery is not a crime for any man or woman  #moleg #everybodyhassex  #nocrime #greitens #novictim</t>
  </si>
  <si>
    <t>@CaraSpencerSTL Is Kim Gardner doing a good job ? Polls across the us say NO</t>
  </si>
  <si>
    <t>@JohnBrownTV Lord have mercy tha must of been some damn good kinky sex Cause they consenually got it on &amp;amp; on again &amp;amp; again #slapdatass #slapntap #christiangray</t>
  </si>
  <si>
    <t>@PershingSoldier @971FMTalk @jallman971 It’s utter bullshit , makes me want to ram a hot poker up censorship’s ass</t>
  </si>
  <si>
    <t>RT @PershingSoldier: So.  A group of dopes succeeded in getting @971FMTalk to cave in and fire #JamieAllman who has been their greatest ass…</t>
  </si>
  <si>
    <t>@JW1057 @robschaaf Oh this sounds like fun sexual confessions jeopardy 
Well Alex , I’ll take mommie porn for $200. I read all 3 fifty shades books  a dozen time #wetpanties</t>
  </si>
  <si>
    <t>@ManMadeMaterial @SenatorNasheed @JackSuntrup @stltoday Hey I’m cool with carrying i do it too 
Especially in St. Louis 
I’m a big believer in 2a  
I don’t pander anti gun groups for votes though</t>
  </si>
  <si>
    <t>@ManMadeMaterial @SenatorNasheed @JackSuntrup @stltoday Yep she was real classy in the middle of the street getting arrested with a loaded gun in Ferguson</t>
  </si>
  <si>
    <t>RT @realDonaldTrump: Today, it was my great honor to welcome the 2017 NCAA Football National Champion, Alabama Crimson Tide - to the White…</t>
  </si>
  <si>
    <t>@robschaaf Why so cryptic</t>
  </si>
  <si>
    <t>RT @DaynaGould: @BigJShoota Why Are We Allowing This Sham Of An Indictment To Continue ! We Ned Our Tax Dollars To Go Toward Our Police Chi…</t>
  </si>
  <si>
    <t>@BigJShoota Big j what do you make of this ?  That’s shady too wonder if lyda uses mayor slay letterhead 
https://t.co/rRd62FklGH</t>
  </si>
  <si>
    <t>RT @BigJShoota: Did the "Committee" REALLY engage in misconduct?  😒😒😒😒 
#UnAuthorizedConduct 
#moleg #mogov #greitens #GreitensIndictment…</t>
  </si>
  <si>
    <t>@CaseyNolen Juicy like a steak 🥩  juicy like an orange 🍊 
Or flat out juicy like Dracula 🧛‍♂️ biting a vein</t>
  </si>
  <si>
    <t>RT @DaynaGould: Why Run ? They Are The Problem ! Here They Want @EricGreitens To Be Accountable For A NON-Crime But They Can't Be Accountab…</t>
  </si>
  <si>
    <t>@MissouriTimes @cbrazeale thanks for the shout out Not a Bot 
I’m a just real live mutha sucka with a keyboard ⌨️</t>
  </si>
  <si>
    <t>@Str8DonLemon Maybe she knows who’s been lining everybody’s pockets in #moleg &amp;amp; who is paying Al Watkins 💵💵💵💵💵 fees
After all the self proclaimed “whore” said he gets paid a pretty penny  #greitens https://t.co/cRZmI5gPGm</t>
  </si>
  <si>
    <t>@MajorityPAC I think I’d be more worried about the sham investigation &amp;amp; illegal prosecution by Kim Gardner of the St. Louis circuit attorneys office .  That’s a Sham case with no evidence</t>
  </si>
  <si>
    <t>@ES03784893 @gocrazy4cards @chadlybrown @WeAreSinclair @KDNLABC30 @jallman971 @971FMTalk He should stay independent so he won’t be subject to censorship. Who know bloggers , podcasters earn a nice living.</t>
  </si>
  <si>
    <t>How long has Kim Gardner been in office ?
Why is letterhead with previous circuit attorney being used ?
So much #kimshady stuff in this #greitens witch hunt 
#moleg #kanagaroocourt #stlboa #lydakrewson #stlouis
@AGJoshHawley https://t.co/vZF0CvQ1Ke</t>
  </si>
  <si>
    <t>@ES03784893 @gocrazy4cards @chadlybrown @WeAreSinclair @KDNLABC30 @jallman971 @971FMTalk Allman could do a Wayne’s world podcast from his basement &amp;amp; he’d have a following</t>
  </si>
  <si>
    <t>@LaurenTrager @Apple @Google @EricGreitens @KMOV Is that even real ? Why does the letterhead say Jennifer Joyce</t>
  </si>
  <si>
    <t>@SKOLBLUE1 Imagine that , i need air, food, sleep</t>
  </si>
  <si>
    <t>I’m Real Folks .. a real live living breathing Missourian with a pulse 💓 and a keyboard ⌨️ 
But thanks for the shout out 😘 appreciate it</t>
  </si>
  <si>
    <t>RT @ksdknews: DEVELOPING: Death of Jennings toddler investigated as homicide  https://t.co/5FfV7jCpNQ</t>
  </si>
  <si>
    <t>@RiverfrontTimes Thank you for culturally enriching me.
I never knew a sport existed called cooter ball , imagine the athletism that goes into this
who knew a giant mechanical male genitalia ride was in sauget, everbodys got to add that to their bucket list</t>
  </si>
  <si>
    <t>@votehaas @RiverfrontTimes No way i enjoy Allman &amp;amp; i enjoy the rft 
It’s free speech for everybody</t>
  </si>
  <si>
    <t>@NoMoreStalking6 @JW1057 @Entercom @SheenaGreitens @EntercomPR I agree no more stalkers</t>
  </si>
  <si>
    <t>RT @somethingldsay: Dear god, this is turning into #Missouri's own version of Mueller &amp;amp; the Trump / Russia fiasco. He's charged with actual…</t>
  </si>
  <si>
    <t>RT @AllenTruitt1: This is an article, by a prosecutor, on the injustice and corruption in the Eric Greitens indictment. #GreitensIndictment…</t>
  </si>
  <si>
    <t>RT @AllenTruitt1: Isn't it illegal to use public  office to attack citizens? https://t.co/MGVSe3Wv2r</t>
  </si>
  <si>
    <t>RT @AllenTruitt1: @jallman971 is no longer at @971FMTalk  because of political correctness. This station is dead to me. Cowards. https://t.…</t>
  </si>
  <si>
    <t>@AllenTruitt1 @jallman971 @971FMTalk They are DEAD 💀 to me too .  They silenced @jallman971 
I’m silencing them   
#boycott97.1  #IStandWithJamieAllman</t>
  </si>
  <si>
    <t>🚨Breaking  @mopns  Missouri Political News Service 
Is offline again
Monday they were victims to a cyber attack and went back online Tuesday 
Suspicious   
#moleg #kimshady #stlouis #Whistleblower #stlboa
#corruption #fbi #kimgardner #missouri #news  
https://t.co/KwpSuz7NPM</t>
  </si>
  <si>
    <t>@blackwidow07 @mopns It must be hacked again 
They got hacked Monday and wen back up yesterday
I’ll tag you when they are back online 
I hope they are getting sensored because of their breaking stories msm doesn’t tell us</t>
  </si>
  <si>
    <t>RT @CurtisScoon: How many people really use Facebook for anything other than tracking down old lovers and finding new ones? “Networking,” m…</t>
  </si>
  <si>
    <t>@CurtisScoon Lol it should be called stalkbook</t>
  </si>
  <si>
    <t>@CurtisScoon Looks good Curtis</t>
  </si>
  <si>
    <t>RT @mopns: Rep. Curtman Files Bar Complaint Against St. Louis Circuit Attorney https://t.co/JOg6JOzA1G</t>
  </si>
  <si>
    <t>RT @mopns: Audio: Rep. Curtman Complaint Against Kim Gardner https://t.co/8VptNHbOJv</t>
  </si>
  <si>
    <t>RT @mopns: Video: MOGOP’s Sam Cooper Says “Clean Missouri” Is A Dirty Deal https://t.co/BRDwLW8Chv</t>
  </si>
  <si>
    <t>RT @mopns: EXCLUSIVE: Whistleblower Claims STL Circuit Attorney Under FBI Investigation https://t.co/06Db0hHYZS</t>
  </si>
  <si>
    <t>RT @mopns: MOPNS Twitter Poll: Should Mo. Attorney General Investigate STL Circuit Attorney Kim Gardner? https://t.co/BW3RnZltJM</t>
  </si>
  <si>
    <t>RT @JW1057: MO House Investigative Committee engaged in misconduct. 
@EricGreitens @SheenaGreitens @TeamGreitens @StLCountyRepub 
@Sentine…</t>
  </si>
  <si>
    <t>RT @Markknight45: They have lost their minds and common sense. They actually believe it was an actual threat like Jamie went to the hot pok…</t>
  </si>
  <si>
    <t>RT @JohnStandlee: I'm stickin' with @jallman971 ! https://t.co/FU6RNTAtwf</t>
  </si>
  <si>
    <t>@KMOV You don’t say</t>
  </si>
  <si>
    <t>@philip_saulter @RealTravisCook @WeAreSinclair Plus we need them to get to work 
They get to pay my social security 
Thanks kids</t>
  </si>
  <si>
    <t>@philip_saulter @RealTravisCook @WeAreSinclair Don’t even hashtag the little fugger 
#idontgiveashit he’s internet irrelevant 
These kids thrive on trending</t>
  </si>
  <si>
    <t>@FOX2now What about the conduct of the committee ?
https://t.co/tkuvpUQLcv</t>
  </si>
  <si>
    <t>@KMOV What about this action on the committee?
https://t.co/tkuvpUQLcv</t>
  </si>
  <si>
    <t>@paigehulsey @KMOV @EricGreitens https://t.co/tkuvpUQLcv</t>
  </si>
  <si>
    <t>@RealTravisCook @WeAreSinclair Don’t tweet or say that puppet kids name , he’s irrelevant 
He makes bacon taste bad !
Everybody just needs to stop so he will just go away to college</t>
  </si>
  <si>
    <t>RT @RealTravisCook: So telling @davidhogg111 that he should have a "hot poker shoved up his ass" is over the line. Fine, I'll instead say "…</t>
  </si>
  <si>
    <t>@Joe_Cool_1 @LydaKrewson @KMOV @LaurenTrager @staceynewman @EricGreitens @StLouisCityCA Wait, How does Lyda play into this ? Was she at the capital that day too</t>
  </si>
  <si>
    <t>RT @NSFMill: @JW1057 @sarahfenske But, but then he....tied me to the railroad tracks....and then the train......</t>
  </si>
  <si>
    <t>RT @MarcCox971: No one is more sick about this than I am. I’ve been friends with @jallman971 for 25 years. He’s a good man, and great conse…</t>
  </si>
  <si>
    <t>RT @RealBarefoot: @MarcCox971 @jallman971 I’m sorry to say I will not be supporting this station anymore.. be careful for you are in the cr…</t>
  </si>
  <si>
    <t>@RealBarefoot @MarcCox971 @jallman971 Me too , this is left wing censorship and i won’t participate 
Wherever Jamie goes I’ll listen</t>
  </si>
  <si>
    <t>I stand for Free Speech and NOT Left wing attacks to silence  !  Shame on them   #IStandWithJamieAllman 
🗣When Jamie Talks, I Listen👂🏻
@971FMTalk @entercom @SpeakerTimJones @SebGorka @KevinJacksonTBS https://t.co/3nWlDMUtbl</t>
  </si>
  <si>
    <t>@Joe_Cool_1 @Entercom @971FMTalk I stand for Free Speech and not Left wing attacks to silence  !  Shame on them   #IStandWithJamieAllman 
🗣When Jamie Talks, I Listen👂🏻</t>
  </si>
  <si>
    <t>@stltoday Stenger Your county police are contracted to patrol it</t>
  </si>
  <si>
    <t>@FOX2now Are the politicians championing their cause really about their cause OR just out for their vote 🗳 
suspected drunk, arrested with loaded gun makes for peaceful safe protest  @sennasheed 
https://t.co/Z1g1WFXubB
#moleg #Missouri #stlboa #stl #momsdemand #nra #gunsense #2A</t>
  </si>
  <si>
    <t>@ksdknews Are the politicians championing their cause really about their cause OR just out for their vote 🗳 
suspected drunk with a loaded gun makes for peaceful safe protest  @sennasheed 
https://t.co/Z1g1WFXubB
#stlboa #stl #2a  #gunsense #missouri #moleg #momsdemand #nra #hyocrite</t>
  </si>
  <si>
    <t>RT @MoMansion: We are pleased to announce that registration for Manners at the Missouri Governor's Mansion is now open. #LearnYourManners #…</t>
  </si>
  <si>
    <t>RT @WEAI_Columbia: Congratulations to @SheenaGreitens, whose @CambridgeUP Study of the #WEAI "#Dictators &amp;amp; Their Secret Police" is co-winne…</t>
  </si>
  <si>
    <t>RT @Margare03880660: @Sticknstones4 @NSFMill @GovGreitensMO Happy Birthday,sir!</t>
  </si>
  <si>
    <t>@Loralei_leigh @EricRSchmitt @JoyAnnReid Completely support him , it was taken out of context 
You really think he’s going to go across state lines &amp;amp; ram a hot poker , lol  you liberals are  hillarious 
I told my kid i was going to ram my shoe up their ass for not cleaning their room, nobody ever fired me as a parent</t>
  </si>
  <si>
    <t>@RealSaavedra @KyleKashuv ROLL TIDE !</t>
  </si>
  <si>
    <t>RT @FOX2now: Heavy police presence called to west St. Louis neighborhood https://t.co/0tEb200HWQ https://t.co/9um5jeDqUK</t>
  </si>
  <si>
    <t>RT @Margare03880660: @Sticknstones4 @NSFMill @JW1057 @SuchHate @VisioDeiFromLA @jaybarnes5 @SpeakerTimJones @KevinLAustin1 @jeanielauer @gc…</t>
  </si>
  <si>
    <t>@Tballard_terri @SuchHate @JW1057 @VisioDeiFromLA @jaybarnes5 @SpeakerTimJones @KevinLAustin1 @jeanielauer @gcmitts @shawnrhoads154 They were both to blame , obviously they both had lust and acted</t>
  </si>
  <si>
    <t>@JW1057 @FOX2now I like this one better #kimshady https://t.co/1q46po80QY</t>
  </si>
  <si>
    <t>@FOX2now Why didn’t you show al Watkins instead he must of been crushed to cancel another one of his sidewalk performances</t>
  </si>
  <si>
    <t>@Speedy62269 @FOX2now Oh there was pictures but guess who was taking them and sending them ? The mistress was playing keeping up with the kardashians sending naked face time</t>
  </si>
  <si>
    <t>@FOX2now The thug life</t>
  </si>
  <si>
    <t>@FOX2now What is the procedure to disbar kim Gardner when he’s found innocent ?</t>
  </si>
  <si>
    <t>RT @SuchHate: Sad societal commentary:  17 &amp;amp; others get shot up in St.Louis drive-by... and there are more comments about a stupid Tweet th…</t>
  </si>
  <si>
    <t>@SuchHate This guy should get entrepreneur of the year</t>
  </si>
  <si>
    <t>RT @JW1057: Friend just sent this!
#moleg #mogov #greitens #GreitensIndictment #KimShady https://t.co/NXaNi2LBv5</t>
  </si>
  <si>
    <t>@JW1057 @SuchHate @VisioDeiFromLA @jaybarnes5 @SpeakerTimJones @KevinLAustin1 @jeanielauer @gcmitts @shawnrhoads154 They already saw her at the Capital with Stacey newman
She was introduced on the house floor  #moleg 
Give me a report on that https://t.co/9uhk03ndRP</t>
  </si>
  <si>
    <t>RT @Markknight45: @WeatherChambers @KMOV @LaurenTrager Pretty sad that a partisan prosecutor, media and judge are trying to take a duly ele…</t>
  </si>
  <si>
    <t>RT @gocrazy4cards: @jeffreyjonesmo @971FMTalk @SpeakerTimJones Sorry but I stand with both @jallman971 and @SpeakerTimJones 
I don't get m…</t>
  </si>
  <si>
    <t>@SuchHate @JW1057 @VisioDeiFromLA @jaybarnes5 @SpeakerTimJones @KevinLAustin1 @jeanielauer @gcmitts @shawnrhoads154 It takes two to tango</t>
  </si>
  <si>
    <t>@GovGreitensMO Happy Birthday Governor Greitens</t>
  </si>
  <si>
    <t>@Shawtypepelina @EricGreitens @shawtypepelina 
A happy birthday to your daughter too 🎉🎂🦋💐</t>
  </si>
  <si>
    <t>@SykesforSenate @Hope4Hopeless1 @stltoday We the voters can fire Claire</t>
  </si>
  <si>
    <t>RT @WeatherChambers: Oh my! @KMOV’s own @LaurenTrager has been called to testify!
“KMOV employees are among new witnesses identified by the…</t>
  </si>
  <si>
    <t>@WeatherChambers @KMOV @LaurenTrager https://t.co/be0zWmIdL4</t>
  </si>
  <si>
    <t>🚨RT  and wish @EricGreitens  a
Happy Birthday today 
 H A P P Y   B I R T H D A Y 
 Governor Greitens 
#missouri #greitens #moleg #governor #navyseal #navy
#author #father #warrior #Politician #happybirthday 
#Republicans #kansascity #stlouis #jeffersonscity #springfield #love https://t.co/ukKK3tT4zz</t>
  </si>
  <si>
    <t>@stlpublicradio https://t.co/Z1g1WFXubB</t>
  </si>
  <si>
    <t>@SpeakerTimJones  more liberal logic when you ask a question they Block you  , please ask her she likes you</t>
  </si>
  <si>
    <t>But @SenatorNasheed you had a loaded gun 
In a crowd 
https://t.co/Z1g1WFXubB
#moleg #2a #stlboa #Missouri #stl #mosen #mogov #nra https://t.co/uIHUibuGvI</t>
  </si>
  <si>
    <t>@Margare03880660 @RealTravisCook @WeAreSinclair what is Stacey’s role in this ?  Doesn’t anyone find it odd she paraded greitens mistress through the capital &amp;amp; they have been longtime friends ? 
#greitens #crooked  #hitjob https://t.co/zxGLZeWdy7</t>
  </si>
  <si>
    <t>RT @Margare03880660: @RealTravisCook @Sticknstones4 @WeAreSinclair I know how you feel.  I also called the Heat Phone as well. I am upset a…</t>
  </si>
  <si>
    <t>@gregrazer The same could be said about the #moleg trying to take Greitens out over the tax credit reform 
I’m loud &amp;amp; I'm proud #greitens is not resigning 
#crooked #missouri #witchhunt  #nopicture 
How much did you accept from Missouri king of tax credits? https://t.co/MToCEkXNnF</t>
  </si>
  <si>
    <t>@StevenDialTV @41actionnews There was a complaint filed against Ronald Sullivan 
https://t.co/jvWDZ8r73j</t>
  </si>
  <si>
    <t>RT @StevenDialTV: This is a big development. There is a gag order on the criminal case. But the judge said it would be “reckless of the sta…</t>
  </si>
  <si>
    <t>@CStamper_ If our thoughts were all it would take to convict, we’d all be serving serious time</t>
  </si>
  <si>
    <t>@Monetti4Senate Yep look how they managed to silence Jamie Allman</t>
  </si>
  <si>
    <t>RT @Monetti4Senate: It sickens me how divided this country has become. These kinds of veiled threats are becoming all to common from the le…</t>
  </si>
  <si>
    <t>@PershingSoldier @FoxNews @SenTedCruz Take his ideas to Mexico with Claire</t>
  </si>
  <si>
    <t>Breaking Letter to Chief General Counsel  
Formal Complaint against Ronald Sullivan
special prosecutor in Greitens case Citing Missouri statues
https://t.co/jvWDZ8r73j
@dsm012 @realtraviscook @SentinelKSMO @TomJEstes @paulcurtman   
#moleg #illegalprosecution</t>
  </si>
  <si>
    <t>RT @dsm012: The latest The Missouri Senate (#MOSen) Daily! https://t.co/ilA3htmvBC Thanks to @TeamHawley @Sticknstones4 #mosen #hawley</t>
  </si>
  <si>
    <t>@dsm012 @TeamHawley Fire Claire ! https://t.co/jo4vNZa0us</t>
  </si>
  <si>
    <t>RT @SykesforSenate: Go get 'em @paulcurtman.  https://t.co/Qw6lmntQep</t>
  </si>
  <si>
    <t>🚨Breaking News 
 Formal Complaint Filed w/ Missouri Chief disciplinary Counsel 
requesting suspension of Ronald Sullivan from prosecution in Greitens case 
Read in detail 
#greitens #kimgardner #moleg #jeffersoncity #stl #stlboa 
@FDRLST @gatewaypundit @mopns https://t.co/em62cwvylh</t>
  </si>
  <si>
    <t>RT @VisioDeiFromLA: What the Headlines Today SHOULD BE: China Blinks. Stocks Rally. President Trump’s strategy may just be working! Instead…</t>
  </si>
  <si>
    <t>RT @CaseyNolen: ‘The court has asked us not to talk to the press’ says @EricGreitens’ attorneys - same for prosecutors and attorney for all…</t>
  </si>
  <si>
    <t>@CaseyNolen @ksdknews @EricGreitens keep chasing them 😂after y’all know there not suppose to talk to the press. #fakenews</t>
  </si>
  <si>
    <t>RT @CovfefeAgent: @KMOV @EricGreitens Guess things don’t look good for the prosecutors case</t>
  </si>
  <si>
    <t>@RealTravisCook @WeAreSinclair I threatened to ram my well heeled shoe up my kids ass 
And they turned out just fine.</t>
  </si>
  <si>
    <t>@RealTravisCook @WeAreSinclair Left wing liberals just didn’t like the stories that Allman aired.  Ironic the day after he aired Paul Curtman &amp;amp; the St. Louis circuit attorneys bar complaint for prosecutorial misconduct  💥 he off air for a tweet from 3/26 wasn’t in their narrative to derail greitens</t>
  </si>
  <si>
    <t>RT @RealTravisCook: #IStandWithJamieAllman As someone who has had the opportunity to speak on the Heat Phone several times in the past, I'm…</t>
  </si>
  <si>
    <t>RT @SKOLBLUE1: @Sticknstones4 @SixofSaturn @CStamper_ @LydaKrewson @FOX2now An infinite number! You have a PA that focuses her attentions t…</t>
  </si>
  <si>
    <t>@SKOLBLUE1 @SixofSaturn @CStamper_ @LydaKrewson @FOX2now How many more shootings &amp;amp; homocides</t>
  </si>
  <si>
    <t>RT @SixofSaturn: @SKOLBLUE1 @CStamper_ @LydaKrewson @FOX2now Much Love to @ElliottDavisTV If not for him our city would really be screwed.…</t>
  </si>
  <si>
    <t>@JW1057 @joelcurrier Thanks justice warrior 🤗 i can’t keep up with all moving parts In this circus, so many acts happening at the same time .  So this tape is still magicly appearing as discovery that should have been previously handed over ?</t>
  </si>
  <si>
    <t>@joelcurrier So yesterday’s damaged tape has now magically been restored &amp;amp; Shazam ⚡️ Has appeared 
That’s incredible  i never knew the court did magic 
Disappearing &amp;amp; re Appearing discovery 
Who needs to see Hamilton , this is quite entertaining 
#Moleg #Stl</t>
  </si>
  <si>
    <t>@cody19s @JW1057 @KCStar I’m lost , there’s no sex crime, this was a consensual relationship.   Greitens was doxed in this relationship before he was elected.  The ex husband &amp;amp; his attorney shopped the tape to Roy temple #moleg knew &amp;amp; kept it as a mulligan in their dirty pockets</t>
  </si>
  <si>
    <t>@joelcurrier @StLouisCityCA @EricGreitens @stltoday Joel any comment on the Missouri bar complaint &amp;amp; the fbi whistleblower against the circuit attorney ?</t>
  </si>
  <si>
    <t>RT @joelcurrier: #Breaking: @StLouisCityCA files motion for gag order on all parties, lawyers and witnesses in @ericgreitens invasion of pr…</t>
  </si>
  <si>
    <t>@JW1057 @joelcurrier @StLouisCityCA @EricGreitens @stltoday Oh Snap, Al Watkins was ready to take his sidewalk whore  circus act in front of the camera</t>
  </si>
  <si>
    <t>@SixofSaturn @CStamper_ 10 million deficit in city budget
2017 record homocides &amp;amp; 2018 is 4 up from last year</t>
  </si>
  <si>
    <t>@SuchHate It’s looming in space with all the hope &amp;amp; change</t>
  </si>
  <si>
    <t>@MaggieTheCat20 I’m having @jallman971 withdrawal  💉   He should buy his his own airtime on public access cable</t>
  </si>
  <si>
    <t>RT @MaggieTheCat20: Jamie is the voice of sanity and truth in this screwed up city. His passionate responses to stupidity, lies and corrupt…</t>
  </si>
  <si>
    <t>@SentinelKSMO Amazing with all that money spent outsourcing investigators &amp;amp; bringing on illegal special counsel a 2 hour video goes poof 💨💨💨</t>
  </si>
  <si>
    <t>RT @SentinelKSMO: Greitens Prosecutor Goes Full "Rose Mary Woods" On Missing Evidence - https://t.co/AtiUNMeL2r</t>
  </si>
  <si>
    <t>RT @yceek: Hantler: A George Soros-Backed Prosecutor Under FBI Investigation Indicts Republican Governor Eric Greitens—Because of a Dream h…</t>
  </si>
  <si>
    <t>@Hot103Jamz This is a sham prosecution in a Kangaroo court 
No evidence No crime 
#greitens #moleg  #kimshady</t>
  </si>
  <si>
    <t>RT @Hot103Jamz: Attorney for Greitens: "There's no picture. There's no evidence." https://t.co/8u0rQLgeaI</t>
  </si>
  <si>
    <t>@StevenDialTV @41actionnews What about her playing keeping up with the kardashians with the naked face time ? Consensual affair YES
Blackmail NO  political witch hunt YES  
#greitens #moleg https://t.co/GqhY3EC4wt</t>
  </si>
  <si>
    <t>RT @madhubani2: As we watch the drama escalate in the effort to undo the 2016 presidential election, consider the case of another chief exe…</t>
  </si>
  <si>
    <t>@jaybarnes5 @AGJoshHawley @chrisregniertv
Please explain this ? HR5575, rule10
#moleg #greitens  #hawley #barnes https://t.co/YcNQd3wRxa</t>
  </si>
  <si>
    <t>@mopns everbody should investigate #kimshady
She’s turned the Stl curcuit attorneys office into sham for her personal witch hunts 
Stop playing kangaroo court &amp;amp; start prosecuting the real criminals , Stl homicide is up by 4 from last year’s record 
@AGJoshHawley</t>
  </si>
  <si>
    <t>@MikeTokes @philip_saulter HELL YES</t>
  </si>
  <si>
    <t>RT @MikeTokes: Should we ban @georgesoros from the USA, seize his personal + sham foundation assets and bar him from manipulating and meddl…</t>
  </si>
  <si>
    <t>@TheJusticeDept  Please investigate the illegal prosecution of Missouri Governor @EricGreitens it’s very troubling &amp;amp; evident this is a political witch hunt. Prosecutorial misconduct is blantant!  Please investigate today !</t>
  </si>
  <si>
    <t>@FOX2now Kim Gardner is wasting our well needed tax dollars in this witch hunt kangaroo court.  When is lyda Krewson &amp;amp; the #stlboa going to take the reigns on this wasteful spending 
44 homocides this year Prosecute the real criminals with real cases</t>
  </si>
  <si>
    <t>RT @FOX2now: Legal debate intensifies before Greitens report release https://t.co/kLDfcoAxM1 https://t.co/4tPzaYHAEy</t>
  </si>
  <si>
    <t>@KMOV Happy to see this! helps ex offenders from becoming career criminals.  best of luck to everyone</t>
  </si>
  <si>
    <t>RT @mopns: STL Circuit Attorney Claims Greitens Mistress Taped Testimony Lost Due to “Malfunction” https://t.co/pKcqgFYbCK</t>
  </si>
  <si>
    <t>@mopns https://t.co/S6AFokHLdf</t>
  </si>
  <si>
    <t>@CStamper_ https://t.co/S6AFokHLdf</t>
  </si>
  <si>
    <t>@Str8DonLemon @magathemaga1 @MotivatedVoter @TeamGreitens @deanplocher @JillSchupp @SKOLBLUE1 @AllenTruitt1 @EricGreitens @TuckerCarlson @Hope4Hopeless1 @philip_saulter I’m waiting for them to ask why she was playing keeping up with the kardashians with naked face time</t>
  </si>
  <si>
    <t>RT @mopns: The Missouri Political News Service was hacked and temporarily shut down this morning after we posted two articles on Circuit At…</t>
  </si>
  <si>
    <t>@mopns I bet it was the fbi whistleblower kim shady story 
Local msm won’t cover that or the Paul Curtman filing a bar complaint , soros censorship has deeep pockets</t>
  </si>
  <si>
    <t>RT @mopns: Should Mo. Attorney General Josh Hawley investigate STL Circuit Attorney Kim Gardner for malicious prosecution of Governor Greit…</t>
  </si>
  <si>
    <t>STL Circuit Attorney Claims Greitens Mistress Taped Testimony Lost Due to "Malfunction" https://t.co/38zGjbQIJq</t>
  </si>
  <si>
    <t>https://t.co/0OxCQIyF6M
#stl #moleg #mogov #mosen #greitens #ramonagau #kimgardner #bribe #fbi #corruption #hawley #soros #lydakrewson #republicans #democrats #Whistleblower 
#stlboa</t>
  </si>
  <si>
    <t>RT @PershingSoldier: @Sticknstones4 @stltoday @SLMPD @ChiefJohnHayden One of the main reasons STL remains locked in a loser mentality while…</t>
  </si>
  <si>
    <t>RT @ChristineDByers: Four critical, one dead following bloody weekend in St. Louis https://t.co/Vj1WfR3TyN via @stltoday</t>
  </si>
  <si>
    <t>@stltoday I wish all these entities going after @slmpd @ChiefJohnHayden  were that vigilant about going after criminals, gangs, &amp;amp; drug dealers.   The criminals, gangs &amp;amp; drug dealers could use some transpency &amp;amp; stop destroying St. Louis.    May our brave officers be safe</t>
  </si>
  <si>
    <t>@sports_stl @stltoday @AllmanReport Well I’m waiting for my Block  beam me up Scotty</t>
  </si>
  <si>
    <t>@WeAreSinclair  please bring back @AllmanReport 
Emmy award winning Host Jamie Allman  tells the stories the local liberal MSM wants to silence.</t>
  </si>
  <si>
    <t>@sports_stl @stltoday @AllmanReport I’m an overcheiver, you’ve already called me a bot, wrongly assumed my religion, tried to personally insult me , go ahead  make my day with A Block for the win</t>
  </si>
  <si>
    <t>@sports_stl @stltoday @AllmanReport You shouldn’t have to explain the difference, right there is the problem.  It’s ok for YOUR speech but  it’s not Ok for Jamie’s.   Your misused context doesn’t make you a Sadistic murderer just like his doesn’t make him a rapist</t>
  </si>
  <si>
    <t>RT @juliematthews50: #IStandWithJamieAllman https://t.co/2gaWTadeMb</t>
  </si>
  <si>
    <t>@sports_stl @stltoday @AllmanReport Funny coming from a guy with a profile that wishes cancer &amp;amp; death on somebody.</t>
  </si>
  <si>
    <t>@Beatlebaby64 @jallman971 @971FMTalk @WeAreSinclair @POTUS Jamie tells the stories and has the guests the liberal MSM want to silence.   It’s a shame @WeAreSinclair caved to their demands.   The left wanted his show gone before mid terms  #istandwithjamieallman</t>
  </si>
  <si>
    <t>@EricRSchmitt @JoyAnnReid Not at all , he has a big fan base in St. Louis 
And we love him.  #istandwithjamieallman</t>
  </si>
  <si>
    <t>@SKOLBLUE1 @CStamper_ What a weirdo</t>
  </si>
  <si>
    <t>@rxpatrick I think her ex husband made the false and misleading statements when him and his attorney shopped the bogus story &amp;amp; tape to Roy temple &amp;amp; kmov</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</si>
</sst>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82"/>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HYPERLINK("http://www.twitter.com/NathanBLawrence/status/998962596299624449", "998962596299624449")</f>
        <v/>
      </c>
      <c r="B2" s="2" t="n">
        <v>43242.68306712963</v>
      </c>
      <c r="C2" t="n">
        <v>0</v>
      </c>
      <c r="D2" t="n">
        <v>0</v>
      </c>
      <c r="E2" t="s">
        <v>13</v>
      </c>
      <c r="F2" t="s"/>
      <c r="G2" t="s"/>
      <c r="H2" t="s"/>
      <c r="I2" t="s"/>
      <c r="J2" t="n">
        <v>-0.3382</v>
      </c>
      <c r="K2" t="n">
        <v>0.16</v>
      </c>
      <c r="L2" t="n">
        <v>0.711</v>
      </c>
      <c r="M2" t="n">
        <v>0.129</v>
      </c>
    </row>
    <row r="3" spans="1:13">
      <c r="A3" s="1">
        <f>HYPERLINK("http://www.twitter.com/NathanBLawrence/status/998961487782842379", "998961487782842379")</f>
        <v/>
      </c>
      <c r="B3" s="2" t="n">
        <v>43242.68001157408</v>
      </c>
      <c r="C3" t="n">
        <v>0</v>
      </c>
      <c r="D3" t="n">
        <v>5</v>
      </c>
      <c r="E3" t="s">
        <v>14</v>
      </c>
      <c r="F3">
        <f>HYPERLINK("http://pbs.twimg.com/media/Ddz425sVAAAc_cB.jpg", "http://pbs.twimg.com/media/Ddz425sVAAAc_cB.jpg")</f>
        <v/>
      </c>
      <c r="G3" t="s"/>
      <c r="H3" t="s"/>
      <c r="I3" t="s"/>
      <c r="J3" t="n">
        <v>0.3181</v>
      </c>
      <c r="K3" t="n">
        <v>0.14</v>
      </c>
      <c r="L3" t="n">
        <v>0.642</v>
      </c>
      <c r="M3" t="n">
        <v>0.218</v>
      </c>
    </row>
    <row r="4" spans="1:13">
      <c r="A4" s="1">
        <f>HYPERLINK("http://www.twitter.com/NathanBLawrence/status/998947309764468737", "998947309764468737")</f>
        <v/>
      </c>
      <c r="B4" s="2" t="n">
        <v>43242.64087962963</v>
      </c>
      <c r="C4" t="n">
        <v>0</v>
      </c>
      <c r="D4" t="n">
        <v>0</v>
      </c>
      <c r="E4" t="s">
        <v>15</v>
      </c>
      <c r="F4" t="s"/>
      <c r="G4" t="s"/>
      <c r="H4" t="s"/>
      <c r="I4" t="s"/>
      <c r="J4" t="n">
        <v>-0.8439</v>
      </c>
      <c r="K4" t="n">
        <v>0.478</v>
      </c>
      <c r="L4" t="n">
        <v>0.522</v>
      </c>
      <c r="M4" t="n">
        <v>0</v>
      </c>
    </row>
    <row r="5" spans="1:13">
      <c r="A5" s="1">
        <f>HYPERLINK("http://www.twitter.com/NathanBLawrence/status/998946349142986755", "998946349142986755")</f>
        <v/>
      </c>
      <c r="B5" s="2" t="n">
        <v>43242.63822916667</v>
      </c>
      <c r="C5" t="n">
        <v>1</v>
      </c>
      <c r="D5" t="n">
        <v>0</v>
      </c>
      <c r="E5" t="s">
        <v>16</v>
      </c>
      <c r="F5">
        <f>HYPERLINK("http://pbs.twimg.com/media/Ddz4Z7LUQAAJEit.jpg", "http://pbs.twimg.com/media/Ddz4Z7LUQAAJEit.jpg")</f>
        <v/>
      </c>
      <c r="G5" t="s"/>
      <c r="H5" t="s"/>
      <c r="I5" t="s"/>
      <c r="J5" t="n">
        <v>-0.4926</v>
      </c>
      <c r="K5" t="n">
        <v>0.109</v>
      </c>
      <c r="L5" t="n">
        <v>0.822</v>
      </c>
      <c r="M5" t="n">
        <v>0.07000000000000001</v>
      </c>
    </row>
    <row r="6" spans="1:13">
      <c r="A6" s="1">
        <f>HYPERLINK("http://www.twitter.com/NathanBLawrence/status/998937592698753025", "998937592698753025")</f>
        <v/>
      </c>
      <c r="B6" s="2" t="n">
        <v>43242.61407407407</v>
      </c>
      <c r="C6" t="n">
        <v>0</v>
      </c>
      <c r="D6" t="n">
        <v>0</v>
      </c>
      <c r="E6" t="s">
        <v>17</v>
      </c>
      <c r="F6">
        <f>HYPERLINK("http://pbs.twimg.com/media/DdzwcOfVwAA1q2Y.jpg", "http://pbs.twimg.com/media/DdzwcOfVwAA1q2Y.jpg")</f>
        <v/>
      </c>
      <c r="G6" t="s"/>
      <c r="H6" t="s"/>
      <c r="I6" t="s"/>
      <c r="J6" t="n">
        <v>-0.1027</v>
      </c>
      <c r="K6" t="n">
        <v>0.065</v>
      </c>
      <c r="L6" t="n">
        <v>0.9350000000000001</v>
      </c>
      <c r="M6" t="n">
        <v>0</v>
      </c>
    </row>
    <row r="7" spans="1:13">
      <c r="A7" s="1">
        <f>HYPERLINK("http://www.twitter.com/NathanBLawrence/status/998936911883403264", "998936911883403264")</f>
        <v/>
      </c>
      <c r="B7" s="2" t="n">
        <v>43242.6121875</v>
      </c>
      <c r="C7" t="n">
        <v>0</v>
      </c>
      <c r="D7" t="n">
        <v>1</v>
      </c>
      <c r="E7" t="s">
        <v>18</v>
      </c>
      <c r="F7">
        <f>HYPERLINK("http://pbs.twimg.com/media/Ddzvn5JUQAAGk4a.jpg", "http://pbs.twimg.com/media/Ddzvn5JUQAAGk4a.jpg")</f>
        <v/>
      </c>
      <c r="G7" t="s"/>
      <c r="H7" t="s"/>
      <c r="I7" t="s"/>
      <c r="J7" t="n">
        <v>0</v>
      </c>
      <c r="K7" t="n">
        <v>0</v>
      </c>
      <c r="L7" t="n">
        <v>1</v>
      </c>
      <c r="M7" t="n">
        <v>0</v>
      </c>
    </row>
    <row r="8" spans="1:13">
      <c r="A8" s="1">
        <f>HYPERLINK("http://www.twitter.com/NathanBLawrence/status/998916283499536389", "998916283499536389")</f>
        <v/>
      </c>
      <c r="B8" s="2" t="n">
        <v>43242.5552662037</v>
      </c>
      <c r="C8" t="n">
        <v>0</v>
      </c>
      <c r="D8" t="n">
        <v>4</v>
      </c>
      <c r="E8" t="s">
        <v>19</v>
      </c>
      <c r="F8">
        <f>HYPERLINK("http://pbs.twimg.com/media/DdzInA2V4AAR57h.jpg", "http://pbs.twimg.com/media/DdzInA2V4AAR57h.jpg")</f>
        <v/>
      </c>
      <c r="G8" t="s"/>
      <c r="H8" t="s"/>
      <c r="I8" t="s"/>
      <c r="J8" t="n">
        <v>-0.6597</v>
      </c>
      <c r="K8" t="n">
        <v>0.242</v>
      </c>
      <c r="L8" t="n">
        <v>0.758</v>
      </c>
      <c r="M8" t="n">
        <v>0</v>
      </c>
    </row>
    <row r="9" spans="1:13">
      <c r="A9" s="1">
        <f>HYPERLINK("http://www.twitter.com/NathanBLawrence/status/998914880555151362", "998914880555151362")</f>
        <v/>
      </c>
      <c r="B9" s="2" t="n">
        <v>43242.55140046297</v>
      </c>
      <c r="C9" t="n">
        <v>2</v>
      </c>
      <c r="D9" t="n">
        <v>0</v>
      </c>
      <c r="E9" t="s">
        <v>20</v>
      </c>
      <c r="F9" t="s"/>
      <c r="G9" t="s"/>
      <c r="H9" t="s"/>
      <c r="I9" t="s"/>
      <c r="J9" t="n">
        <v>0.0258</v>
      </c>
      <c r="K9" t="n">
        <v>0.317</v>
      </c>
      <c r="L9" t="n">
        <v>0.33</v>
      </c>
      <c r="M9" t="n">
        <v>0.353</v>
      </c>
    </row>
    <row r="10" spans="1:13">
      <c r="A10" s="1">
        <f>HYPERLINK("http://www.twitter.com/NathanBLawrence/status/998914380065640448", "998914380065640448")</f>
        <v/>
      </c>
      <c r="B10" s="2" t="n">
        <v>43242.55001157407</v>
      </c>
      <c r="C10" t="n">
        <v>0</v>
      </c>
      <c r="D10" t="n">
        <v>6</v>
      </c>
      <c r="E10" t="s">
        <v>21</v>
      </c>
      <c r="F10">
        <f>HYPERLINK("https://video.twimg.com/ext_tw_video/998799105827614721/pu/vid/1280x720/9-IT_eqxZNlFd0yj.mp4?tag=3", "https://video.twimg.com/ext_tw_video/998799105827614721/pu/vid/1280x720/9-IT_eqxZNlFd0yj.mp4?tag=3")</f>
        <v/>
      </c>
      <c r="G10" t="s"/>
      <c r="H10" t="s"/>
      <c r="I10" t="s"/>
      <c r="J10" t="n">
        <v>-0.2284</v>
      </c>
      <c r="K10" t="n">
        <v>0.126</v>
      </c>
      <c r="L10" t="n">
        <v>0.789</v>
      </c>
      <c r="M10" t="n">
        <v>0.08400000000000001</v>
      </c>
    </row>
    <row r="11" spans="1:13">
      <c r="A11" s="1">
        <f>HYPERLINK("http://www.twitter.com/NathanBLawrence/status/998914041631428608", "998914041631428608")</f>
        <v/>
      </c>
      <c r="B11" s="2" t="n">
        <v>43242.54908564815</v>
      </c>
      <c r="C11" t="n">
        <v>0</v>
      </c>
      <c r="D11" t="n">
        <v>3</v>
      </c>
      <c r="E11" t="s">
        <v>22</v>
      </c>
      <c r="F11">
        <f>HYPERLINK("https://video.twimg.com/ext_tw_video/998799238900338689/pu/vid/1280x720/nEStYsXsPndmklZx.mp4?tag=3", "https://video.twimg.com/ext_tw_video/998799238900338689/pu/vid/1280x720/nEStYsXsPndmklZx.mp4?tag=3")</f>
        <v/>
      </c>
      <c r="G11" t="s"/>
      <c r="H11" t="s"/>
      <c r="I11" t="s"/>
      <c r="J11" t="n">
        <v>-0.4023</v>
      </c>
      <c r="K11" t="n">
        <v>0.137</v>
      </c>
      <c r="L11" t="n">
        <v>0.863</v>
      </c>
      <c r="M11" t="n">
        <v>0</v>
      </c>
    </row>
    <row r="12" spans="1:13">
      <c r="A12" s="1">
        <f>HYPERLINK("http://www.twitter.com/NathanBLawrence/status/998779974973906945", "998779974973906945")</f>
        <v/>
      </c>
      <c r="B12" s="2" t="n">
        <v>43242.17913194445</v>
      </c>
      <c r="C12" t="n">
        <v>2</v>
      </c>
      <c r="D12" t="n">
        <v>0</v>
      </c>
      <c r="E12" t="s">
        <v>23</v>
      </c>
      <c r="F12" t="s"/>
      <c r="G12" t="s"/>
      <c r="H12" t="s"/>
      <c r="I12" t="s"/>
      <c r="J12" t="n">
        <v>-0.4464</v>
      </c>
      <c r="K12" t="n">
        <v>0.164</v>
      </c>
      <c r="L12" t="n">
        <v>0.836</v>
      </c>
      <c r="M12" t="n">
        <v>0</v>
      </c>
    </row>
    <row r="13" spans="1:13">
      <c r="A13" s="1">
        <f>HYPERLINK("http://www.twitter.com/NathanBLawrence/status/998778550235860992", "998778550235860992")</f>
        <v/>
      </c>
      <c r="B13" s="2" t="n">
        <v>43242.17519675926</v>
      </c>
      <c r="C13" t="n">
        <v>4</v>
      </c>
      <c r="D13" t="n">
        <v>0</v>
      </c>
      <c r="E13" t="s">
        <v>24</v>
      </c>
      <c r="F13" t="s"/>
      <c r="G13" t="s"/>
      <c r="H13" t="s"/>
      <c r="I13" t="s"/>
      <c r="J13" t="n">
        <v>0</v>
      </c>
      <c r="K13" t="n">
        <v>0</v>
      </c>
      <c r="L13" t="n">
        <v>1</v>
      </c>
      <c r="M13" t="n">
        <v>0</v>
      </c>
    </row>
    <row r="14" spans="1:13">
      <c r="A14" s="1">
        <f>HYPERLINK("http://www.twitter.com/NathanBLawrence/status/998777254518968320", "998777254518968320")</f>
        <v/>
      </c>
      <c r="B14" s="2" t="n">
        <v>43242.17162037037</v>
      </c>
      <c r="C14" t="n">
        <v>7</v>
      </c>
      <c r="D14" t="n">
        <v>1</v>
      </c>
      <c r="E14" t="s">
        <v>25</v>
      </c>
      <c r="F14" t="s"/>
      <c r="G14" t="s"/>
      <c r="H14" t="s"/>
      <c r="I14" t="s"/>
      <c r="J14" t="n">
        <v>-0.9098000000000001</v>
      </c>
      <c r="K14" t="n">
        <v>0.195</v>
      </c>
      <c r="L14" t="n">
        <v>0.782</v>
      </c>
      <c r="M14" t="n">
        <v>0.022</v>
      </c>
    </row>
    <row r="15" spans="1:13">
      <c r="A15" s="1">
        <f>HYPERLINK("http://www.twitter.com/NathanBLawrence/status/998771328126726146", "998771328126726146")</f>
        <v/>
      </c>
      <c r="B15" s="2" t="n">
        <v>43242.15526620371</v>
      </c>
      <c r="C15" t="n">
        <v>1</v>
      </c>
      <c r="D15" t="n">
        <v>0</v>
      </c>
      <c r="E15" t="s">
        <v>26</v>
      </c>
      <c r="F15" t="s"/>
      <c r="G15" t="s"/>
      <c r="H15" t="s"/>
      <c r="I15" t="s"/>
      <c r="J15" t="n">
        <v>0</v>
      </c>
      <c r="K15" t="n">
        <v>0</v>
      </c>
      <c r="L15" t="n">
        <v>1</v>
      </c>
      <c r="M15" t="n">
        <v>0</v>
      </c>
    </row>
    <row r="16" spans="1:13">
      <c r="A16" s="1">
        <f>HYPERLINK("http://www.twitter.com/NathanBLawrence/status/998769465734115328", "998769465734115328")</f>
        <v/>
      </c>
      <c r="B16" s="2" t="n">
        <v>43242.15012731482</v>
      </c>
      <c r="C16" t="n">
        <v>4</v>
      </c>
      <c r="D16" t="n">
        <v>0</v>
      </c>
      <c r="E16" t="s">
        <v>27</v>
      </c>
      <c r="F16" t="s"/>
      <c r="G16" t="s"/>
      <c r="H16" t="s"/>
      <c r="I16" t="s"/>
      <c r="J16" t="n">
        <v>-0.2732</v>
      </c>
      <c r="K16" t="n">
        <v>0.095</v>
      </c>
      <c r="L16" t="n">
        <v>0.905</v>
      </c>
      <c r="M16" t="n">
        <v>0</v>
      </c>
    </row>
    <row r="17" spans="1:13">
      <c r="A17" s="1">
        <f>HYPERLINK("http://www.twitter.com/NathanBLawrence/status/998767480997892096", "998767480997892096")</f>
        <v/>
      </c>
      <c r="B17" s="2" t="n">
        <v>43242.14465277778</v>
      </c>
      <c r="C17" t="n">
        <v>8</v>
      </c>
      <c r="D17" t="n">
        <v>2</v>
      </c>
      <c r="E17" t="s">
        <v>28</v>
      </c>
      <c r="F17">
        <f>HYPERLINK("http://pbs.twimg.com/media/DdxVuKRVAAAfD3U.jpg", "http://pbs.twimg.com/media/DdxVuKRVAAAfD3U.jpg")</f>
        <v/>
      </c>
      <c r="G17" t="s"/>
      <c r="H17" t="s"/>
      <c r="I17" t="s"/>
      <c r="J17" t="n">
        <v>-0.296</v>
      </c>
      <c r="K17" t="n">
        <v>0.115</v>
      </c>
      <c r="L17" t="n">
        <v>0.885</v>
      </c>
      <c r="M17" t="n">
        <v>0</v>
      </c>
    </row>
    <row r="18" spans="1:13">
      <c r="A18" s="1">
        <f>HYPERLINK("http://www.twitter.com/NathanBLawrence/status/998762538887188480", "998762538887188480")</f>
        <v/>
      </c>
      <c r="B18" s="2" t="n">
        <v>43242.13101851852</v>
      </c>
      <c r="C18" t="n">
        <v>0</v>
      </c>
      <c r="D18" t="n">
        <v>0</v>
      </c>
      <c r="E18" t="s">
        <v>29</v>
      </c>
      <c r="F18" t="s"/>
      <c r="G18" t="s"/>
      <c r="H18" t="s"/>
      <c r="I18" t="s"/>
      <c r="J18" t="n">
        <v>0.128</v>
      </c>
      <c r="K18" t="n">
        <v>0.134</v>
      </c>
      <c r="L18" t="n">
        <v>0.701</v>
      </c>
      <c r="M18" t="n">
        <v>0.166</v>
      </c>
    </row>
    <row r="19" spans="1:13">
      <c r="A19" s="1">
        <f>HYPERLINK("http://www.twitter.com/NathanBLawrence/status/998752800849973249", "998752800849973249")</f>
        <v/>
      </c>
      <c r="B19" s="2" t="n">
        <v>43242.10414351852</v>
      </c>
      <c r="C19" t="n">
        <v>4</v>
      </c>
      <c r="D19" t="n">
        <v>1</v>
      </c>
      <c r="E19" t="s">
        <v>30</v>
      </c>
      <c r="F19" t="s"/>
      <c r="G19" t="s"/>
      <c r="H19" t="s"/>
      <c r="I19" t="s"/>
      <c r="J19" t="n">
        <v>0</v>
      </c>
      <c r="K19" t="n">
        <v>0</v>
      </c>
      <c r="L19" t="n">
        <v>1</v>
      </c>
      <c r="M19" t="n">
        <v>0</v>
      </c>
    </row>
    <row r="20" spans="1:13">
      <c r="A20" s="1">
        <f>HYPERLINK("http://www.twitter.com/NathanBLawrence/status/998751831114375174", "998751831114375174")</f>
        <v/>
      </c>
      <c r="B20" s="2" t="n">
        <v>43242.10146990741</v>
      </c>
      <c r="C20" t="n">
        <v>2</v>
      </c>
      <c r="D20" t="n">
        <v>0</v>
      </c>
      <c r="E20" t="s">
        <v>31</v>
      </c>
      <c r="F20" t="s"/>
      <c r="G20" t="s"/>
      <c r="H20" t="s"/>
      <c r="I20" t="s"/>
      <c r="J20" t="n">
        <v>-0.6419</v>
      </c>
      <c r="K20" t="n">
        <v>0.244</v>
      </c>
      <c r="L20" t="n">
        <v>0.622</v>
      </c>
      <c r="M20" t="n">
        <v>0.134</v>
      </c>
    </row>
    <row r="21" spans="1:13">
      <c r="A21" s="1">
        <f>HYPERLINK("http://www.twitter.com/NathanBLawrence/status/998750727651590144", "998750727651590144")</f>
        <v/>
      </c>
      <c r="B21" s="2" t="n">
        <v>43242.09842592593</v>
      </c>
      <c r="C21" t="n">
        <v>2</v>
      </c>
      <c r="D21" t="n">
        <v>0</v>
      </c>
      <c r="E21" t="s">
        <v>32</v>
      </c>
      <c r="F21" t="s"/>
      <c r="G21" t="s"/>
      <c r="H21" t="s"/>
      <c r="I21" t="s"/>
      <c r="J21" t="n">
        <v>0</v>
      </c>
      <c r="K21" t="n">
        <v>0</v>
      </c>
      <c r="L21" t="n">
        <v>1</v>
      </c>
      <c r="M21" t="n">
        <v>0</v>
      </c>
    </row>
    <row r="22" spans="1:13">
      <c r="A22" s="1">
        <f>HYPERLINK("http://www.twitter.com/NathanBLawrence/status/998748482285469696", "998748482285469696")</f>
        <v/>
      </c>
      <c r="B22" s="2" t="n">
        <v>43242.09222222222</v>
      </c>
      <c r="C22" t="n">
        <v>0</v>
      </c>
      <c r="D22" t="n">
        <v>10</v>
      </c>
      <c r="E22" t="s">
        <v>33</v>
      </c>
      <c r="F22">
        <f>HYPERLINK("http://pbs.twimg.com/media/Ddpv03AV4AApcOy.png", "http://pbs.twimg.com/media/Ddpv03AV4AApcOy.png")</f>
        <v/>
      </c>
      <c r="G22" t="s"/>
      <c r="H22" t="s"/>
      <c r="I22" t="s"/>
      <c r="J22" t="n">
        <v>-0.2263</v>
      </c>
      <c r="K22" t="n">
        <v>0.083</v>
      </c>
      <c r="L22" t="n">
        <v>0.917</v>
      </c>
      <c r="M22" t="n">
        <v>0</v>
      </c>
    </row>
    <row r="23" spans="1:13">
      <c r="A23" s="1">
        <f>HYPERLINK("http://www.twitter.com/NathanBLawrence/status/998741565202944000", "998741565202944000")</f>
        <v/>
      </c>
      <c r="B23" s="2" t="n">
        <v>43242.07313657407</v>
      </c>
      <c r="C23" t="n">
        <v>22</v>
      </c>
      <c r="D23" t="n">
        <v>14</v>
      </c>
      <c r="E23" t="s">
        <v>34</v>
      </c>
      <c r="F23">
        <f>HYPERLINK("http://pbs.twimg.com/media/Ddw-J7AV4AAIUWv.jpg", "http://pbs.twimg.com/media/Ddw-J7AV4AAIUWv.jpg")</f>
        <v/>
      </c>
      <c r="G23" t="s"/>
      <c r="H23" t="s"/>
      <c r="I23" t="s"/>
      <c r="J23" t="n">
        <v>0.2714</v>
      </c>
      <c r="K23" t="n">
        <v>0.046</v>
      </c>
      <c r="L23" t="n">
        <v>0.861</v>
      </c>
      <c r="M23" t="n">
        <v>0.093</v>
      </c>
    </row>
    <row r="24" spans="1:13">
      <c r="A24" s="1">
        <f>HYPERLINK("http://www.twitter.com/NathanBLawrence/status/998726632398577664", "998726632398577664")</f>
        <v/>
      </c>
      <c r="B24" s="2" t="n">
        <v>43242.03193287037</v>
      </c>
      <c r="C24" t="n">
        <v>1</v>
      </c>
      <c r="D24" t="n">
        <v>0</v>
      </c>
      <c r="E24" t="s">
        <v>35</v>
      </c>
      <c r="F24" t="s"/>
      <c r="G24" t="s"/>
      <c r="H24" t="s"/>
      <c r="I24" t="s"/>
      <c r="J24" t="n">
        <v>0</v>
      </c>
      <c r="K24" t="n">
        <v>0</v>
      </c>
      <c r="L24" t="n">
        <v>1</v>
      </c>
      <c r="M24" t="n">
        <v>0</v>
      </c>
    </row>
    <row r="25" spans="1:13">
      <c r="A25" s="1">
        <f>HYPERLINK("http://www.twitter.com/NathanBLawrence/status/998726022303449089", "998726022303449089")</f>
        <v/>
      </c>
      <c r="B25" s="2" t="n">
        <v>43242.03024305555</v>
      </c>
      <c r="C25" t="n">
        <v>0</v>
      </c>
      <c r="D25" t="n">
        <v>8</v>
      </c>
      <c r="E25" t="s">
        <v>36</v>
      </c>
      <c r="F25" t="s"/>
      <c r="G25" t="s"/>
      <c r="H25" t="s"/>
      <c r="I25" t="s"/>
      <c r="J25" t="n">
        <v>0</v>
      </c>
      <c r="K25" t="n">
        <v>0</v>
      </c>
      <c r="L25" t="n">
        <v>1</v>
      </c>
      <c r="M25" t="n">
        <v>0</v>
      </c>
    </row>
    <row r="26" spans="1:13">
      <c r="A26" s="1">
        <f>HYPERLINK("http://www.twitter.com/NathanBLawrence/status/998721406270693377", "998721406270693377")</f>
        <v/>
      </c>
      <c r="B26" s="2" t="n">
        <v>43242.01751157407</v>
      </c>
      <c r="C26" t="n">
        <v>0</v>
      </c>
      <c r="D26" t="n">
        <v>14</v>
      </c>
      <c r="E26" t="s">
        <v>37</v>
      </c>
      <c r="F26">
        <f>HYPERLINK("http://pbs.twimg.com/media/DdwbsbiUQAEKIHK.jpg", "http://pbs.twimg.com/media/DdwbsbiUQAEKIHK.jpg")</f>
        <v/>
      </c>
      <c r="G26" t="s"/>
      <c r="H26" t="s"/>
      <c r="I26" t="s"/>
      <c r="J26" t="n">
        <v>0.5079</v>
      </c>
      <c r="K26" t="n">
        <v>0.099</v>
      </c>
      <c r="L26" t="n">
        <v>0.6840000000000001</v>
      </c>
      <c r="M26" t="n">
        <v>0.217</v>
      </c>
    </row>
    <row r="27" spans="1:13">
      <c r="A27" s="1">
        <f>HYPERLINK("http://www.twitter.com/NathanBLawrence/status/998721280667926528", "998721280667926528")</f>
        <v/>
      </c>
      <c r="B27" s="2" t="n">
        <v>43242.01716435186</v>
      </c>
      <c r="C27" t="n">
        <v>0</v>
      </c>
      <c r="D27" t="n">
        <v>35</v>
      </c>
      <c r="E27" t="s">
        <v>38</v>
      </c>
      <c r="F27">
        <f>HYPERLINK("https://video.twimg.com/ext_tw_video/998715155536990208/pu/vid/604x360/WM_dM28YwUC_4WI8.mp4?tag=3", "https://video.twimg.com/ext_tw_video/998715155536990208/pu/vid/604x360/WM_dM28YwUC_4WI8.mp4?tag=3")</f>
        <v/>
      </c>
      <c r="G27" t="s"/>
      <c r="H27" t="s"/>
      <c r="I27" t="s"/>
      <c r="J27" t="n">
        <v>0.1779</v>
      </c>
      <c r="K27" t="n">
        <v>0.101</v>
      </c>
      <c r="L27" t="n">
        <v>0.769</v>
      </c>
      <c r="M27" t="n">
        <v>0.13</v>
      </c>
    </row>
    <row r="28" spans="1:13">
      <c r="A28" s="1">
        <f>HYPERLINK("http://www.twitter.com/NathanBLawrence/status/998721255955189760", "998721255955189760")</f>
        <v/>
      </c>
      <c r="B28" s="2" t="n">
        <v>43242.01709490741</v>
      </c>
      <c r="C28" t="n">
        <v>0</v>
      </c>
      <c r="D28" t="n">
        <v>2</v>
      </c>
      <c r="E28" t="s">
        <v>39</v>
      </c>
      <c r="F28" t="s"/>
      <c r="G28" t="s"/>
      <c r="H28" t="s"/>
      <c r="I28" t="s"/>
      <c r="J28" t="n">
        <v>0.7901</v>
      </c>
      <c r="K28" t="n">
        <v>0</v>
      </c>
      <c r="L28" t="n">
        <v>0.704</v>
      </c>
      <c r="M28" t="n">
        <v>0.296</v>
      </c>
    </row>
    <row r="29" spans="1:13">
      <c r="A29" s="1">
        <f>HYPERLINK("http://www.twitter.com/NathanBLawrence/status/998688618339291137", "998688618339291137")</f>
        <v/>
      </c>
      <c r="B29" s="2" t="n">
        <v>43241.92703703704</v>
      </c>
      <c r="C29" t="n">
        <v>0</v>
      </c>
      <c r="D29" t="n">
        <v>0</v>
      </c>
      <c r="E29" t="s">
        <v>40</v>
      </c>
      <c r="F29">
        <f>HYPERLINK("http://pbs.twimg.com/media/DdwN_6UVMAA4uuN.jpg", "http://pbs.twimg.com/media/DdwN_6UVMAA4uuN.jpg")</f>
        <v/>
      </c>
      <c r="G29" t="s"/>
      <c r="H29" t="s"/>
      <c r="I29" t="s"/>
      <c r="J29" t="n">
        <v>0</v>
      </c>
      <c r="K29" t="n">
        <v>0</v>
      </c>
      <c r="L29" t="n">
        <v>1</v>
      </c>
      <c r="M29" t="n">
        <v>0</v>
      </c>
    </row>
    <row r="30" spans="1:13">
      <c r="A30" s="1">
        <f>HYPERLINK("http://www.twitter.com/NathanBLawrence/status/998688502593318912", "998688502593318912")</f>
        <v/>
      </c>
      <c r="B30" s="2" t="n">
        <v>43241.92671296297</v>
      </c>
      <c r="C30" t="n">
        <v>0</v>
      </c>
      <c r="D30" t="n">
        <v>0</v>
      </c>
      <c r="E30" t="s">
        <v>41</v>
      </c>
      <c r="F30" t="s"/>
      <c r="G30" t="s"/>
      <c r="H30" t="s"/>
      <c r="I30" t="s"/>
      <c r="J30" t="n">
        <v>0.2942</v>
      </c>
      <c r="K30" t="n">
        <v>0</v>
      </c>
      <c r="L30" t="n">
        <v>0.916</v>
      </c>
      <c r="M30" t="n">
        <v>0.08400000000000001</v>
      </c>
    </row>
    <row r="31" spans="1:13">
      <c r="A31" s="1">
        <f>HYPERLINK("http://www.twitter.com/NathanBLawrence/status/998686916936597504", "998686916936597504")</f>
        <v/>
      </c>
      <c r="B31" s="2" t="n">
        <v>43241.92233796296</v>
      </c>
      <c r="C31" t="n">
        <v>4</v>
      </c>
      <c r="D31" t="n">
        <v>3</v>
      </c>
      <c r="E31" t="s">
        <v>42</v>
      </c>
      <c r="F31" t="s"/>
      <c r="G31" t="s"/>
      <c r="H31" t="s"/>
      <c r="I31" t="s"/>
      <c r="J31" t="n">
        <v>-0.7003</v>
      </c>
      <c r="K31" t="n">
        <v>0.124</v>
      </c>
      <c r="L31" t="n">
        <v>0.876</v>
      </c>
      <c r="M31" t="n">
        <v>0</v>
      </c>
    </row>
    <row r="32" spans="1:13">
      <c r="A32" s="1">
        <f>HYPERLINK("http://www.twitter.com/NathanBLawrence/status/998678971192668161", "998678971192668161")</f>
        <v/>
      </c>
      <c r="B32" s="2" t="n">
        <v>43241.90040509259</v>
      </c>
      <c r="C32" t="n">
        <v>0</v>
      </c>
      <c r="D32" t="n">
        <v>9</v>
      </c>
      <c r="E32" t="s">
        <v>43</v>
      </c>
      <c r="F32">
        <f>HYPERLINK("http://pbs.twimg.com/media/Ddv-G9gU8AAqMXV.jpg", "http://pbs.twimg.com/media/Ddv-G9gU8AAqMXV.jpg")</f>
        <v/>
      </c>
      <c r="G32" t="s"/>
      <c r="H32" t="s"/>
      <c r="I32" t="s"/>
      <c r="J32" t="n">
        <v>0.34</v>
      </c>
      <c r="K32" t="n">
        <v>0</v>
      </c>
      <c r="L32" t="n">
        <v>0.862</v>
      </c>
      <c r="M32" t="n">
        <v>0.138</v>
      </c>
    </row>
    <row r="33" spans="1:13">
      <c r="A33" s="1">
        <f>HYPERLINK("http://www.twitter.com/NathanBLawrence/status/998672929075421184", "998672929075421184")</f>
        <v/>
      </c>
      <c r="B33" s="2" t="n">
        <v>43241.88373842592</v>
      </c>
      <c r="C33" t="n">
        <v>1</v>
      </c>
      <c r="D33" t="n">
        <v>0</v>
      </c>
      <c r="E33" t="s">
        <v>44</v>
      </c>
      <c r="F33">
        <f>HYPERLINK("http://pbs.twimg.com/media/Ddv_uySU8AAeCnx.jpg", "http://pbs.twimg.com/media/Ddv_uySU8AAeCnx.jpg")</f>
        <v/>
      </c>
      <c r="G33" t="s"/>
      <c r="H33" t="s"/>
      <c r="I33" t="s"/>
      <c r="J33" t="n">
        <v>-0.8313</v>
      </c>
      <c r="K33" t="n">
        <v>0.382</v>
      </c>
      <c r="L33" t="n">
        <v>0.53</v>
      </c>
      <c r="M33" t="n">
        <v>0.08699999999999999</v>
      </c>
    </row>
    <row r="34" spans="1:13">
      <c r="A34" s="1">
        <f>HYPERLINK("http://www.twitter.com/NathanBLawrence/status/998672453936275456", "998672453936275456")</f>
        <v/>
      </c>
      <c r="B34" s="2" t="n">
        <v>43241.88243055555</v>
      </c>
      <c r="C34" t="n">
        <v>0</v>
      </c>
      <c r="D34" t="n">
        <v>10</v>
      </c>
      <c r="E34" t="s">
        <v>45</v>
      </c>
      <c r="F34">
        <f>HYPERLINK("https://video.twimg.com/ext_tw_video/998665291268685824/pu/vid/1280x720/Xxr2blON9tgSF2RA.mp4?tag=3", "https://video.twimg.com/ext_tw_video/998665291268685824/pu/vid/1280x720/Xxr2blON9tgSF2RA.mp4?tag=3")</f>
        <v/>
      </c>
      <c r="G34" t="s"/>
      <c r="H34" t="s"/>
      <c r="I34" t="s"/>
      <c r="J34" t="n">
        <v>0</v>
      </c>
      <c r="K34" t="n">
        <v>0</v>
      </c>
      <c r="L34" t="n">
        <v>1</v>
      </c>
      <c r="M34" t="n">
        <v>0</v>
      </c>
    </row>
    <row r="35" spans="1:13">
      <c r="A35" s="1">
        <f>HYPERLINK("http://www.twitter.com/NathanBLawrence/status/998623399835553793", "998623399835553793")</f>
        <v/>
      </c>
      <c r="B35" s="2" t="n">
        <v>43241.74706018518</v>
      </c>
      <c r="C35" t="n">
        <v>0</v>
      </c>
      <c r="D35" t="n">
        <v>0</v>
      </c>
      <c r="E35" t="s">
        <v>46</v>
      </c>
      <c r="F35" t="s"/>
      <c r="G35" t="s"/>
      <c r="H35" t="s"/>
      <c r="I35" t="s"/>
      <c r="J35" t="n">
        <v>0</v>
      </c>
      <c r="K35" t="n">
        <v>0</v>
      </c>
      <c r="L35" t="n">
        <v>1</v>
      </c>
      <c r="M35" t="n">
        <v>0</v>
      </c>
    </row>
    <row r="36" spans="1:13">
      <c r="A36" s="1">
        <f>HYPERLINK("http://www.twitter.com/NathanBLawrence/status/998620132237770753", "998620132237770753")</f>
        <v/>
      </c>
      <c r="B36" s="2" t="n">
        <v>43241.73804398148</v>
      </c>
      <c r="C36" t="n">
        <v>0</v>
      </c>
      <c r="D36" t="n">
        <v>11</v>
      </c>
      <c r="E36" t="s">
        <v>47</v>
      </c>
      <c r="F36" t="s"/>
      <c r="G36" t="s"/>
      <c r="H36" t="s"/>
      <c r="I36" t="s"/>
      <c r="J36" t="n">
        <v>0.8885</v>
      </c>
      <c r="K36" t="n">
        <v>0</v>
      </c>
      <c r="L36" t="n">
        <v>0.6870000000000001</v>
      </c>
      <c r="M36" t="n">
        <v>0.313</v>
      </c>
    </row>
    <row r="37" spans="1:13">
      <c r="A37" s="1">
        <f>HYPERLINK("http://www.twitter.com/NathanBLawrence/status/998569964574597125", "998569964574597125")</f>
        <v/>
      </c>
      <c r="B37" s="2" t="n">
        <v>43241.59960648148</v>
      </c>
      <c r="C37" t="n">
        <v>1</v>
      </c>
      <c r="D37" t="n">
        <v>0</v>
      </c>
      <c r="E37" t="s">
        <v>48</v>
      </c>
      <c r="F37" t="s"/>
      <c r="G37" t="s"/>
      <c r="H37" t="s"/>
      <c r="I37" t="s"/>
      <c r="J37" t="n">
        <v>0</v>
      </c>
      <c r="K37" t="n">
        <v>0</v>
      </c>
      <c r="L37" t="n">
        <v>1</v>
      </c>
      <c r="M37" t="n">
        <v>0</v>
      </c>
    </row>
    <row r="38" spans="1:13">
      <c r="A38" s="1">
        <f>HYPERLINK("http://www.twitter.com/NathanBLawrence/status/998569379385225216", "998569379385225216")</f>
        <v/>
      </c>
      <c r="B38" s="2" t="n">
        <v>43241.59799768519</v>
      </c>
      <c r="C38" t="n">
        <v>0</v>
      </c>
      <c r="D38" t="n">
        <v>24</v>
      </c>
      <c r="E38" t="s">
        <v>49</v>
      </c>
      <c r="F38" t="s"/>
      <c r="G38" t="s"/>
      <c r="H38" t="s"/>
      <c r="I38" t="s"/>
      <c r="J38" t="n">
        <v>0.6588000000000001</v>
      </c>
      <c r="K38" t="n">
        <v>0</v>
      </c>
      <c r="L38" t="n">
        <v>0.646</v>
      </c>
      <c r="M38" t="n">
        <v>0.354</v>
      </c>
    </row>
    <row r="39" spans="1:13">
      <c r="A39" s="1">
        <f>HYPERLINK("http://www.twitter.com/NathanBLawrence/status/998563257035182081", "998563257035182081")</f>
        <v/>
      </c>
      <c r="B39" s="2" t="n">
        <v>43241.58109953703</v>
      </c>
      <c r="C39" t="n">
        <v>3</v>
      </c>
      <c r="D39" t="n">
        <v>0</v>
      </c>
      <c r="E39" t="s">
        <v>50</v>
      </c>
      <c r="F39" t="s"/>
      <c r="G39" t="s"/>
      <c r="H39" t="s"/>
      <c r="I39" t="s"/>
      <c r="J39" t="n">
        <v>0</v>
      </c>
      <c r="K39" t="n">
        <v>0</v>
      </c>
      <c r="L39" t="n">
        <v>1</v>
      </c>
      <c r="M39" t="n">
        <v>0</v>
      </c>
    </row>
    <row r="40" spans="1:13">
      <c r="A40" s="1">
        <f>HYPERLINK("http://www.twitter.com/NathanBLawrence/status/998557556875386880", "998557556875386880")</f>
        <v/>
      </c>
      <c r="B40" s="2" t="n">
        <v>43241.56537037037</v>
      </c>
      <c r="C40" t="n">
        <v>0</v>
      </c>
      <c r="D40" t="n">
        <v>28</v>
      </c>
      <c r="E40" t="s">
        <v>51</v>
      </c>
      <c r="F40" t="s"/>
      <c r="G40" t="s"/>
      <c r="H40" t="s"/>
      <c r="I40" t="s"/>
      <c r="J40" t="n">
        <v>0.6705</v>
      </c>
      <c r="K40" t="n">
        <v>0</v>
      </c>
      <c r="L40" t="n">
        <v>0.756</v>
      </c>
      <c r="M40" t="n">
        <v>0.244</v>
      </c>
    </row>
    <row r="41" spans="1:13">
      <c r="A41" s="1">
        <f>HYPERLINK("http://www.twitter.com/NathanBLawrence/status/998556009718312960", "998556009718312960")</f>
        <v/>
      </c>
      <c r="B41" s="2" t="n">
        <v>43241.56109953704</v>
      </c>
      <c r="C41" t="n">
        <v>0</v>
      </c>
      <c r="D41" t="n">
        <v>0</v>
      </c>
      <c r="E41" t="s">
        <v>52</v>
      </c>
      <c r="F41" t="s"/>
      <c r="G41" t="s"/>
      <c r="H41" t="s"/>
      <c r="I41" t="s"/>
      <c r="J41" t="n">
        <v>0.1779</v>
      </c>
      <c r="K41" t="n">
        <v>0.361</v>
      </c>
      <c r="L41" t="n">
        <v>0.164</v>
      </c>
      <c r="M41" t="n">
        <v>0.475</v>
      </c>
    </row>
    <row r="42" spans="1:13">
      <c r="A42" s="1">
        <f>HYPERLINK("http://www.twitter.com/NathanBLawrence/status/998553677811118080", "998553677811118080")</f>
        <v/>
      </c>
      <c r="B42" s="2" t="n">
        <v>43241.55466435185</v>
      </c>
      <c r="C42" t="n">
        <v>0</v>
      </c>
      <c r="D42" t="n">
        <v>0</v>
      </c>
      <c r="E42" t="s">
        <v>53</v>
      </c>
      <c r="F42" t="s"/>
      <c r="G42" t="s"/>
      <c r="H42" t="s"/>
      <c r="I42" t="s"/>
      <c r="J42" t="n">
        <v>0.6278</v>
      </c>
      <c r="K42" t="n">
        <v>0.06</v>
      </c>
      <c r="L42" t="n">
        <v>0.786</v>
      </c>
      <c r="M42" t="n">
        <v>0.154</v>
      </c>
    </row>
    <row r="43" spans="1:13">
      <c r="A43" s="1">
        <f>HYPERLINK("http://www.twitter.com/NathanBLawrence/status/998552393448087554", "998552393448087554")</f>
        <v/>
      </c>
      <c r="B43" s="2" t="n">
        <v>43241.55112268519</v>
      </c>
      <c r="C43" t="n">
        <v>0</v>
      </c>
      <c r="D43" t="n">
        <v>0</v>
      </c>
      <c r="E43" t="s">
        <v>54</v>
      </c>
      <c r="F43" t="s"/>
      <c r="G43" t="s"/>
      <c r="H43" t="s"/>
      <c r="I43" t="s"/>
      <c r="J43" t="n">
        <v>-0.6757</v>
      </c>
      <c r="K43" t="n">
        <v>0.125</v>
      </c>
      <c r="L43" t="n">
        <v>0.8159999999999999</v>
      </c>
      <c r="M43" t="n">
        <v>0.059</v>
      </c>
    </row>
    <row r="44" spans="1:13">
      <c r="A44" s="1">
        <f>HYPERLINK("http://www.twitter.com/NathanBLawrence/status/998529495874326528", "998529495874326528")</f>
        <v/>
      </c>
      <c r="B44" s="2" t="n">
        <v>43241.48793981481</v>
      </c>
      <c r="C44" t="n">
        <v>0</v>
      </c>
      <c r="D44" t="n">
        <v>0</v>
      </c>
      <c r="E44" t="s">
        <v>55</v>
      </c>
      <c r="F44" t="s"/>
      <c r="G44" t="s"/>
      <c r="H44" t="s"/>
      <c r="I44" t="s"/>
      <c r="J44" t="n">
        <v>0.4574</v>
      </c>
      <c r="K44" t="n">
        <v>0</v>
      </c>
      <c r="L44" t="n">
        <v>0.667</v>
      </c>
      <c r="M44" t="n">
        <v>0.333</v>
      </c>
    </row>
    <row r="45" spans="1:13">
      <c r="A45" s="1">
        <f>HYPERLINK("http://www.twitter.com/NathanBLawrence/status/998529346427027456", "998529346427027456")</f>
        <v/>
      </c>
      <c r="B45" s="2" t="n">
        <v>43241.48752314815</v>
      </c>
      <c r="C45" t="n">
        <v>0</v>
      </c>
      <c r="D45" t="n">
        <v>2</v>
      </c>
      <c r="E45" t="s">
        <v>56</v>
      </c>
      <c r="F45" t="s"/>
      <c r="G45" t="s"/>
      <c r="H45" t="s"/>
      <c r="I45" t="s"/>
      <c r="J45" t="n">
        <v>0.7184</v>
      </c>
      <c r="K45" t="n">
        <v>0</v>
      </c>
      <c r="L45" t="n">
        <v>0.76</v>
      </c>
      <c r="M45" t="n">
        <v>0.24</v>
      </c>
    </row>
    <row r="46" spans="1:13">
      <c r="A46" s="1">
        <f>HYPERLINK("http://www.twitter.com/NathanBLawrence/status/998529116843466752", "998529116843466752")</f>
        <v/>
      </c>
      <c r="B46" s="2" t="n">
        <v>43241.48688657407</v>
      </c>
      <c r="C46" t="n">
        <v>0</v>
      </c>
      <c r="D46" t="n">
        <v>1</v>
      </c>
      <c r="E46" t="s">
        <v>57</v>
      </c>
      <c r="F46">
        <f>HYPERLINK("http://pbs.twimg.com/media/DdrPsq4V4AAtZbA.jpg", "http://pbs.twimg.com/media/DdrPsq4V4AAtZbA.jpg")</f>
        <v/>
      </c>
      <c r="G46" t="s"/>
      <c r="H46" t="s"/>
      <c r="I46" t="s"/>
      <c r="J46" t="n">
        <v>0</v>
      </c>
      <c r="K46" t="n">
        <v>0</v>
      </c>
      <c r="L46" t="n">
        <v>1</v>
      </c>
      <c r="M46" t="n">
        <v>0</v>
      </c>
    </row>
    <row r="47" spans="1:13">
      <c r="A47" s="1">
        <f>HYPERLINK("http://www.twitter.com/NathanBLawrence/status/998262653184339968", "998262653184339968")</f>
        <v/>
      </c>
      <c r="B47" s="2" t="n">
        <v>43240.75158564815</v>
      </c>
      <c r="C47" t="n">
        <v>14</v>
      </c>
      <c r="D47" t="n">
        <v>6</v>
      </c>
      <c r="E47" t="s">
        <v>58</v>
      </c>
      <c r="F47" t="s"/>
      <c r="G47" t="s"/>
      <c r="H47" t="s"/>
      <c r="I47" t="s"/>
      <c r="J47" t="n">
        <v>0.2942</v>
      </c>
      <c r="K47" t="n">
        <v>0.067</v>
      </c>
      <c r="L47" t="n">
        <v>0.8090000000000001</v>
      </c>
      <c r="M47" t="n">
        <v>0.124</v>
      </c>
    </row>
    <row r="48" spans="1:13">
      <c r="A48" s="1">
        <f>HYPERLINK("http://www.twitter.com/NathanBLawrence/status/998258613310369793", "998258613310369793")</f>
        <v/>
      </c>
      <c r="B48" s="2" t="n">
        <v>43240.74043981481</v>
      </c>
      <c r="C48" t="n">
        <v>0</v>
      </c>
      <c r="D48" t="n">
        <v>0</v>
      </c>
      <c r="E48" t="s">
        <v>59</v>
      </c>
      <c r="F48" t="s"/>
      <c r="G48" t="s"/>
      <c r="H48" t="s"/>
      <c r="I48" t="s"/>
      <c r="J48" t="n">
        <v>0.128</v>
      </c>
      <c r="K48" t="n">
        <v>0.07199999999999999</v>
      </c>
      <c r="L48" t="n">
        <v>0.837</v>
      </c>
      <c r="M48" t="n">
        <v>0.091</v>
      </c>
    </row>
    <row r="49" spans="1:13">
      <c r="A49" s="1">
        <f>HYPERLINK("http://www.twitter.com/NathanBLawrence/status/998258197763952641", "998258197763952641")</f>
        <v/>
      </c>
      <c r="B49" s="2" t="n">
        <v>43240.73929398148</v>
      </c>
      <c r="C49" t="n">
        <v>0</v>
      </c>
      <c r="D49" t="n">
        <v>0</v>
      </c>
      <c r="E49" t="s">
        <v>60</v>
      </c>
      <c r="F49" t="s"/>
      <c r="G49" t="s"/>
      <c r="H49" t="s"/>
      <c r="I49" t="s"/>
      <c r="J49" t="n">
        <v>0</v>
      </c>
      <c r="K49" t="n">
        <v>0</v>
      </c>
      <c r="L49" t="n">
        <v>1</v>
      </c>
      <c r="M49" t="n">
        <v>0</v>
      </c>
    </row>
    <row r="50" spans="1:13">
      <c r="A50" s="1">
        <f>HYPERLINK("http://www.twitter.com/NathanBLawrence/status/998258052016025600", "998258052016025600")</f>
        <v/>
      </c>
      <c r="B50" s="2" t="n">
        <v>43240.73888888889</v>
      </c>
      <c r="C50" t="n">
        <v>0</v>
      </c>
      <c r="D50" t="n">
        <v>4</v>
      </c>
      <c r="E50" t="s">
        <v>61</v>
      </c>
      <c r="F50" t="s"/>
      <c r="G50" t="s"/>
      <c r="H50" t="s"/>
      <c r="I50" t="s"/>
      <c r="J50" t="n">
        <v>0.3182</v>
      </c>
      <c r="K50" t="n">
        <v>0</v>
      </c>
      <c r="L50" t="n">
        <v>0.892</v>
      </c>
      <c r="M50" t="n">
        <v>0.108</v>
      </c>
    </row>
    <row r="51" spans="1:13">
      <c r="A51" s="1">
        <f>HYPERLINK("http://www.twitter.com/NathanBLawrence/status/998257956570521601", "998257956570521601")</f>
        <v/>
      </c>
      <c r="B51" s="2" t="n">
        <v>43240.73863425926</v>
      </c>
      <c r="C51" t="n">
        <v>0</v>
      </c>
      <c r="D51" t="n">
        <v>4</v>
      </c>
      <c r="E51" t="s">
        <v>62</v>
      </c>
      <c r="F51" t="s"/>
      <c r="G51" t="s"/>
      <c r="H51" t="s"/>
      <c r="I51" t="s"/>
      <c r="J51" t="n">
        <v>0.4019</v>
      </c>
      <c r="K51" t="n">
        <v>0</v>
      </c>
      <c r="L51" t="n">
        <v>0.87</v>
      </c>
      <c r="M51" t="n">
        <v>0.13</v>
      </c>
    </row>
    <row r="52" spans="1:13">
      <c r="A52" s="1">
        <f>HYPERLINK("http://www.twitter.com/NathanBLawrence/status/998257077612175363", "998257077612175363")</f>
        <v/>
      </c>
      <c r="B52" s="2" t="n">
        <v>43240.7362037037</v>
      </c>
      <c r="C52" t="n">
        <v>0</v>
      </c>
      <c r="D52" t="n">
        <v>4</v>
      </c>
      <c r="E52" t="s">
        <v>63</v>
      </c>
      <c r="F52" t="s"/>
      <c r="G52" t="s"/>
      <c r="H52" t="s"/>
      <c r="I52" t="s"/>
      <c r="J52" t="n">
        <v>0.6249</v>
      </c>
      <c r="K52" t="n">
        <v>0</v>
      </c>
      <c r="L52" t="n">
        <v>0.549</v>
      </c>
      <c r="M52" t="n">
        <v>0.451</v>
      </c>
    </row>
    <row r="53" spans="1:13">
      <c r="A53" s="1">
        <f>HYPERLINK("http://www.twitter.com/NathanBLawrence/status/998248615310233601", "998248615310233601")</f>
        <v/>
      </c>
      <c r="B53" s="2" t="n">
        <v>43240.71285879629</v>
      </c>
      <c r="C53" t="n">
        <v>0</v>
      </c>
      <c r="D53" t="n">
        <v>72</v>
      </c>
      <c r="E53" t="s">
        <v>64</v>
      </c>
      <c r="F53" t="s"/>
      <c r="G53" t="s"/>
      <c r="H53" t="s"/>
      <c r="I53" t="s"/>
      <c r="J53" t="n">
        <v>0.34</v>
      </c>
      <c r="K53" t="n">
        <v>0.115</v>
      </c>
      <c r="L53" t="n">
        <v>0.65</v>
      </c>
      <c r="M53" t="n">
        <v>0.235</v>
      </c>
    </row>
    <row r="54" spans="1:13">
      <c r="A54" s="1">
        <f>HYPERLINK("http://www.twitter.com/NathanBLawrence/status/998245937448353792", "998245937448353792")</f>
        <v/>
      </c>
      <c r="B54" s="2" t="n">
        <v>43240.70546296296</v>
      </c>
      <c r="C54" t="n">
        <v>0</v>
      </c>
      <c r="D54" t="n">
        <v>2</v>
      </c>
      <c r="E54" t="s">
        <v>65</v>
      </c>
      <c r="F54" t="s"/>
      <c r="G54" t="s"/>
      <c r="H54" t="s"/>
      <c r="I54" t="s"/>
      <c r="J54" t="n">
        <v>-0.4184</v>
      </c>
      <c r="K54" t="n">
        <v>0.122</v>
      </c>
      <c r="L54" t="n">
        <v>0.878</v>
      </c>
      <c r="M54" t="n">
        <v>0</v>
      </c>
    </row>
    <row r="55" spans="1:13">
      <c r="A55" s="1">
        <f>HYPERLINK("http://www.twitter.com/NathanBLawrence/status/998244859038355457", "998244859038355457")</f>
        <v/>
      </c>
      <c r="B55" s="2" t="n">
        <v>43240.70248842592</v>
      </c>
      <c r="C55" t="n">
        <v>2</v>
      </c>
      <c r="D55" t="n">
        <v>0</v>
      </c>
      <c r="E55" t="s">
        <v>66</v>
      </c>
      <c r="F55" t="s"/>
      <c r="G55" t="s"/>
      <c r="H55" t="s"/>
      <c r="I55" t="s"/>
      <c r="J55" t="n">
        <v>-0.5106000000000001</v>
      </c>
      <c r="K55" t="n">
        <v>0.398</v>
      </c>
      <c r="L55" t="n">
        <v>0.602</v>
      </c>
      <c r="M55" t="n">
        <v>0</v>
      </c>
    </row>
    <row r="56" spans="1:13">
      <c r="A56" s="1">
        <f>HYPERLINK("http://www.twitter.com/NathanBLawrence/status/998228041846358017", "998228041846358017")</f>
        <v/>
      </c>
      <c r="B56" s="2" t="n">
        <v>43240.65608796296</v>
      </c>
      <c r="C56" t="n">
        <v>0</v>
      </c>
      <c r="D56" t="n">
        <v>5</v>
      </c>
      <c r="E56" t="s">
        <v>67</v>
      </c>
      <c r="F56" t="s"/>
      <c r="G56" t="s"/>
      <c r="H56" t="s"/>
      <c r="I56" t="s"/>
      <c r="J56" t="n">
        <v>0.5266999999999999</v>
      </c>
      <c r="K56" t="n">
        <v>0</v>
      </c>
      <c r="L56" t="n">
        <v>0.764</v>
      </c>
      <c r="M56" t="n">
        <v>0.236</v>
      </c>
    </row>
    <row r="57" spans="1:13">
      <c r="A57" s="1">
        <f>HYPERLINK("http://www.twitter.com/NathanBLawrence/status/998226297993220096", "998226297993220096")</f>
        <v/>
      </c>
      <c r="B57" s="2" t="n">
        <v>43240.65127314815</v>
      </c>
      <c r="C57" t="n">
        <v>0</v>
      </c>
      <c r="D57" t="n">
        <v>1</v>
      </c>
      <c r="E57" t="s">
        <v>68</v>
      </c>
      <c r="F57">
        <f>HYPERLINK("http://pbs.twimg.com/media/DdoOfp-V4AEFjCA.jpg", "http://pbs.twimg.com/media/DdoOfp-V4AEFjCA.jpg")</f>
        <v/>
      </c>
      <c r="G57" t="s"/>
      <c r="H57" t="s"/>
      <c r="I57" t="s"/>
      <c r="J57" t="n">
        <v>-0.1779</v>
      </c>
      <c r="K57" t="n">
        <v>0.135</v>
      </c>
      <c r="L57" t="n">
        <v>0.757</v>
      </c>
      <c r="M57" t="n">
        <v>0.108</v>
      </c>
    </row>
    <row r="58" spans="1:13">
      <c r="A58" s="1">
        <f>HYPERLINK("http://www.twitter.com/NathanBLawrence/status/998226249620312065", "998226249620312065")</f>
        <v/>
      </c>
      <c r="B58" s="2" t="n">
        <v>43240.65113425926</v>
      </c>
      <c r="C58" t="n">
        <v>0</v>
      </c>
      <c r="D58" t="n">
        <v>0</v>
      </c>
      <c r="E58" t="s">
        <v>69</v>
      </c>
      <c r="F58">
        <f>HYPERLINK("http://pbs.twimg.com/media/DdppepdU0AUNxQh.jpg", "http://pbs.twimg.com/media/DdppepdU0AUNxQh.jpg")</f>
        <v/>
      </c>
      <c r="G58" t="s"/>
      <c r="H58" t="s"/>
      <c r="I58" t="s"/>
      <c r="J58" t="n">
        <v>0.1027</v>
      </c>
      <c r="K58" t="n">
        <v>0.122</v>
      </c>
      <c r="L58" t="n">
        <v>0.667</v>
      </c>
      <c r="M58" t="n">
        <v>0.211</v>
      </c>
    </row>
    <row r="59" spans="1:13">
      <c r="A59" s="1">
        <f>HYPERLINK("http://www.twitter.com/NathanBLawrence/status/998225719418413056", "998225719418413056")</f>
        <v/>
      </c>
      <c r="B59" s="2" t="n">
        <v>43240.64967592592</v>
      </c>
      <c r="C59" t="n">
        <v>1</v>
      </c>
      <c r="D59" t="n">
        <v>0</v>
      </c>
      <c r="E59" t="s">
        <v>70</v>
      </c>
      <c r="F59" t="s"/>
      <c r="G59" t="s"/>
      <c r="H59" t="s"/>
      <c r="I59" t="s"/>
      <c r="J59" t="n">
        <v>0.3182</v>
      </c>
      <c r="K59" t="n">
        <v>0</v>
      </c>
      <c r="L59" t="n">
        <v>0.796</v>
      </c>
      <c r="M59" t="n">
        <v>0.204</v>
      </c>
    </row>
    <row r="60" spans="1:13">
      <c r="A60" s="1">
        <f>HYPERLINK("http://www.twitter.com/NathanBLawrence/status/998225450542477313", "998225450542477313")</f>
        <v/>
      </c>
      <c r="B60" s="2" t="n">
        <v>43240.64893518519</v>
      </c>
      <c r="C60" t="n">
        <v>0</v>
      </c>
      <c r="D60" t="n">
        <v>0</v>
      </c>
      <c r="E60" t="s">
        <v>71</v>
      </c>
      <c r="F60" t="s"/>
      <c r="G60" t="s"/>
      <c r="H60" t="s"/>
      <c r="I60" t="s"/>
      <c r="J60" t="n">
        <v>0.3182</v>
      </c>
      <c r="K60" t="n">
        <v>0</v>
      </c>
      <c r="L60" t="n">
        <v>0.6850000000000001</v>
      </c>
      <c r="M60" t="n">
        <v>0.315</v>
      </c>
    </row>
    <row r="61" spans="1:13">
      <c r="A61" s="1">
        <f>HYPERLINK("http://www.twitter.com/NathanBLawrence/status/998225144941350913", "998225144941350913")</f>
        <v/>
      </c>
      <c r="B61" s="2" t="n">
        <v>43240.64809027778</v>
      </c>
      <c r="C61" t="n">
        <v>0</v>
      </c>
      <c r="D61" t="n">
        <v>52</v>
      </c>
      <c r="E61" t="s">
        <v>72</v>
      </c>
      <c r="F61" t="s"/>
      <c r="G61" t="s"/>
      <c r="H61" t="s"/>
      <c r="I61" t="s"/>
      <c r="J61" t="n">
        <v>0.2023</v>
      </c>
      <c r="K61" t="n">
        <v>0</v>
      </c>
      <c r="L61" t="n">
        <v>0.878</v>
      </c>
      <c r="M61" t="n">
        <v>0.122</v>
      </c>
    </row>
    <row r="62" spans="1:13">
      <c r="A62" s="1">
        <f>HYPERLINK("http://www.twitter.com/NathanBLawrence/status/998225117858750464", "998225117858750464")</f>
        <v/>
      </c>
      <c r="B62" s="2" t="n">
        <v>43240.64800925926</v>
      </c>
      <c r="C62" t="n">
        <v>5</v>
      </c>
      <c r="D62" t="n">
        <v>2</v>
      </c>
      <c r="E62" t="s">
        <v>73</v>
      </c>
      <c r="F62">
        <f>HYPERLINK("http://pbs.twimg.com/media/Ddpocw0V4AEZi2R.jpg", "http://pbs.twimg.com/media/Ddpocw0V4AEZi2R.jpg")</f>
        <v/>
      </c>
      <c r="G62" t="s"/>
      <c r="H62" t="s"/>
      <c r="I62" t="s"/>
      <c r="J62" t="n">
        <v>-0.6555</v>
      </c>
      <c r="K62" t="n">
        <v>0.263</v>
      </c>
      <c r="L62" t="n">
        <v>0.667</v>
      </c>
      <c r="M62" t="n">
        <v>0.07000000000000001</v>
      </c>
    </row>
    <row r="63" spans="1:13">
      <c r="A63" s="1">
        <f>HYPERLINK("http://www.twitter.com/NathanBLawrence/status/998224455477448705", "998224455477448705")</f>
        <v/>
      </c>
      <c r="B63" s="2" t="n">
        <v>43240.64618055556</v>
      </c>
      <c r="C63" t="n">
        <v>0</v>
      </c>
      <c r="D63" t="n">
        <v>5</v>
      </c>
      <c r="E63" t="s">
        <v>74</v>
      </c>
      <c r="F63" t="s"/>
      <c r="G63" t="s"/>
      <c r="H63" t="s"/>
      <c r="I63" t="s"/>
      <c r="J63" t="n">
        <v>-0.296</v>
      </c>
      <c r="K63" t="n">
        <v>0.155</v>
      </c>
      <c r="L63" t="n">
        <v>0.845</v>
      </c>
      <c r="M63" t="n">
        <v>0</v>
      </c>
    </row>
    <row r="64" spans="1:13">
      <c r="A64" s="1">
        <f>HYPERLINK("http://www.twitter.com/NathanBLawrence/status/998224357255274496", "998224357255274496")</f>
        <v/>
      </c>
      <c r="B64" s="2" t="n">
        <v>43240.64591435185</v>
      </c>
      <c r="C64" t="n">
        <v>0</v>
      </c>
      <c r="D64" t="n">
        <v>0</v>
      </c>
      <c r="E64" t="s">
        <v>75</v>
      </c>
      <c r="F64">
        <f>HYPERLINK("http://pbs.twimg.com/media/DdpnwftV0AAbQ9E.jpg", "http://pbs.twimg.com/media/DdpnwftV0AAbQ9E.jpg")</f>
        <v/>
      </c>
      <c r="G64" t="s"/>
      <c r="H64" t="s"/>
      <c r="I64" t="s"/>
      <c r="J64" t="n">
        <v>-0.3182</v>
      </c>
      <c r="K64" t="n">
        <v>0.167</v>
      </c>
      <c r="L64" t="n">
        <v>0.712</v>
      </c>
      <c r="M64" t="n">
        <v>0.121</v>
      </c>
    </row>
    <row r="65" spans="1:13">
      <c r="A65" s="1">
        <f>HYPERLINK("http://www.twitter.com/NathanBLawrence/status/998222522968629249", "998222522968629249")</f>
        <v/>
      </c>
      <c r="B65" s="2" t="n">
        <v>43240.64085648148</v>
      </c>
      <c r="C65" t="n">
        <v>0</v>
      </c>
      <c r="D65" t="n">
        <v>0</v>
      </c>
      <c r="E65" t="s">
        <v>76</v>
      </c>
      <c r="F65" t="s"/>
      <c r="G65" t="s"/>
      <c r="H65" t="s"/>
      <c r="I65" t="s"/>
      <c r="J65" t="n">
        <v>-0.5106000000000001</v>
      </c>
      <c r="K65" t="n">
        <v>0.08799999999999999</v>
      </c>
      <c r="L65" t="n">
        <v>0.912</v>
      </c>
      <c r="M65" t="n">
        <v>0</v>
      </c>
    </row>
    <row r="66" spans="1:13">
      <c r="A66" s="1">
        <f>HYPERLINK("http://www.twitter.com/NathanBLawrence/status/998221380138258432", "998221380138258432")</f>
        <v/>
      </c>
      <c r="B66" s="2" t="n">
        <v>43240.63769675926</v>
      </c>
      <c r="C66" t="n">
        <v>0</v>
      </c>
      <c r="D66" t="n">
        <v>1</v>
      </c>
      <c r="E66" t="s">
        <v>77</v>
      </c>
      <c r="F66" t="s"/>
      <c r="G66" t="s"/>
      <c r="H66" t="s"/>
      <c r="I66" t="s"/>
      <c r="J66" t="n">
        <v>-0.5423</v>
      </c>
      <c r="K66" t="n">
        <v>0.132</v>
      </c>
      <c r="L66" t="n">
        <v>0.868</v>
      </c>
      <c r="M66" t="n">
        <v>0</v>
      </c>
    </row>
    <row r="67" spans="1:13">
      <c r="A67" s="1">
        <f>HYPERLINK("http://www.twitter.com/NathanBLawrence/status/998221329005449216", "998221329005449216")</f>
        <v/>
      </c>
      <c r="B67" s="2" t="n">
        <v>43240.63755787037</v>
      </c>
      <c r="C67" t="n">
        <v>0</v>
      </c>
      <c r="D67" t="n">
        <v>2</v>
      </c>
      <c r="E67" t="s">
        <v>78</v>
      </c>
      <c r="F67" t="s"/>
      <c r="G67" t="s"/>
      <c r="H67" t="s"/>
      <c r="I67" t="s"/>
      <c r="J67" t="n">
        <v>-0.0516</v>
      </c>
      <c r="K67" t="n">
        <v>0.159</v>
      </c>
      <c r="L67" t="n">
        <v>0.732</v>
      </c>
      <c r="M67" t="n">
        <v>0.11</v>
      </c>
    </row>
    <row r="68" spans="1:13">
      <c r="A68" s="1">
        <f>HYPERLINK("http://www.twitter.com/NathanBLawrence/status/998219487785742336", "998219487785742336")</f>
        <v/>
      </c>
      <c r="B68" s="2" t="n">
        <v>43240.63247685185</v>
      </c>
      <c r="C68" t="n">
        <v>0</v>
      </c>
      <c r="D68" t="n">
        <v>2</v>
      </c>
      <c r="E68" t="s">
        <v>79</v>
      </c>
      <c r="F68" t="s"/>
      <c r="G68" t="s"/>
      <c r="H68" t="s"/>
      <c r="I68" t="s"/>
      <c r="J68" t="n">
        <v>0</v>
      </c>
      <c r="K68" t="n">
        <v>0</v>
      </c>
      <c r="L68" t="n">
        <v>1</v>
      </c>
      <c r="M68" t="n">
        <v>0</v>
      </c>
    </row>
    <row r="69" spans="1:13">
      <c r="A69" s="1">
        <f>HYPERLINK("http://www.twitter.com/NathanBLawrence/status/998218791141232646", "998218791141232646")</f>
        <v/>
      </c>
      <c r="B69" s="2" t="n">
        <v>43240.63055555556</v>
      </c>
      <c r="C69" t="n">
        <v>0</v>
      </c>
      <c r="D69" t="n">
        <v>1</v>
      </c>
      <c r="E69" t="s">
        <v>80</v>
      </c>
      <c r="F69" t="s"/>
      <c r="G69" t="s"/>
      <c r="H69" t="s"/>
      <c r="I69" t="s"/>
      <c r="J69" t="n">
        <v>-0.2732</v>
      </c>
      <c r="K69" t="n">
        <v>0.189</v>
      </c>
      <c r="L69" t="n">
        <v>0.8110000000000001</v>
      </c>
      <c r="M69" t="n">
        <v>0</v>
      </c>
    </row>
    <row r="70" spans="1:13">
      <c r="A70" s="1">
        <f>HYPERLINK("http://www.twitter.com/NathanBLawrence/status/998218610349887488", "998218610349887488")</f>
        <v/>
      </c>
      <c r="B70" s="2" t="n">
        <v>43240.63005787037</v>
      </c>
      <c r="C70" t="n">
        <v>0</v>
      </c>
      <c r="D70" t="n">
        <v>0</v>
      </c>
      <c r="E70" t="s">
        <v>81</v>
      </c>
      <c r="F70">
        <f>HYPERLINK("http://pbs.twimg.com/media/DdpihlhVAAAte41.jpg", "http://pbs.twimg.com/media/DdpihlhVAAAte41.jpg")</f>
        <v/>
      </c>
      <c r="G70" t="s"/>
      <c r="H70" t="s"/>
      <c r="I70" t="s"/>
      <c r="J70" t="n">
        <v>0</v>
      </c>
      <c r="K70" t="n">
        <v>0</v>
      </c>
      <c r="L70" t="n">
        <v>1</v>
      </c>
      <c r="M70" t="n">
        <v>0</v>
      </c>
    </row>
    <row r="71" spans="1:13">
      <c r="A71" s="1">
        <f>HYPERLINK("http://www.twitter.com/NathanBLawrence/status/998217727054663680", "998217727054663680")</f>
        <v/>
      </c>
      <c r="B71" s="2" t="n">
        <v>43240.62761574074</v>
      </c>
      <c r="C71" t="n">
        <v>0</v>
      </c>
      <c r="D71" t="n">
        <v>2</v>
      </c>
      <c r="E71" t="s">
        <v>82</v>
      </c>
      <c r="F71" t="s"/>
      <c r="G71" t="s"/>
      <c r="H71" t="s"/>
      <c r="I71" t="s"/>
      <c r="J71" t="n">
        <v>0.6705</v>
      </c>
      <c r="K71" t="n">
        <v>0</v>
      </c>
      <c r="L71" t="n">
        <v>0.766</v>
      </c>
      <c r="M71" t="n">
        <v>0.234</v>
      </c>
    </row>
    <row r="72" spans="1:13">
      <c r="A72" s="1">
        <f>HYPERLINK("http://www.twitter.com/NathanBLawrence/status/998217117722906624", "998217117722906624")</f>
        <v/>
      </c>
      <c r="B72" s="2" t="n">
        <v>43240.6259375</v>
      </c>
      <c r="C72" t="n">
        <v>4</v>
      </c>
      <c r="D72" t="n">
        <v>0</v>
      </c>
      <c r="E72" t="s">
        <v>83</v>
      </c>
      <c r="F72">
        <f>HYPERLINK("http://pbs.twimg.com/media/DdphK4EVwAA5Ya6.jpg", "http://pbs.twimg.com/media/DdphK4EVwAA5Ya6.jpg")</f>
        <v/>
      </c>
      <c r="G72" t="s"/>
      <c r="H72" t="s"/>
      <c r="I72" t="s"/>
      <c r="J72" t="n">
        <v>-0.5983000000000001</v>
      </c>
      <c r="K72" t="n">
        <v>0.235</v>
      </c>
      <c r="L72" t="n">
        <v>0.6879999999999999</v>
      </c>
      <c r="M72" t="n">
        <v>0.077</v>
      </c>
    </row>
    <row r="73" spans="1:13">
      <c r="A73" s="1">
        <f>HYPERLINK("http://www.twitter.com/NathanBLawrence/status/998216255009157122", "998216255009157122")</f>
        <v/>
      </c>
      <c r="B73" s="2" t="n">
        <v>43240.62355324074</v>
      </c>
      <c r="C73" t="n">
        <v>0</v>
      </c>
      <c r="D73" t="n">
        <v>2</v>
      </c>
      <c r="E73" t="s">
        <v>84</v>
      </c>
      <c r="F73">
        <f>HYPERLINK("http://pbs.twimg.com/media/DdpLpTUVwAAy0ah.jpg", "http://pbs.twimg.com/media/DdpLpTUVwAAy0ah.jpg")</f>
        <v/>
      </c>
      <c r="G73" t="s"/>
      <c r="H73" t="s"/>
      <c r="I73" t="s"/>
      <c r="J73" t="n">
        <v>0</v>
      </c>
      <c r="K73" t="n">
        <v>0</v>
      </c>
      <c r="L73" t="n">
        <v>1</v>
      </c>
      <c r="M73" t="n">
        <v>0</v>
      </c>
    </row>
    <row r="74" spans="1:13">
      <c r="A74" s="1">
        <f>HYPERLINK("http://www.twitter.com/NathanBLawrence/status/998216081826373632", "998216081826373632")</f>
        <v/>
      </c>
      <c r="B74" s="2" t="n">
        <v>43240.62307870371</v>
      </c>
      <c r="C74" t="n">
        <v>0</v>
      </c>
      <c r="D74" t="n">
        <v>1</v>
      </c>
      <c r="E74" t="s">
        <v>85</v>
      </c>
      <c r="F74" t="s"/>
      <c r="G74" t="s"/>
      <c r="H74" t="s"/>
      <c r="I74" t="s"/>
      <c r="J74" t="n">
        <v>-0.4019</v>
      </c>
      <c r="K74" t="n">
        <v>0.213</v>
      </c>
      <c r="L74" t="n">
        <v>0.787</v>
      </c>
      <c r="M74" t="n">
        <v>0</v>
      </c>
    </row>
    <row r="75" spans="1:13">
      <c r="A75" s="1">
        <f>HYPERLINK("http://www.twitter.com/NathanBLawrence/status/998207311163379712", "998207311163379712")</f>
        <v/>
      </c>
      <c r="B75" s="2" t="n">
        <v>43240.59887731481</v>
      </c>
      <c r="C75" t="n">
        <v>3</v>
      </c>
      <c r="D75" t="n">
        <v>0</v>
      </c>
      <c r="E75" t="s">
        <v>86</v>
      </c>
      <c r="F75" t="s"/>
      <c r="G75" t="s"/>
      <c r="H75" t="s"/>
      <c r="I75" t="s"/>
      <c r="J75" t="n">
        <v>0.9022</v>
      </c>
      <c r="K75" t="n">
        <v>0</v>
      </c>
      <c r="L75" t="n">
        <v>0.604</v>
      </c>
      <c r="M75" t="n">
        <v>0.396</v>
      </c>
    </row>
    <row r="76" spans="1:13">
      <c r="A76" s="1">
        <f>HYPERLINK("http://www.twitter.com/NathanBLawrence/status/998053552294629378", "998053552294629378")</f>
        <v/>
      </c>
      <c r="B76" s="2" t="n">
        <v>43240.17458333333</v>
      </c>
      <c r="C76" t="n">
        <v>0</v>
      </c>
      <c r="D76" t="n">
        <v>1</v>
      </c>
      <c r="E76" t="s">
        <v>87</v>
      </c>
      <c r="F76" t="s"/>
      <c r="G76" t="s"/>
      <c r="H76" t="s"/>
      <c r="I76" t="s"/>
      <c r="J76" t="n">
        <v>-0.7783</v>
      </c>
      <c r="K76" t="n">
        <v>0.382</v>
      </c>
      <c r="L76" t="n">
        <v>0.618</v>
      </c>
      <c r="M76" t="n">
        <v>0</v>
      </c>
    </row>
    <row r="77" spans="1:13">
      <c r="A77" s="1">
        <f>HYPERLINK("http://www.twitter.com/NathanBLawrence/status/998053143933054976", "998053143933054976")</f>
        <v/>
      </c>
      <c r="B77" s="2" t="n">
        <v>43240.17346064815</v>
      </c>
      <c r="C77" t="n">
        <v>0</v>
      </c>
      <c r="D77" t="n">
        <v>0</v>
      </c>
      <c r="E77" t="s">
        <v>88</v>
      </c>
      <c r="F77" t="s"/>
      <c r="G77" t="s"/>
      <c r="H77" t="s"/>
      <c r="I77" t="s"/>
      <c r="J77" t="n">
        <v>0.1531</v>
      </c>
      <c r="K77" t="n">
        <v>0.202</v>
      </c>
      <c r="L77" t="n">
        <v>0.506</v>
      </c>
      <c r="M77" t="n">
        <v>0.292</v>
      </c>
    </row>
    <row r="78" spans="1:13">
      <c r="A78" s="1">
        <f>HYPERLINK("http://www.twitter.com/NathanBLawrence/status/998031184960675841", "998031184960675841")</f>
        <v/>
      </c>
      <c r="B78" s="2" t="n">
        <v>43240.1128587963</v>
      </c>
      <c r="C78" t="n">
        <v>0</v>
      </c>
      <c r="D78" t="n">
        <v>0</v>
      </c>
      <c r="E78" t="s">
        <v>89</v>
      </c>
      <c r="F78" t="s"/>
      <c r="G78" t="s"/>
      <c r="H78" t="s"/>
      <c r="I78" t="s"/>
      <c r="J78" t="n">
        <v>0</v>
      </c>
      <c r="K78" t="n">
        <v>0</v>
      </c>
      <c r="L78" t="n">
        <v>1</v>
      </c>
      <c r="M78" t="n">
        <v>0</v>
      </c>
    </row>
    <row r="79" spans="1:13">
      <c r="A79" s="1">
        <f>HYPERLINK("http://www.twitter.com/NathanBLawrence/status/998030769221177345", "998030769221177345")</f>
        <v/>
      </c>
      <c r="B79" s="2" t="n">
        <v>43240.11171296296</v>
      </c>
      <c r="C79" t="n">
        <v>0</v>
      </c>
      <c r="D79" t="n">
        <v>0</v>
      </c>
      <c r="E79" t="s">
        <v>90</v>
      </c>
      <c r="F79" t="s"/>
      <c r="G79" t="s"/>
      <c r="H79" t="s"/>
      <c r="I79" t="s"/>
      <c r="J79" t="n">
        <v>0</v>
      </c>
      <c r="K79" t="n">
        <v>0</v>
      </c>
      <c r="L79" t="n">
        <v>1</v>
      </c>
      <c r="M79" t="n">
        <v>0</v>
      </c>
    </row>
    <row r="80" spans="1:13">
      <c r="A80" s="1">
        <f>HYPERLINK("http://www.twitter.com/NathanBLawrence/status/998029884730507264", "998029884730507264")</f>
        <v/>
      </c>
      <c r="B80" s="2" t="n">
        <v>43240.10927083333</v>
      </c>
      <c r="C80" t="n">
        <v>3</v>
      </c>
      <c r="D80" t="n">
        <v>1</v>
      </c>
      <c r="E80" t="s">
        <v>91</v>
      </c>
      <c r="F80" t="s"/>
      <c r="G80" t="s"/>
      <c r="H80" t="s"/>
      <c r="I80" t="s"/>
      <c r="J80" t="n">
        <v>-0.6892</v>
      </c>
      <c r="K80" t="n">
        <v>0.204</v>
      </c>
      <c r="L80" t="n">
        <v>0.707</v>
      </c>
      <c r="M80" t="n">
        <v>0.089</v>
      </c>
    </row>
    <row r="81" spans="1:13">
      <c r="A81" s="1">
        <f>HYPERLINK("http://www.twitter.com/NathanBLawrence/status/998018013596090368", "998018013596090368")</f>
        <v/>
      </c>
      <c r="B81" s="2" t="n">
        <v>43240.07651620371</v>
      </c>
      <c r="C81" t="n">
        <v>0</v>
      </c>
      <c r="D81" t="n">
        <v>14</v>
      </c>
      <c r="E81" t="s">
        <v>92</v>
      </c>
      <c r="F81" t="s"/>
      <c r="G81" t="s"/>
      <c r="H81" t="s"/>
      <c r="I81" t="s"/>
      <c r="J81" t="n">
        <v>0.2878</v>
      </c>
      <c r="K81" t="n">
        <v>0</v>
      </c>
      <c r="L81" t="n">
        <v>0.902</v>
      </c>
      <c r="M81" t="n">
        <v>0.098</v>
      </c>
    </row>
    <row r="82" spans="1:13">
      <c r="A82" s="1">
        <f>HYPERLINK("http://www.twitter.com/NathanBLawrence/status/998011982786723850", "998011982786723850")</f>
        <v/>
      </c>
      <c r="B82" s="2" t="n">
        <v>43240.05987268518</v>
      </c>
      <c r="C82" t="n">
        <v>0</v>
      </c>
      <c r="D82" t="n">
        <v>52</v>
      </c>
      <c r="E82" t="s">
        <v>93</v>
      </c>
      <c r="F82" t="s"/>
      <c r="G82" t="s"/>
      <c r="H82" t="s"/>
      <c r="I82" t="s"/>
      <c r="J82" t="n">
        <v>-0.5106000000000001</v>
      </c>
      <c r="K82" t="n">
        <v>0.398</v>
      </c>
      <c r="L82" t="n">
        <v>0.602</v>
      </c>
      <c r="M82" t="n">
        <v>0</v>
      </c>
    </row>
    <row r="83" spans="1:13">
      <c r="A83" s="1">
        <f>HYPERLINK("http://www.twitter.com/NathanBLawrence/status/998000837447372800", "998000837447372800")</f>
        <v/>
      </c>
      <c r="B83" s="2" t="n">
        <v>43240.02912037037</v>
      </c>
      <c r="C83" t="n">
        <v>0</v>
      </c>
      <c r="D83" t="n">
        <v>0</v>
      </c>
      <c r="E83" t="s">
        <v>94</v>
      </c>
      <c r="F83" t="s"/>
      <c r="G83" t="s"/>
      <c r="H83" t="s"/>
      <c r="I83" t="s"/>
      <c r="J83" t="n">
        <v>-0.3595</v>
      </c>
      <c r="K83" t="n">
        <v>0.116</v>
      </c>
      <c r="L83" t="n">
        <v>0.884</v>
      </c>
      <c r="M83" t="n">
        <v>0</v>
      </c>
    </row>
    <row r="84" spans="1:13">
      <c r="A84" s="1">
        <f>HYPERLINK("http://www.twitter.com/NathanBLawrence/status/998000362882813953", "998000362882813953")</f>
        <v/>
      </c>
      <c r="B84" s="2" t="n">
        <v>43240.0278125</v>
      </c>
      <c r="C84" t="n">
        <v>0</v>
      </c>
      <c r="D84" t="n">
        <v>0</v>
      </c>
      <c r="E84" t="s">
        <v>95</v>
      </c>
      <c r="F84" t="s"/>
      <c r="G84" t="s"/>
      <c r="H84" t="s"/>
      <c r="I84" t="s"/>
      <c r="J84" t="n">
        <v>-0.5707</v>
      </c>
      <c r="K84" t="n">
        <v>0.135</v>
      </c>
      <c r="L84" t="n">
        <v>0.865</v>
      </c>
      <c r="M84" t="n">
        <v>0</v>
      </c>
    </row>
    <row r="85" spans="1:13">
      <c r="A85" s="1">
        <f>HYPERLINK("http://www.twitter.com/NathanBLawrence/status/997999924112494597", "997999924112494597")</f>
        <v/>
      </c>
      <c r="B85" s="2" t="n">
        <v>43240.02659722222</v>
      </c>
      <c r="C85" t="n">
        <v>3</v>
      </c>
      <c r="D85" t="n">
        <v>1</v>
      </c>
      <c r="E85" t="s">
        <v>96</v>
      </c>
      <c r="F85" t="s"/>
      <c r="G85" t="s"/>
      <c r="H85" t="s"/>
      <c r="I85" t="s"/>
      <c r="J85" t="n">
        <v>-0.9086</v>
      </c>
      <c r="K85" t="n">
        <v>0.401</v>
      </c>
      <c r="L85" t="n">
        <v>0.542</v>
      </c>
      <c r="M85" t="n">
        <v>0.057</v>
      </c>
    </row>
    <row r="86" spans="1:13">
      <c r="A86" s="1">
        <f>HYPERLINK("http://www.twitter.com/NathanBLawrence/status/997999309886050304", "997999309886050304")</f>
        <v/>
      </c>
      <c r="B86" s="2" t="n">
        <v>43240.02490740741</v>
      </c>
      <c r="C86" t="n">
        <v>0</v>
      </c>
      <c r="D86" t="n">
        <v>0</v>
      </c>
      <c r="E86" t="s">
        <v>97</v>
      </c>
      <c r="F86" t="s"/>
      <c r="G86" t="s"/>
      <c r="H86" t="s"/>
      <c r="I86" t="s"/>
      <c r="J86" t="n">
        <v>-0.8851</v>
      </c>
      <c r="K86" t="n">
        <v>0.588</v>
      </c>
      <c r="L86" t="n">
        <v>0.313</v>
      </c>
      <c r="M86" t="n">
        <v>0.099</v>
      </c>
    </row>
    <row r="87" spans="1:13">
      <c r="A87" s="1">
        <f>HYPERLINK("http://www.twitter.com/NathanBLawrence/status/997998934827196417", "997998934827196417")</f>
        <v/>
      </c>
      <c r="B87" s="2" t="n">
        <v>43240.02386574074</v>
      </c>
      <c r="C87" t="n">
        <v>0</v>
      </c>
      <c r="D87" t="n">
        <v>14</v>
      </c>
      <c r="E87" t="s">
        <v>98</v>
      </c>
      <c r="F87" t="s"/>
      <c r="G87" t="s"/>
      <c r="H87" t="s"/>
      <c r="I87" t="s"/>
      <c r="J87" t="n">
        <v>0.0516</v>
      </c>
      <c r="K87" t="n">
        <v>0.097</v>
      </c>
      <c r="L87" t="n">
        <v>0.798</v>
      </c>
      <c r="M87" t="n">
        <v>0.105</v>
      </c>
    </row>
    <row r="88" spans="1:13">
      <c r="A88" s="1">
        <f>HYPERLINK("http://www.twitter.com/NathanBLawrence/status/997998832385486849", "997998832385486849")</f>
        <v/>
      </c>
      <c r="B88" s="2" t="n">
        <v>43240.02358796296</v>
      </c>
      <c r="C88" t="n">
        <v>0</v>
      </c>
      <c r="D88" t="n">
        <v>0</v>
      </c>
      <c r="E88" t="s">
        <v>99</v>
      </c>
      <c r="F88" t="s"/>
      <c r="G88" t="s"/>
      <c r="H88" t="s"/>
      <c r="I88" t="s"/>
      <c r="J88" t="n">
        <v>-0.3612</v>
      </c>
      <c r="K88" t="n">
        <v>0.172</v>
      </c>
      <c r="L88" t="n">
        <v>0.828</v>
      </c>
      <c r="M88" t="n">
        <v>0</v>
      </c>
    </row>
    <row r="89" spans="1:13">
      <c r="A89" s="1">
        <f>HYPERLINK("http://www.twitter.com/NathanBLawrence/status/997998222433013762", "997998222433013762")</f>
        <v/>
      </c>
      <c r="B89" s="2" t="n">
        <v>43240.02189814814</v>
      </c>
      <c r="C89" t="n">
        <v>0</v>
      </c>
      <c r="D89" t="n">
        <v>33</v>
      </c>
      <c r="E89" t="s">
        <v>100</v>
      </c>
      <c r="F89" t="s"/>
      <c r="G89" t="s"/>
      <c r="H89" t="s"/>
      <c r="I89" t="s"/>
      <c r="J89" t="n">
        <v>-0.7258</v>
      </c>
      <c r="K89" t="n">
        <v>0.307</v>
      </c>
      <c r="L89" t="n">
        <v>0.6929999999999999</v>
      </c>
      <c r="M89" t="n">
        <v>0</v>
      </c>
    </row>
    <row r="90" spans="1:13">
      <c r="A90" s="1">
        <f>HYPERLINK("http://www.twitter.com/NathanBLawrence/status/997997812666322944", "997997812666322944")</f>
        <v/>
      </c>
      <c r="B90" s="2" t="n">
        <v>43240.02077546297</v>
      </c>
      <c r="C90" t="n">
        <v>0</v>
      </c>
      <c r="D90" t="n">
        <v>0</v>
      </c>
      <c r="E90" t="s">
        <v>101</v>
      </c>
      <c r="F90" t="s"/>
      <c r="G90" t="s"/>
      <c r="H90" t="s"/>
      <c r="I90" t="s"/>
      <c r="J90" t="n">
        <v>0</v>
      </c>
      <c r="K90" t="n">
        <v>0</v>
      </c>
      <c r="L90" t="n">
        <v>1</v>
      </c>
      <c r="M90" t="n">
        <v>0</v>
      </c>
    </row>
    <row r="91" spans="1:13">
      <c r="A91" s="1">
        <f>HYPERLINK("http://www.twitter.com/NathanBLawrence/status/997997464874516480", "997997464874516480")</f>
        <v/>
      </c>
      <c r="B91" s="2" t="n">
        <v>43240.01981481481</v>
      </c>
      <c r="C91" t="n">
        <v>0</v>
      </c>
      <c r="D91" t="n">
        <v>1</v>
      </c>
      <c r="E91" t="s">
        <v>102</v>
      </c>
      <c r="F91" t="s"/>
      <c r="G91" t="s"/>
      <c r="H91" t="s"/>
      <c r="I91" t="s"/>
      <c r="J91" t="n">
        <v>0.7684</v>
      </c>
      <c r="K91" t="n">
        <v>0</v>
      </c>
      <c r="L91" t="n">
        <v>0.719</v>
      </c>
      <c r="M91" t="n">
        <v>0.281</v>
      </c>
    </row>
    <row r="92" spans="1:13">
      <c r="A92" s="1">
        <f>HYPERLINK("http://www.twitter.com/NathanBLawrence/status/997997443538178048", "997997443538178048")</f>
        <v/>
      </c>
      <c r="B92" s="2" t="n">
        <v>43240.01975694444</v>
      </c>
      <c r="C92" t="n">
        <v>0</v>
      </c>
      <c r="D92" t="n">
        <v>0</v>
      </c>
      <c r="E92" t="s">
        <v>103</v>
      </c>
      <c r="F92" t="s"/>
      <c r="G92" t="s"/>
      <c r="H92" t="s"/>
      <c r="I92" t="s"/>
      <c r="J92" t="n">
        <v>0.872</v>
      </c>
      <c r="K92" t="n">
        <v>0</v>
      </c>
      <c r="L92" t="n">
        <v>0.233</v>
      </c>
      <c r="M92" t="n">
        <v>0.767</v>
      </c>
    </row>
    <row r="93" spans="1:13">
      <c r="A93" s="1">
        <f>HYPERLINK("http://www.twitter.com/NathanBLawrence/status/997997071272742912", "997997071272742912")</f>
        <v/>
      </c>
      <c r="B93" s="2" t="n">
        <v>43240.01872685185</v>
      </c>
      <c r="C93" t="n">
        <v>0</v>
      </c>
      <c r="D93" t="n">
        <v>0</v>
      </c>
      <c r="E93" t="s">
        <v>104</v>
      </c>
      <c r="F93" t="s"/>
      <c r="G93" t="s"/>
      <c r="H93" t="s"/>
      <c r="I93" t="s"/>
      <c r="J93" t="n">
        <v>0</v>
      </c>
      <c r="K93" t="n">
        <v>0</v>
      </c>
      <c r="L93" t="n">
        <v>1</v>
      </c>
      <c r="M93" t="n">
        <v>0</v>
      </c>
    </row>
    <row r="94" spans="1:13">
      <c r="A94" s="1">
        <f>HYPERLINK("http://www.twitter.com/NathanBLawrence/status/997995426958716928", "997995426958716928")</f>
        <v/>
      </c>
      <c r="B94" s="2" t="n">
        <v>43240.01418981481</v>
      </c>
      <c r="C94" t="n">
        <v>0</v>
      </c>
      <c r="D94" t="n">
        <v>0</v>
      </c>
      <c r="E94" t="s">
        <v>105</v>
      </c>
      <c r="F94" t="s"/>
      <c r="G94" t="s"/>
      <c r="H94" t="s"/>
      <c r="I94" t="s"/>
      <c r="J94" t="n">
        <v>0</v>
      </c>
      <c r="K94" t="n">
        <v>0</v>
      </c>
      <c r="L94" t="n">
        <v>1</v>
      </c>
      <c r="M94" t="n">
        <v>0</v>
      </c>
    </row>
    <row r="95" spans="1:13">
      <c r="A95" s="1">
        <f>HYPERLINK("http://www.twitter.com/NathanBLawrence/status/997995053443420167", "997995053443420167")</f>
        <v/>
      </c>
      <c r="B95" s="2" t="n">
        <v>43240.01315972222</v>
      </c>
      <c r="C95" t="n">
        <v>0</v>
      </c>
      <c r="D95" t="n">
        <v>8</v>
      </c>
      <c r="E95" t="s">
        <v>106</v>
      </c>
      <c r="F95" t="s"/>
      <c r="G95" t="s"/>
      <c r="H95" t="s"/>
      <c r="I95" t="s"/>
      <c r="J95" t="n">
        <v>0.1366</v>
      </c>
      <c r="K95" t="n">
        <v>0.107</v>
      </c>
      <c r="L95" t="n">
        <v>0.76</v>
      </c>
      <c r="M95" t="n">
        <v>0.133</v>
      </c>
    </row>
    <row r="96" spans="1:13">
      <c r="A96" s="1">
        <f>HYPERLINK("http://www.twitter.com/NathanBLawrence/status/997974283296083968", "997974283296083968")</f>
        <v/>
      </c>
      <c r="B96" s="2" t="n">
        <v>43239.95584490741</v>
      </c>
      <c r="C96" t="n">
        <v>1</v>
      </c>
      <c r="D96" t="n">
        <v>1</v>
      </c>
      <c r="E96" t="s">
        <v>107</v>
      </c>
      <c r="F96" t="s"/>
      <c r="G96" t="s"/>
      <c r="H96" t="s"/>
      <c r="I96" t="s"/>
      <c r="J96" t="n">
        <v>0</v>
      </c>
      <c r="K96" t="n">
        <v>0</v>
      </c>
      <c r="L96" t="n">
        <v>1</v>
      </c>
      <c r="M96" t="n">
        <v>0</v>
      </c>
    </row>
    <row r="97" spans="1:13">
      <c r="A97" s="1">
        <f>HYPERLINK("http://www.twitter.com/NathanBLawrence/status/997973959231537152", "997973959231537152")</f>
        <v/>
      </c>
      <c r="B97" s="2" t="n">
        <v>43239.95494212963</v>
      </c>
      <c r="C97" t="n">
        <v>0</v>
      </c>
      <c r="D97" t="n">
        <v>3</v>
      </c>
      <c r="E97" t="s">
        <v>108</v>
      </c>
      <c r="F97" t="s"/>
      <c r="G97" t="s"/>
      <c r="H97" t="s"/>
      <c r="I97" t="s"/>
      <c r="J97" t="n">
        <v>0.4019</v>
      </c>
      <c r="K97" t="n">
        <v>0</v>
      </c>
      <c r="L97" t="n">
        <v>0.847</v>
      </c>
      <c r="M97" t="n">
        <v>0.153</v>
      </c>
    </row>
    <row r="98" spans="1:13">
      <c r="A98" s="1">
        <f>HYPERLINK("http://www.twitter.com/NathanBLawrence/status/997969414644490240", "997969414644490240")</f>
        <v/>
      </c>
      <c r="B98" s="2" t="n">
        <v>43239.9424074074</v>
      </c>
      <c r="C98" t="n">
        <v>0</v>
      </c>
      <c r="D98" t="n">
        <v>0</v>
      </c>
      <c r="E98" t="s">
        <v>109</v>
      </c>
      <c r="F98" t="s"/>
      <c r="G98" t="s"/>
      <c r="H98" t="s"/>
      <c r="I98" t="s"/>
      <c r="J98" t="n">
        <v>0</v>
      </c>
      <c r="K98" t="n">
        <v>0</v>
      </c>
      <c r="L98" t="n">
        <v>1</v>
      </c>
      <c r="M98" t="n">
        <v>0</v>
      </c>
    </row>
    <row r="99" spans="1:13">
      <c r="A99" s="1">
        <f>HYPERLINK("http://www.twitter.com/NathanBLawrence/status/997969049643515909", "997969049643515909")</f>
        <v/>
      </c>
      <c r="B99" s="2" t="n">
        <v>43239.94140046297</v>
      </c>
      <c r="C99" t="n">
        <v>0</v>
      </c>
      <c r="D99" t="n">
        <v>3</v>
      </c>
      <c r="E99" t="s">
        <v>110</v>
      </c>
      <c r="F99" t="s"/>
      <c r="G99" t="s"/>
      <c r="H99" t="s"/>
      <c r="I99" t="s"/>
      <c r="J99" t="n">
        <v>0</v>
      </c>
      <c r="K99" t="n">
        <v>0</v>
      </c>
      <c r="L99" t="n">
        <v>1</v>
      </c>
      <c r="M99" t="n">
        <v>0</v>
      </c>
    </row>
    <row r="100" spans="1:13">
      <c r="A100" s="1">
        <f>HYPERLINK("http://www.twitter.com/NathanBLawrence/status/997961561078673414", "997961561078673414")</f>
        <v/>
      </c>
      <c r="B100" s="2" t="n">
        <v>43239.92074074074</v>
      </c>
      <c r="C100" t="n">
        <v>0</v>
      </c>
      <c r="D100" t="n">
        <v>0</v>
      </c>
      <c r="E100" t="s">
        <v>111</v>
      </c>
      <c r="F100" t="s"/>
      <c r="G100" t="s"/>
      <c r="H100" t="s"/>
      <c r="I100" t="s"/>
      <c r="J100" t="n">
        <v>0.1511</v>
      </c>
      <c r="K100" t="n">
        <v>0</v>
      </c>
      <c r="L100" t="n">
        <v>0.9350000000000001</v>
      </c>
      <c r="M100" t="n">
        <v>0.065</v>
      </c>
    </row>
    <row r="101" spans="1:13">
      <c r="A101" s="1">
        <f>HYPERLINK("http://www.twitter.com/NathanBLawrence/status/997961259369844736", "997961259369844736")</f>
        <v/>
      </c>
      <c r="B101" s="2" t="n">
        <v>43239.91990740741</v>
      </c>
      <c r="C101" t="n">
        <v>0</v>
      </c>
      <c r="D101" t="n">
        <v>0</v>
      </c>
      <c r="E101" t="s">
        <v>112</v>
      </c>
      <c r="F101" t="s"/>
      <c r="G101" t="s"/>
      <c r="H101" t="s"/>
      <c r="I101" t="s"/>
      <c r="J101" t="n">
        <v>0</v>
      </c>
      <c r="K101" t="n">
        <v>0</v>
      </c>
      <c r="L101" t="n">
        <v>1</v>
      </c>
      <c r="M101" t="n">
        <v>0</v>
      </c>
    </row>
    <row r="102" spans="1:13">
      <c r="A102" s="1">
        <f>HYPERLINK("http://www.twitter.com/NathanBLawrence/status/997961164150722560", "997961164150722560")</f>
        <v/>
      </c>
      <c r="B102" s="2" t="n">
        <v>43239.91964120371</v>
      </c>
      <c r="C102" t="n">
        <v>0</v>
      </c>
      <c r="D102" t="n">
        <v>0</v>
      </c>
      <c r="E102" t="s">
        <v>113</v>
      </c>
      <c r="F102" t="s"/>
      <c r="G102" t="s"/>
      <c r="H102" t="s"/>
      <c r="I102" t="s"/>
      <c r="J102" t="n">
        <v>0</v>
      </c>
      <c r="K102" t="n">
        <v>0</v>
      </c>
      <c r="L102" t="n">
        <v>1</v>
      </c>
      <c r="M102" t="n">
        <v>0</v>
      </c>
    </row>
    <row r="103" spans="1:13">
      <c r="A103" s="1">
        <f>HYPERLINK("http://www.twitter.com/NathanBLawrence/status/997961136518631425", "997961136518631425")</f>
        <v/>
      </c>
      <c r="B103" s="2" t="n">
        <v>43239.91956018518</v>
      </c>
      <c r="C103" t="n">
        <v>0</v>
      </c>
      <c r="D103" t="n">
        <v>1</v>
      </c>
      <c r="E103" t="s">
        <v>114</v>
      </c>
      <c r="F103" t="s"/>
      <c r="G103" t="s"/>
      <c r="H103" t="s"/>
      <c r="I103" t="s"/>
      <c r="J103" t="n">
        <v>0</v>
      </c>
      <c r="K103" t="n">
        <v>0</v>
      </c>
      <c r="L103" t="n">
        <v>1</v>
      </c>
      <c r="M103" t="n">
        <v>0</v>
      </c>
    </row>
    <row r="104" spans="1:13">
      <c r="A104" s="1">
        <f>HYPERLINK("http://www.twitter.com/NathanBLawrence/status/997960799292481536", "997960799292481536")</f>
        <v/>
      </c>
      <c r="B104" s="2" t="n">
        <v>43239.91863425926</v>
      </c>
      <c r="C104" t="n">
        <v>0</v>
      </c>
      <c r="D104" t="n">
        <v>0</v>
      </c>
      <c r="E104" t="s">
        <v>115</v>
      </c>
      <c r="F104" t="s"/>
      <c r="G104" t="s"/>
      <c r="H104" t="s"/>
      <c r="I104" t="s"/>
      <c r="J104" t="n">
        <v>-0.5266999999999999</v>
      </c>
      <c r="K104" t="n">
        <v>0.161</v>
      </c>
      <c r="L104" t="n">
        <v>0.783</v>
      </c>
      <c r="M104" t="n">
        <v>0.057</v>
      </c>
    </row>
    <row r="105" spans="1:13">
      <c r="A105" s="1">
        <f>HYPERLINK("http://www.twitter.com/NathanBLawrence/status/997959897332494336", "997959897332494336")</f>
        <v/>
      </c>
      <c r="B105" s="2" t="n">
        <v>43239.91614583333</v>
      </c>
      <c r="C105" t="n">
        <v>0</v>
      </c>
      <c r="D105" t="n">
        <v>0</v>
      </c>
      <c r="E105" t="s">
        <v>116</v>
      </c>
      <c r="F105" t="s"/>
      <c r="G105" t="s"/>
      <c r="H105" t="s"/>
      <c r="I105" t="s"/>
      <c r="J105" t="n">
        <v>0.1007</v>
      </c>
      <c r="K105" t="n">
        <v>0.079</v>
      </c>
      <c r="L105" t="n">
        <v>0.828</v>
      </c>
      <c r="M105" t="n">
        <v>0.093</v>
      </c>
    </row>
    <row r="106" spans="1:13">
      <c r="A106" s="1">
        <f>HYPERLINK("http://www.twitter.com/NathanBLawrence/status/997959507278999552", "997959507278999552")</f>
        <v/>
      </c>
      <c r="B106" s="2" t="n">
        <v>43239.91506944445</v>
      </c>
      <c r="C106" t="n">
        <v>0</v>
      </c>
      <c r="D106" t="n">
        <v>1</v>
      </c>
      <c r="E106" t="s">
        <v>117</v>
      </c>
      <c r="F106" t="s"/>
      <c r="G106" t="s"/>
      <c r="H106" t="s"/>
      <c r="I106" t="s"/>
      <c r="J106" t="n">
        <v>0.6705</v>
      </c>
      <c r="K106" t="n">
        <v>0</v>
      </c>
      <c r="L106" t="n">
        <v>0.766</v>
      </c>
      <c r="M106" t="n">
        <v>0.234</v>
      </c>
    </row>
    <row r="107" spans="1:13">
      <c r="A107" s="1">
        <f>HYPERLINK("http://www.twitter.com/NathanBLawrence/status/997959383123419136", "997959383123419136")</f>
        <v/>
      </c>
      <c r="B107" s="2" t="n">
        <v>43239.91472222222</v>
      </c>
      <c r="C107" t="n">
        <v>0</v>
      </c>
      <c r="D107" t="n">
        <v>0</v>
      </c>
      <c r="E107" t="s">
        <v>118</v>
      </c>
      <c r="F107" t="s"/>
      <c r="G107" t="s"/>
      <c r="H107" t="s"/>
      <c r="I107" t="s"/>
      <c r="J107" t="n">
        <v>-0.0258</v>
      </c>
      <c r="K107" t="n">
        <v>0.148</v>
      </c>
      <c r="L107" t="n">
        <v>0.708</v>
      </c>
      <c r="M107" t="n">
        <v>0.145</v>
      </c>
    </row>
    <row r="108" spans="1:13">
      <c r="A108" s="1">
        <f>HYPERLINK("http://www.twitter.com/NathanBLawrence/status/997957503349555200", "997957503349555200")</f>
        <v/>
      </c>
      <c r="B108" s="2" t="n">
        <v>43239.90953703703</v>
      </c>
      <c r="C108" t="n">
        <v>0</v>
      </c>
      <c r="D108" t="n">
        <v>4</v>
      </c>
      <c r="E108" t="s">
        <v>119</v>
      </c>
      <c r="F108" t="s"/>
      <c r="G108" t="s"/>
      <c r="H108" t="s"/>
      <c r="I108" t="s"/>
      <c r="J108" t="n">
        <v>0.7068</v>
      </c>
      <c r="K108" t="n">
        <v>0.05</v>
      </c>
      <c r="L108" t="n">
        <v>0.658</v>
      </c>
      <c r="M108" t="n">
        <v>0.292</v>
      </c>
    </row>
    <row r="109" spans="1:13">
      <c r="A109" s="1">
        <f>HYPERLINK("http://www.twitter.com/NathanBLawrence/status/997957132187242496", "997957132187242496")</f>
        <v/>
      </c>
      <c r="B109" s="2" t="n">
        <v>43239.90851851852</v>
      </c>
      <c r="C109" t="n">
        <v>0</v>
      </c>
      <c r="D109" t="n">
        <v>1</v>
      </c>
      <c r="E109" t="s">
        <v>120</v>
      </c>
      <c r="F109" t="s"/>
      <c r="G109" t="s"/>
      <c r="H109" t="s"/>
      <c r="I109" t="s"/>
      <c r="J109" t="n">
        <v>0.4019</v>
      </c>
      <c r="K109" t="n">
        <v>0</v>
      </c>
      <c r="L109" t="n">
        <v>0.856</v>
      </c>
      <c r="M109" t="n">
        <v>0.144</v>
      </c>
    </row>
    <row r="110" spans="1:13">
      <c r="A110" s="1">
        <f>HYPERLINK("http://www.twitter.com/NathanBLawrence/status/997957015866626049", "997957015866626049")</f>
        <v/>
      </c>
      <c r="B110" s="2" t="n">
        <v>43239.90819444445</v>
      </c>
      <c r="C110" t="n">
        <v>0</v>
      </c>
      <c r="D110" t="n">
        <v>0</v>
      </c>
      <c r="E110" t="s">
        <v>121</v>
      </c>
      <c r="F110" t="s"/>
      <c r="G110" t="s"/>
      <c r="H110" t="s"/>
      <c r="I110" t="s"/>
      <c r="J110" t="n">
        <v>-0.4199</v>
      </c>
      <c r="K110" t="n">
        <v>0.128</v>
      </c>
      <c r="L110" t="n">
        <v>0.872</v>
      </c>
      <c r="M110" t="n">
        <v>0</v>
      </c>
    </row>
    <row r="111" spans="1:13">
      <c r="A111" s="1">
        <f>HYPERLINK("http://www.twitter.com/NathanBLawrence/status/997956722999353345", "997956722999353345")</f>
        <v/>
      </c>
      <c r="B111" s="2" t="n">
        <v>43239.90738425926</v>
      </c>
      <c r="C111" t="n">
        <v>0</v>
      </c>
      <c r="D111" t="n">
        <v>0</v>
      </c>
      <c r="E111" t="s">
        <v>122</v>
      </c>
      <c r="F111" t="s"/>
      <c r="G111" t="s"/>
      <c r="H111" t="s"/>
      <c r="I111" t="s"/>
      <c r="J111" t="n">
        <v>0.6996</v>
      </c>
      <c r="K111" t="n">
        <v>0</v>
      </c>
      <c r="L111" t="n">
        <v>0.784</v>
      </c>
      <c r="M111" t="n">
        <v>0.216</v>
      </c>
    </row>
    <row r="112" spans="1:13">
      <c r="A112" s="1">
        <f>HYPERLINK("http://www.twitter.com/NathanBLawrence/status/997956370442973184", "997956370442973184")</f>
        <v/>
      </c>
      <c r="B112" s="2" t="n">
        <v>43239.90641203704</v>
      </c>
      <c r="C112" t="n">
        <v>0</v>
      </c>
      <c r="D112" t="n">
        <v>0</v>
      </c>
      <c r="E112" t="s">
        <v>123</v>
      </c>
      <c r="F112" t="s"/>
      <c r="G112" t="s"/>
      <c r="H112" t="s"/>
      <c r="I112" t="s"/>
      <c r="J112" t="n">
        <v>0</v>
      </c>
      <c r="K112" t="n">
        <v>0</v>
      </c>
      <c r="L112" t="n">
        <v>1</v>
      </c>
      <c r="M112" t="n">
        <v>0</v>
      </c>
    </row>
    <row r="113" spans="1:13">
      <c r="A113" s="1">
        <f>HYPERLINK("http://www.twitter.com/NathanBLawrence/status/997956224657305600", "997956224657305600")</f>
        <v/>
      </c>
      <c r="B113" s="2" t="n">
        <v>43239.90600694445</v>
      </c>
      <c r="C113" t="n">
        <v>0</v>
      </c>
      <c r="D113" t="n">
        <v>0</v>
      </c>
      <c r="E113" t="s">
        <v>124</v>
      </c>
      <c r="F113" t="s"/>
      <c r="G113" t="s"/>
      <c r="H113" t="s"/>
      <c r="I113" t="s"/>
      <c r="J113" t="n">
        <v>0</v>
      </c>
      <c r="K113" t="n">
        <v>0</v>
      </c>
      <c r="L113" t="n">
        <v>1</v>
      </c>
      <c r="M113" t="n">
        <v>0</v>
      </c>
    </row>
    <row r="114" spans="1:13">
      <c r="A114" s="1">
        <f>HYPERLINK("http://www.twitter.com/NathanBLawrence/status/997955858775584769", "997955858775584769")</f>
        <v/>
      </c>
      <c r="B114" s="2" t="n">
        <v>43239.905</v>
      </c>
      <c r="C114" t="n">
        <v>1</v>
      </c>
      <c r="D114" t="n">
        <v>0</v>
      </c>
      <c r="E114" t="s">
        <v>125</v>
      </c>
      <c r="F114" t="s"/>
      <c r="G114" t="s"/>
      <c r="H114" t="s"/>
      <c r="I114" t="s"/>
      <c r="J114" t="n">
        <v>0.5837</v>
      </c>
      <c r="K114" t="n">
        <v>0</v>
      </c>
      <c r="L114" t="n">
        <v>0.859</v>
      </c>
      <c r="M114" t="n">
        <v>0.141</v>
      </c>
    </row>
    <row r="115" spans="1:13">
      <c r="A115" s="1">
        <f>HYPERLINK("http://www.twitter.com/NathanBLawrence/status/997955252023373824", "997955252023373824")</f>
        <v/>
      </c>
      <c r="B115" s="2" t="n">
        <v>43239.90332175926</v>
      </c>
      <c r="C115" t="n">
        <v>0</v>
      </c>
      <c r="D115" t="n">
        <v>1</v>
      </c>
      <c r="E115" t="s">
        <v>126</v>
      </c>
      <c r="F115" t="s"/>
      <c r="G115" t="s"/>
      <c r="H115" t="s"/>
      <c r="I115" t="s"/>
      <c r="J115" t="n">
        <v>0.25</v>
      </c>
      <c r="K115" t="n">
        <v>0</v>
      </c>
      <c r="L115" t="n">
        <v>0.882</v>
      </c>
      <c r="M115" t="n">
        <v>0.118</v>
      </c>
    </row>
    <row r="116" spans="1:13">
      <c r="A116" s="1">
        <f>HYPERLINK("http://www.twitter.com/NathanBLawrence/status/997954966332592128", "997954966332592128")</f>
        <v/>
      </c>
      <c r="B116" s="2" t="n">
        <v>43239.90253472222</v>
      </c>
      <c r="C116" t="n">
        <v>0</v>
      </c>
      <c r="D116" t="n">
        <v>16</v>
      </c>
      <c r="E116" t="s">
        <v>127</v>
      </c>
      <c r="F116" t="s"/>
      <c r="G116" t="s"/>
      <c r="H116" t="s"/>
      <c r="I116" t="s"/>
      <c r="J116" t="n">
        <v>0.6705</v>
      </c>
      <c r="K116" t="n">
        <v>0</v>
      </c>
      <c r="L116" t="n">
        <v>0.776</v>
      </c>
      <c r="M116" t="n">
        <v>0.224</v>
      </c>
    </row>
    <row r="117" spans="1:13">
      <c r="A117" s="1">
        <f>HYPERLINK("http://www.twitter.com/NathanBLawrence/status/997954584386658305", "997954584386658305")</f>
        <v/>
      </c>
      <c r="B117" s="2" t="n">
        <v>43239.90148148148</v>
      </c>
      <c r="C117" t="n">
        <v>0</v>
      </c>
      <c r="D117" t="n">
        <v>89</v>
      </c>
      <c r="E117" t="s">
        <v>128</v>
      </c>
      <c r="F117" t="s"/>
      <c r="G117" t="s"/>
      <c r="H117" t="s"/>
      <c r="I117" t="s"/>
      <c r="J117" t="n">
        <v>0.2023</v>
      </c>
      <c r="K117" t="n">
        <v>0.075</v>
      </c>
      <c r="L117" t="n">
        <v>0.821</v>
      </c>
      <c r="M117" t="n">
        <v>0.104</v>
      </c>
    </row>
    <row r="118" spans="1:13">
      <c r="A118" s="1">
        <f>HYPERLINK("http://www.twitter.com/NathanBLawrence/status/997951832969437185", "997951832969437185")</f>
        <v/>
      </c>
      <c r="B118" s="2" t="n">
        <v>43239.89388888889</v>
      </c>
      <c r="C118" t="n">
        <v>1</v>
      </c>
      <c r="D118" t="n">
        <v>0</v>
      </c>
      <c r="E118" t="s">
        <v>129</v>
      </c>
      <c r="F118" t="s"/>
      <c r="G118" t="s"/>
      <c r="H118" t="s"/>
      <c r="I118" t="s"/>
      <c r="J118" t="n">
        <v>0.4939</v>
      </c>
      <c r="K118" t="n">
        <v>0</v>
      </c>
      <c r="L118" t="n">
        <v>0.738</v>
      </c>
      <c r="M118" t="n">
        <v>0.262</v>
      </c>
    </row>
    <row r="119" spans="1:13">
      <c r="A119" s="1">
        <f>HYPERLINK("http://www.twitter.com/NathanBLawrence/status/997949330102325248", "997949330102325248")</f>
        <v/>
      </c>
      <c r="B119" s="2" t="n">
        <v>43239.88697916667</v>
      </c>
      <c r="C119" t="n">
        <v>1</v>
      </c>
      <c r="D119" t="n">
        <v>0</v>
      </c>
      <c r="E119" t="s">
        <v>130</v>
      </c>
      <c r="F119" t="s"/>
      <c r="G119" t="s"/>
      <c r="H119" t="s"/>
      <c r="I119" t="s"/>
      <c r="J119" t="n">
        <v>0</v>
      </c>
      <c r="K119" t="n">
        <v>0</v>
      </c>
      <c r="L119" t="n">
        <v>1</v>
      </c>
      <c r="M119" t="n">
        <v>0</v>
      </c>
    </row>
    <row r="120" spans="1:13">
      <c r="A120" s="1">
        <f>HYPERLINK("http://www.twitter.com/NathanBLawrence/status/997947751265636352", "997947751265636352")</f>
        <v/>
      </c>
      <c r="B120" s="2" t="n">
        <v>43239.88262731482</v>
      </c>
      <c r="C120" t="n">
        <v>4</v>
      </c>
      <c r="D120" t="n">
        <v>1</v>
      </c>
      <c r="E120" t="s">
        <v>131</v>
      </c>
      <c r="F120" t="s"/>
      <c r="G120" t="s"/>
      <c r="H120" t="s"/>
      <c r="I120" t="s"/>
      <c r="J120" t="n">
        <v>-0.886</v>
      </c>
      <c r="K120" t="n">
        <v>0.302</v>
      </c>
      <c r="L120" t="n">
        <v>0.66</v>
      </c>
      <c r="M120" t="n">
        <v>0.038</v>
      </c>
    </row>
    <row r="121" spans="1:13">
      <c r="A121" s="1">
        <f>HYPERLINK("http://www.twitter.com/NathanBLawrence/status/997947287170142208", "997947287170142208")</f>
        <v/>
      </c>
      <c r="B121" s="2" t="n">
        <v>43239.88134259259</v>
      </c>
      <c r="C121" t="n">
        <v>7</v>
      </c>
      <c r="D121" t="n">
        <v>6</v>
      </c>
      <c r="E121" t="s">
        <v>132</v>
      </c>
      <c r="F121" t="s"/>
      <c r="G121" t="s"/>
      <c r="H121" t="s"/>
      <c r="I121" t="s"/>
      <c r="J121" t="n">
        <v>0</v>
      </c>
      <c r="K121" t="n">
        <v>0</v>
      </c>
      <c r="L121" t="n">
        <v>1</v>
      </c>
      <c r="M121" t="n">
        <v>0</v>
      </c>
    </row>
    <row r="122" spans="1:13">
      <c r="A122" s="1">
        <f>HYPERLINK("http://www.twitter.com/NathanBLawrence/status/997946804913278977", "997946804913278977")</f>
        <v/>
      </c>
      <c r="B122" s="2" t="n">
        <v>43239.88001157407</v>
      </c>
      <c r="C122" t="n">
        <v>8</v>
      </c>
      <c r="D122" t="n">
        <v>5</v>
      </c>
      <c r="E122" t="s">
        <v>133</v>
      </c>
      <c r="F122" t="s"/>
      <c r="G122" t="s"/>
      <c r="H122" t="s"/>
      <c r="I122" t="s"/>
      <c r="J122" t="n">
        <v>-0.3016</v>
      </c>
      <c r="K122" t="n">
        <v>0.151</v>
      </c>
      <c r="L122" t="n">
        <v>0.737</v>
      </c>
      <c r="M122" t="n">
        <v>0.112</v>
      </c>
    </row>
    <row r="123" spans="1:13">
      <c r="A123" s="1">
        <f>HYPERLINK("http://www.twitter.com/NathanBLawrence/status/997926620647383041", "997926620647383041")</f>
        <v/>
      </c>
      <c r="B123" s="2" t="n">
        <v>43239.82431712963</v>
      </c>
      <c r="C123" t="n">
        <v>6</v>
      </c>
      <c r="D123" t="n">
        <v>5</v>
      </c>
      <c r="E123" t="s">
        <v>134</v>
      </c>
      <c r="F123" t="s"/>
      <c r="G123" t="s"/>
      <c r="H123" t="s"/>
      <c r="I123" t="s"/>
      <c r="J123" t="n">
        <v>-0.7418</v>
      </c>
      <c r="K123" t="n">
        <v>0.129</v>
      </c>
      <c r="L123" t="n">
        <v>0.849</v>
      </c>
      <c r="M123" t="n">
        <v>0.022</v>
      </c>
    </row>
    <row r="124" spans="1:13">
      <c r="A124" s="1">
        <f>HYPERLINK("http://www.twitter.com/NathanBLawrence/status/997923839354003458", "997923839354003458")</f>
        <v/>
      </c>
      <c r="B124" s="2" t="n">
        <v>43239.81664351852</v>
      </c>
      <c r="C124" t="n">
        <v>0</v>
      </c>
      <c r="D124" t="n">
        <v>0</v>
      </c>
      <c r="E124" t="s">
        <v>135</v>
      </c>
      <c r="F124" t="s"/>
      <c r="G124" t="s"/>
      <c r="H124" t="s"/>
      <c r="I124" t="s"/>
      <c r="J124" t="n">
        <v>0.6696</v>
      </c>
      <c r="K124" t="n">
        <v>0</v>
      </c>
      <c r="L124" t="n">
        <v>0.4</v>
      </c>
      <c r="M124" t="n">
        <v>0.6</v>
      </c>
    </row>
    <row r="125" spans="1:13">
      <c r="A125" s="1">
        <f>HYPERLINK("http://www.twitter.com/NathanBLawrence/status/997923061964865536", "997923061964865536")</f>
        <v/>
      </c>
      <c r="B125" s="2" t="n">
        <v>43239.81450231482</v>
      </c>
      <c r="C125" t="n">
        <v>0</v>
      </c>
      <c r="D125" t="n">
        <v>0</v>
      </c>
      <c r="E125" t="s">
        <v>136</v>
      </c>
      <c r="F125" t="s"/>
      <c r="G125" t="s"/>
      <c r="H125" t="s"/>
      <c r="I125" t="s"/>
      <c r="J125" t="n">
        <v>0.7597</v>
      </c>
      <c r="K125" t="n">
        <v>0</v>
      </c>
      <c r="L125" t="n">
        <v>0.771</v>
      </c>
      <c r="M125" t="n">
        <v>0.229</v>
      </c>
    </row>
    <row r="126" spans="1:13">
      <c r="A126" s="1">
        <f>HYPERLINK("http://www.twitter.com/NathanBLawrence/status/997922427912024064", "997922427912024064")</f>
        <v/>
      </c>
      <c r="B126" s="2" t="n">
        <v>43239.81274305555</v>
      </c>
      <c r="C126" t="n">
        <v>0</v>
      </c>
      <c r="D126" t="n">
        <v>0</v>
      </c>
      <c r="E126" t="s">
        <v>137</v>
      </c>
      <c r="F126" t="s"/>
      <c r="G126" t="s"/>
      <c r="H126" t="s"/>
      <c r="I126" t="s"/>
      <c r="J126" t="n">
        <v>0</v>
      </c>
      <c r="K126" t="n">
        <v>0</v>
      </c>
      <c r="L126" t="n">
        <v>1</v>
      </c>
      <c r="M126" t="n">
        <v>0</v>
      </c>
    </row>
    <row r="127" spans="1:13">
      <c r="A127" s="1">
        <f>HYPERLINK("http://www.twitter.com/NathanBLawrence/status/997921849630654465", "997921849630654465")</f>
        <v/>
      </c>
      <c r="B127" s="2" t="n">
        <v>43239.81115740741</v>
      </c>
      <c r="C127" t="n">
        <v>2</v>
      </c>
      <c r="D127" t="n">
        <v>0</v>
      </c>
      <c r="E127" t="s">
        <v>138</v>
      </c>
      <c r="F127" t="s"/>
      <c r="G127" t="s"/>
      <c r="H127" t="s"/>
      <c r="I127" t="s"/>
      <c r="J127" t="n">
        <v>0</v>
      </c>
      <c r="K127" t="n">
        <v>0</v>
      </c>
      <c r="L127" t="n">
        <v>1</v>
      </c>
      <c r="M127" t="n">
        <v>0</v>
      </c>
    </row>
    <row r="128" spans="1:13">
      <c r="A128" s="1">
        <f>HYPERLINK("http://www.twitter.com/NathanBLawrence/status/997889985394216961", "997889985394216961")</f>
        <v/>
      </c>
      <c r="B128" s="2" t="n">
        <v>43239.72322916667</v>
      </c>
      <c r="C128" t="n">
        <v>0</v>
      </c>
      <c r="D128" t="n">
        <v>9018</v>
      </c>
      <c r="E128" t="s">
        <v>139</v>
      </c>
      <c r="F128" t="s"/>
      <c r="G128" t="s"/>
      <c r="H128" t="s"/>
      <c r="I128" t="s"/>
      <c r="J128" t="n">
        <v>0.6476</v>
      </c>
      <c r="K128" t="n">
        <v>0</v>
      </c>
      <c r="L128" t="n">
        <v>0.791</v>
      </c>
      <c r="M128" t="n">
        <v>0.209</v>
      </c>
    </row>
    <row r="129" spans="1:13">
      <c r="A129" s="1">
        <f>HYPERLINK("http://www.twitter.com/NathanBLawrence/status/997820744389332992", "997820744389332992")</f>
        <v/>
      </c>
      <c r="B129" s="2" t="n">
        <v>43239.53215277778</v>
      </c>
      <c r="C129" t="n">
        <v>2</v>
      </c>
      <c r="D129" t="n">
        <v>0</v>
      </c>
      <c r="E129" t="s">
        <v>140</v>
      </c>
      <c r="F129" t="s"/>
      <c r="G129" t="s"/>
      <c r="H129" t="s"/>
      <c r="I129" t="s"/>
      <c r="J129" t="n">
        <v>0</v>
      </c>
      <c r="K129" t="n">
        <v>0</v>
      </c>
      <c r="L129" t="n">
        <v>1</v>
      </c>
      <c r="M129" t="n">
        <v>0</v>
      </c>
    </row>
    <row r="130" spans="1:13">
      <c r="A130" s="1">
        <f>HYPERLINK("http://www.twitter.com/NathanBLawrence/status/997813476780277760", "997813476780277760")</f>
        <v/>
      </c>
      <c r="B130" s="2" t="n">
        <v>43239.5120949074</v>
      </c>
      <c r="C130" t="n">
        <v>0</v>
      </c>
      <c r="D130" t="n">
        <v>0</v>
      </c>
      <c r="E130" t="s">
        <v>141</v>
      </c>
      <c r="F130" t="s"/>
      <c r="G130" t="s"/>
      <c r="H130" t="s"/>
      <c r="I130" t="s"/>
      <c r="J130" t="n">
        <v>-0.5719</v>
      </c>
      <c r="K130" t="n">
        <v>0.281</v>
      </c>
      <c r="L130" t="n">
        <v>0.719</v>
      </c>
      <c r="M130" t="n">
        <v>0</v>
      </c>
    </row>
    <row r="131" spans="1:13">
      <c r="A131" s="1">
        <f>HYPERLINK("http://www.twitter.com/NathanBLawrence/status/997802172082458624", "997802172082458624")</f>
        <v/>
      </c>
      <c r="B131" s="2" t="n">
        <v>43239.48090277778</v>
      </c>
      <c r="C131" t="n">
        <v>0</v>
      </c>
      <c r="D131" t="n">
        <v>0</v>
      </c>
      <c r="E131" t="s">
        <v>142</v>
      </c>
      <c r="F131" t="s"/>
      <c r="G131" t="s"/>
      <c r="H131" t="s"/>
      <c r="I131" t="s"/>
      <c r="J131" t="n">
        <v>0.5079</v>
      </c>
      <c r="K131" t="n">
        <v>0</v>
      </c>
      <c r="L131" t="n">
        <v>0.477</v>
      </c>
      <c r="M131" t="n">
        <v>0.523</v>
      </c>
    </row>
    <row r="132" spans="1:13">
      <c r="A132" s="1">
        <f>HYPERLINK("http://www.twitter.com/NathanBLawrence/status/997790089429311489", "997790089429311489")</f>
        <v/>
      </c>
      <c r="B132" s="2" t="n">
        <v>43239.44756944444</v>
      </c>
      <c r="C132" t="n">
        <v>0</v>
      </c>
      <c r="D132" t="n">
        <v>11</v>
      </c>
      <c r="E132" t="s">
        <v>143</v>
      </c>
      <c r="F132" t="s"/>
      <c r="G132" t="s"/>
      <c r="H132" t="s"/>
      <c r="I132" t="s"/>
      <c r="J132" t="n">
        <v>0.3612</v>
      </c>
      <c r="K132" t="n">
        <v>0</v>
      </c>
      <c r="L132" t="n">
        <v>0.906</v>
      </c>
      <c r="M132" t="n">
        <v>0.094</v>
      </c>
    </row>
    <row r="133" spans="1:13">
      <c r="A133" s="1">
        <f>HYPERLINK("http://www.twitter.com/NathanBLawrence/status/997790014867197952", "997790014867197952")</f>
        <v/>
      </c>
      <c r="B133" s="2" t="n">
        <v>43239.44736111111</v>
      </c>
      <c r="C133" t="n">
        <v>0</v>
      </c>
      <c r="D133" t="n">
        <v>6</v>
      </c>
      <c r="E133" t="s">
        <v>144</v>
      </c>
      <c r="F133" t="s"/>
      <c r="G133" t="s"/>
      <c r="H133" t="s"/>
      <c r="I133" t="s"/>
      <c r="J133" t="n">
        <v>0.4019</v>
      </c>
      <c r="K133" t="n">
        <v>0</v>
      </c>
      <c r="L133" t="n">
        <v>0.876</v>
      </c>
      <c r="M133" t="n">
        <v>0.124</v>
      </c>
    </row>
    <row r="134" spans="1:13">
      <c r="A134" s="1">
        <f>HYPERLINK("http://www.twitter.com/NathanBLawrence/status/997789873074515968", "997789873074515968")</f>
        <v/>
      </c>
      <c r="B134" s="2" t="n">
        <v>43239.44696759259</v>
      </c>
      <c r="C134" t="n">
        <v>0</v>
      </c>
      <c r="D134" t="n">
        <v>0</v>
      </c>
      <c r="E134" t="s">
        <v>145</v>
      </c>
      <c r="F134" t="s"/>
      <c r="G134" t="s"/>
      <c r="H134" t="s"/>
      <c r="I134" t="s"/>
      <c r="J134" t="n">
        <v>0</v>
      </c>
      <c r="K134" t="n">
        <v>0</v>
      </c>
      <c r="L134" t="n">
        <v>1</v>
      </c>
      <c r="M134" t="n">
        <v>0</v>
      </c>
    </row>
    <row r="135" spans="1:13">
      <c r="A135" s="1">
        <f>HYPERLINK("http://www.twitter.com/NathanBLawrence/status/997789079587696640", "997789079587696640")</f>
        <v/>
      </c>
      <c r="B135" s="2" t="n">
        <v>43239.44478009259</v>
      </c>
      <c r="C135" t="n">
        <v>0</v>
      </c>
      <c r="D135" t="n">
        <v>3</v>
      </c>
      <c r="E135" t="s">
        <v>146</v>
      </c>
      <c r="F135" t="s"/>
      <c r="G135" t="s"/>
      <c r="H135" t="s"/>
      <c r="I135" t="s"/>
      <c r="J135" t="n">
        <v>-0.296</v>
      </c>
      <c r="K135" t="n">
        <v>0.08699999999999999</v>
      </c>
      <c r="L135" t="n">
        <v>0.913</v>
      </c>
      <c r="M135" t="n">
        <v>0</v>
      </c>
    </row>
    <row r="136" spans="1:13">
      <c r="A136" s="1">
        <f>HYPERLINK("http://www.twitter.com/NathanBLawrence/status/997681663437164544", "997681663437164544")</f>
        <v/>
      </c>
      <c r="B136" s="2" t="n">
        <v>43239.14836805555</v>
      </c>
      <c r="C136" t="n">
        <v>0</v>
      </c>
      <c r="D136" t="n">
        <v>0</v>
      </c>
      <c r="E136" t="s">
        <v>147</v>
      </c>
      <c r="F136" t="s"/>
      <c r="G136" t="s"/>
      <c r="H136" t="s"/>
      <c r="I136" t="s"/>
      <c r="J136" t="n">
        <v>0</v>
      </c>
      <c r="K136" t="n">
        <v>0</v>
      </c>
      <c r="L136" t="n">
        <v>1</v>
      </c>
      <c r="M136" t="n">
        <v>0</v>
      </c>
    </row>
    <row r="137" spans="1:13">
      <c r="A137" s="1">
        <f>HYPERLINK("http://www.twitter.com/NathanBLawrence/status/997680725787803648", "997680725787803648")</f>
        <v/>
      </c>
      <c r="B137" s="2" t="n">
        <v>43239.14577546297</v>
      </c>
      <c r="C137" t="n">
        <v>1</v>
      </c>
      <c r="D137" t="n">
        <v>1</v>
      </c>
      <c r="E137" t="s">
        <v>148</v>
      </c>
      <c r="F137" t="s"/>
      <c r="G137" t="s"/>
      <c r="H137" t="s"/>
      <c r="I137" t="s"/>
      <c r="J137" t="n">
        <v>0.4215</v>
      </c>
      <c r="K137" t="n">
        <v>0</v>
      </c>
      <c r="L137" t="n">
        <v>0.741</v>
      </c>
      <c r="M137" t="n">
        <v>0.259</v>
      </c>
    </row>
    <row r="138" spans="1:13">
      <c r="A138" s="1">
        <f>HYPERLINK("http://www.twitter.com/NathanBLawrence/status/997676068814417920", "997676068814417920")</f>
        <v/>
      </c>
      <c r="B138" s="2" t="n">
        <v>43239.13292824074</v>
      </c>
      <c r="C138" t="n">
        <v>11</v>
      </c>
      <c r="D138" t="n">
        <v>6</v>
      </c>
      <c r="E138" t="s">
        <v>149</v>
      </c>
      <c r="F138" t="s"/>
      <c r="G138" t="s"/>
      <c r="H138" t="s"/>
      <c r="I138" t="s"/>
      <c r="J138" t="n">
        <v>0</v>
      </c>
      <c r="K138" t="n">
        <v>0</v>
      </c>
      <c r="L138" t="n">
        <v>1</v>
      </c>
      <c r="M138" t="n">
        <v>0</v>
      </c>
    </row>
    <row r="139" spans="1:13">
      <c r="A139" s="1">
        <f>HYPERLINK("http://www.twitter.com/NathanBLawrence/status/997622779179683845", "997622779179683845")</f>
        <v/>
      </c>
      <c r="B139" s="2" t="n">
        <v>43238.98587962963</v>
      </c>
      <c r="C139" t="n">
        <v>0</v>
      </c>
      <c r="D139" t="n">
        <v>6</v>
      </c>
      <c r="E139" t="s">
        <v>150</v>
      </c>
      <c r="F139" t="s"/>
      <c r="G139" t="s"/>
      <c r="H139" t="s"/>
      <c r="I139" t="s"/>
      <c r="J139" t="n">
        <v>0.8044</v>
      </c>
      <c r="K139" t="n">
        <v>0.054</v>
      </c>
      <c r="L139" t="n">
        <v>0.654</v>
      </c>
      <c r="M139" t="n">
        <v>0.291</v>
      </c>
    </row>
    <row r="140" spans="1:13">
      <c r="A140" s="1">
        <f>HYPERLINK("http://www.twitter.com/NathanBLawrence/status/997622643137417216", "997622643137417216")</f>
        <v/>
      </c>
      <c r="B140" s="2" t="n">
        <v>43238.98549768519</v>
      </c>
      <c r="C140" t="n">
        <v>0</v>
      </c>
      <c r="D140" t="n">
        <v>4</v>
      </c>
      <c r="E140" t="s">
        <v>151</v>
      </c>
      <c r="F140" t="s"/>
      <c r="G140" t="s"/>
      <c r="H140" t="s"/>
      <c r="I140" t="s"/>
      <c r="J140" t="n">
        <v>0</v>
      </c>
      <c r="K140" t="n">
        <v>0</v>
      </c>
      <c r="L140" t="n">
        <v>1</v>
      </c>
      <c r="M140" t="n">
        <v>0</v>
      </c>
    </row>
    <row r="141" spans="1:13">
      <c r="A141" s="1">
        <f>HYPERLINK("http://www.twitter.com/NathanBLawrence/status/997620427227848705", "997620427227848705")</f>
        <v/>
      </c>
      <c r="B141" s="2" t="n">
        <v>43238.97938657407</v>
      </c>
      <c r="C141" t="n">
        <v>0</v>
      </c>
      <c r="D141" t="n">
        <v>0</v>
      </c>
      <c r="E141" t="s">
        <v>152</v>
      </c>
      <c r="F141" t="s"/>
      <c r="G141" t="s"/>
      <c r="H141" t="s"/>
      <c r="I141" t="s"/>
      <c r="J141" t="n">
        <v>0</v>
      </c>
      <c r="K141" t="n">
        <v>0</v>
      </c>
      <c r="L141" t="n">
        <v>1</v>
      </c>
      <c r="M141" t="n">
        <v>0</v>
      </c>
    </row>
    <row r="142" spans="1:13">
      <c r="A142" s="1">
        <f>HYPERLINK("http://www.twitter.com/NathanBLawrence/status/997618965449969664", "997618965449969664")</f>
        <v/>
      </c>
      <c r="B142" s="2" t="n">
        <v>43238.97534722222</v>
      </c>
      <c r="C142" t="n">
        <v>0</v>
      </c>
      <c r="D142" t="n">
        <v>16</v>
      </c>
      <c r="E142" t="s">
        <v>153</v>
      </c>
      <c r="F142" t="s"/>
      <c r="G142" t="s"/>
      <c r="H142" t="s"/>
      <c r="I142" t="s"/>
      <c r="J142" t="n">
        <v>0</v>
      </c>
      <c r="K142" t="n">
        <v>0</v>
      </c>
      <c r="L142" t="n">
        <v>1</v>
      </c>
      <c r="M142" t="n">
        <v>0</v>
      </c>
    </row>
    <row r="143" spans="1:13">
      <c r="A143" s="1">
        <f>HYPERLINK("http://www.twitter.com/NathanBLawrence/status/997618909745434627", "997618909745434627")</f>
        <v/>
      </c>
      <c r="B143" s="2" t="n">
        <v>43238.97519675926</v>
      </c>
      <c r="C143" t="n">
        <v>1</v>
      </c>
      <c r="D143" t="n">
        <v>0</v>
      </c>
      <c r="E143" t="s">
        <v>154</v>
      </c>
      <c r="F143" t="s"/>
      <c r="G143" t="s"/>
      <c r="H143" t="s"/>
      <c r="I143" t="s"/>
      <c r="J143" t="n">
        <v>0</v>
      </c>
      <c r="K143" t="n">
        <v>0</v>
      </c>
      <c r="L143" t="n">
        <v>1</v>
      </c>
      <c r="M143" t="n">
        <v>0</v>
      </c>
    </row>
    <row r="144" spans="1:13">
      <c r="A144" s="1">
        <f>HYPERLINK("http://www.twitter.com/NathanBLawrence/status/997613969811628033", "997613969811628033")</f>
        <v/>
      </c>
      <c r="B144" s="2" t="n">
        <v>43238.9615625</v>
      </c>
      <c r="C144" t="n">
        <v>0</v>
      </c>
      <c r="D144" t="n">
        <v>0</v>
      </c>
      <c r="E144" t="s">
        <v>155</v>
      </c>
      <c r="F144" t="s"/>
      <c r="G144" t="s"/>
      <c r="H144" t="s"/>
      <c r="I144" t="s"/>
      <c r="J144" t="n">
        <v>-0.6597</v>
      </c>
      <c r="K144" t="n">
        <v>0.329</v>
      </c>
      <c r="L144" t="n">
        <v>0.671</v>
      </c>
      <c r="M144" t="n">
        <v>0</v>
      </c>
    </row>
    <row r="145" spans="1:13">
      <c r="A145" s="1">
        <f>HYPERLINK("http://www.twitter.com/NathanBLawrence/status/997605271043272704", "997605271043272704")</f>
        <v/>
      </c>
      <c r="B145" s="2" t="n">
        <v>43238.93755787037</v>
      </c>
      <c r="C145" t="n">
        <v>0</v>
      </c>
      <c r="D145" t="n">
        <v>20</v>
      </c>
      <c r="E145" t="s">
        <v>156</v>
      </c>
      <c r="F145" t="s"/>
      <c r="G145" t="s"/>
      <c r="H145" t="s"/>
      <c r="I145" t="s"/>
      <c r="J145" t="n">
        <v>0.5719</v>
      </c>
      <c r="K145" t="n">
        <v>0</v>
      </c>
      <c r="L145" t="n">
        <v>0.824</v>
      </c>
      <c r="M145" t="n">
        <v>0.176</v>
      </c>
    </row>
    <row r="146" spans="1:13">
      <c r="A146" s="1">
        <f>HYPERLINK("http://www.twitter.com/NathanBLawrence/status/997604646792425472", "997604646792425472")</f>
        <v/>
      </c>
      <c r="B146" s="2" t="n">
        <v>43238.93584490741</v>
      </c>
      <c r="C146" t="n">
        <v>0</v>
      </c>
      <c r="D146" t="n">
        <v>18</v>
      </c>
      <c r="E146" t="s">
        <v>157</v>
      </c>
      <c r="F146" t="s"/>
      <c r="G146" t="s"/>
      <c r="H146" t="s"/>
      <c r="I146" t="s"/>
      <c r="J146" t="n">
        <v>0.34</v>
      </c>
      <c r="K146" t="n">
        <v>0</v>
      </c>
      <c r="L146" t="n">
        <v>0.897</v>
      </c>
      <c r="M146" t="n">
        <v>0.103</v>
      </c>
    </row>
    <row r="147" spans="1:13">
      <c r="A147" s="1">
        <f>HYPERLINK("http://www.twitter.com/NathanBLawrence/status/997603604436606982", "997603604436606982")</f>
        <v/>
      </c>
      <c r="B147" s="2" t="n">
        <v>43238.93296296296</v>
      </c>
      <c r="C147" t="n">
        <v>0</v>
      </c>
      <c r="D147" t="n">
        <v>22</v>
      </c>
      <c r="E147" t="s">
        <v>158</v>
      </c>
      <c r="F147" t="s"/>
      <c r="G147" t="s"/>
      <c r="H147" t="s"/>
      <c r="I147" t="s"/>
      <c r="J147" t="n">
        <v>0.4926</v>
      </c>
      <c r="K147" t="n">
        <v>0.054</v>
      </c>
      <c r="L147" t="n">
        <v>0.8080000000000001</v>
      </c>
      <c r="M147" t="n">
        <v>0.138</v>
      </c>
    </row>
    <row r="148" spans="1:13">
      <c r="A148" s="1">
        <f>HYPERLINK("http://www.twitter.com/NathanBLawrence/status/997544174886051840", "997544174886051840")</f>
        <v/>
      </c>
      <c r="B148" s="2" t="n">
        <v>43238.76896990741</v>
      </c>
      <c r="C148" t="n">
        <v>0</v>
      </c>
      <c r="D148" t="n">
        <v>9</v>
      </c>
      <c r="E148" t="s">
        <v>159</v>
      </c>
      <c r="F148" t="s"/>
      <c r="G148" t="s"/>
      <c r="H148" t="s"/>
      <c r="I148" t="s"/>
      <c r="J148" t="n">
        <v>0.2023</v>
      </c>
      <c r="K148" t="n">
        <v>0</v>
      </c>
      <c r="L148" t="n">
        <v>0.878</v>
      </c>
      <c r="M148" t="n">
        <v>0.122</v>
      </c>
    </row>
    <row r="149" spans="1:13">
      <c r="A149" s="1">
        <f>HYPERLINK("http://www.twitter.com/NathanBLawrence/status/997540162262458369", "997540162262458369")</f>
        <v/>
      </c>
      <c r="B149" s="2" t="n">
        <v>43238.75789351852</v>
      </c>
      <c r="C149" t="n">
        <v>0</v>
      </c>
      <c r="D149" t="n">
        <v>0</v>
      </c>
      <c r="E149" t="s">
        <v>160</v>
      </c>
      <c r="F149" t="s"/>
      <c r="G149" t="s"/>
      <c r="H149" t="s"/>
      <c r="I149" t="s"/>
      <c r="J149" t="n">
        <v>0</v>
      </c>
      <c r="K149" t="n">
        <v>0</v>
      </c>
      <c r="L149" t="n">
        <v>1</v>
      </c>
      <c r="M149" t="n">
        <v>0</v>
      </c>
    </row>
    <row r="150" spans="1:13">
      <c r="A150" s="1">
        <f>HYPERLINK("http://www.twitter.com/NathanBLawrence/status/997531702745550849", "997531702745550849")</f>
        <v/>
      </c>
      <c r="B150" s="2" t="n">
        <v>43238.73454861111</v>
      </c>
      <c r="C150" t="n">
        <v>0</v>
      </c>
      <c r="D150" t="n">
        <v>7</v>
      </c>
      <c r="E150" t="s">
        <v>161</v>
      </c>
      <c r="F150" t="s"/>
      <c r="G150" t="s"/>
      <c r="H150" t="s"/>
      <c r="I150" t="s"/>
      <c r="J150" t="n">
        <v>-0.6808</v>
      </c>
      <c r="K150" t="n">
        <v>0.258</v>
      </c>
      <c r="L150" t="n">
        <v>0.66</v>
      </c>
      <c r="M150" t="n">
        <v>0.082</v>
      </c>
    </row>
    <row r="151" spans="1:13">
      <c r="A151" s="1">
        <f>HYPERLINK("http://www.twitter.com/NathanBLawrence/status/997531409030971394", "997531409030971394")</f>
        <v/>
      </c>
      <c r="B151" s="2" t="n">
        <v>43238.73373842592</v>
      </c>
      <c r="C151" t="n">
        <v>1</v>
      </c>
      <c r="D151" t="n">
        <v>0</v>
      </c>
      <c r="E151" t="s">
        <v>162</v>
      </c>
      <c r="F151" t="s"/>
      <c r="G151" t="s"/>
      <c r="H151" t="s"/>
      <c r="I151" t="s"/>
      <c r="J151" t="n">
        <v>-0.5266999999999999</v>
      </c>
      <c r="K151" t="n">
        <v>0.134</v>
      </c>
      <c r="L151" t="n">
        <v>0.866</v>
      </c>
      <c r="M151" t="n">
        <v>0</v>
      </c>
    </row>
    <row r="152" spans="1:13">
      <c r="A152" s="1">
        <f>HYPERLINK("http://www.twitter.com/NathanBLawrence/status/997530956394385408", "997530956394385408")</f>
        <v/>
      </c>
      <c r="B152" s="2" t="n">
        <v>43238.73248842593</v>
      </c>
      <c r="C152" t="n">
        <v>0</v>
      </c>
      <c r="D152" t="n">
        <v>5</v>
      </c>
      <c r="E152" t="s">
        <v>163</v>
      </c>
      <c r="F152" t="s"/>
      <c r="G152" t="s"/>
      <c r="H152" t="s"/>
      <c r="I152" t="s"/>
      <c r="J152" t="n">
        <v>0.4939</v>
      </c>
      <c r="K152" t="n">
        <v>0.089</v>
      </c>
      <c r="L152" t="n">
        <v>0.6909999999999999</v>
      </c>
      <c r="M152" t="n">
        <v>0.22</v>
      </c>
    </row>
    <row r="153" spans="1:13">
      <c r="A153" s="1">
        <f>HYPERLINK("http://www.twitter.com/NathanBLawrence/status/997530446501240833", "997530446501240833")</f>
        <v/>
      </c>
      <c r="B153" s="2" t="n">
        <v>43238.73108796297</v>
      </c>
      <c r="C153" t="n">
        <v>2</v>
      </c>
      <c r="D153" t="n">
        <v>0</v>
      </c>
      <c r="E153" t="s">
        <v>164</v>
      </c>
      <c r="F153" t="s"/>
      <c r="G153" t="s"/>
      <c r="H153" t="s"/>
      <c r="I153" t="s"/>
      <c r="J153" t="n">
        <v>-0.8748</v>
      </c>
      <c r="K153" t="n">
        <v>0.243</v>
      </c>
      <c r="L153" t="n">
        <v>0.731</v>
      </c>
      <c r="M153" t="n">
        <v>0.026</v>
      </c>
    </row>
    <row r="154" spans="1:13">
      <c r="A154" s="1">
        <f>HYPERLINK("http://www.twitter.com/NathanBLawrence/status/997528437551259649", "997528437551259649")</f>
        <v/>
      </c>
      <c r="B154" s="2" t="n">
        <v>43238.72554398148</v>
      </c>
      <c r="C154" t="n">
        <v>1</v>
      </c>
      <c r="D154" t="n">
        <v>1</v>
      </c>
      <c r="E154" t="s">
        <v>165</v>
      </c>
      <c r="F154" t="s"/>
      <c r="G154" t="s"/>
      <c r="H154" t="s"/>
      <c r="I154" t="s"/>
      <c r="J154" t="n">
        <v>0</v>
      </c>
      <c r="K154" t="n">
        <v>0</v>
      </c>
      <c r="L154" t="n">
        <v>1</v>
      </c>
      <c r="M154" t="n">
        <v>0</v>
      </c>
    </row>
    <row r="155" spans="1:13">
      <c r="A155" s="1">
        <f>HYPERLINK("http://www.twitter.com/NathanBLawrence/status/997526756914552834", "997526756914552834")</f>
        <v/>
      </c>
      <c r="B155" s="2" t="n">
        <v>43238.72090277778</v>
      </c>
      <c r="C155" t="n">
        <v>0</v>
      </c>
      <c r="D155" t="n">
        <v>11</v>
      </c>
      <c r="E155" t="s">
        <v>166</v>
      </c>
      <c r="F155" t="s"/>
      <c r="G155" t="s"/>
      <c r="H155" t="s"/>
      <c r="I155" t="s"/>
      <c r="J155" t="n">
        <v>0.2263</v>
      </c>
      <c r="K155" t="n">
        <v>0</v>
      </c>
      <c r="L155" t="n">
        <v>0.921</v>
      </c>
      <c r="M155" t="n">
        <v>0.079</v>
      </c>
    </row>
    <row r="156" spans="1:13">
      <c r="A156" s="1">
        <f>HYPERLINK("http://www.twitter.com/NathanBLawrence/status/997526385165029377", "997526385165029377")</f>
        <v/>
      </c>
      <c r="B156" s="2" t="n">
        <v>43238.71988425926</v>
      </c>
      <c r="C156" t="n">
        <v>0</v>
      </c>
      <c r="D156" t="n">
        <v>1</v>
      </c>
      <c r="E156" t="s">
        <v>167</v>
      </c>
      <c r="F156" t="s"/>
      <c r="G156" t="s"/>
      <c r="H156" t="s"/>
      <c r="I156" t="s"/>
      <c r="J156" t="n">
        <v>0</v>
      </c>
      <c r="K156" t="n">
        <v>0</v>
      </c>
      <c r="L156" t="n">
        <v>1</v>
      </c>
      <c r="M156" t="n">
        <v>0</v>
      </c>
    </row>
    <row r="157" spans="1:13">
      <c r="A157" s="1">
        <f>HYPERLINK("http://www.twitter.com/NathanBLawrence/status/997526359244181504", "997526359244181504")</f>
        <v/>
      </c>
      <c r="B157" s="2" t="n">
        <v>43238.71980324074</v>
      </c>
      <c r="C157" t="n">
        <v>0</v>
      </c>
      <c r="D157" t="n">
        <v>0</v>
      </c>
      <c r="E157" t="s">
        <v>168</v>
      </c>
      <c r="F157" t="s"/>
      <c r="G157" t="s"/>
      <c r="H157" t="s"/>
      <c r="I157" t="s"/>
      <c r="J157" t="n">
        <v>0.5423</v>
      </c>
      <c r="K157" t="n">
        <v>0</v>
      </c>
      <c r="L157" t="n">
        <v>0.901</v>
      </c>
      <c r="M157" t="n">
        <v>0.099</v>
      </c>
    </row>
    <row r="158" spans="1:13">
      <c r="A158" s="1">
        <f>HYPERLINK("http://www.twitter.com/NathanBLawrence/status/997516941769273345", "997516941769273345")</f>
        <v/>
      </c>
      <c r="B158" s="2" t="n">
        <v>43238.69381944444</v>
      </c>
      <c r="C158" t="n">
        <v>0</v>
      </c>
      <c r="D158" t="n">
        <v>21</v>
      </c>
      <c r="E158" t="s">
        <v>169</v>
      </c>
      <c r="F158" t="s"/>
      <c r="G158" t="s"/>
      <c r="H158" t="s"/>
      <c r="I158" t="s"/>
      <c r="J158" t="n">
        <v>0.1531</v>
      </c>
      <c r="K158" t="n">
        <v>0</v>
      </c>
      <c r="L158" t="n">
        <v>0.9379999999999999</v>
      </c>
      <c r="M158" t="n">
        <v>0.062</v>
      </c>
    </row>
    <row r="159" spans="1:13">
      <c r="A159" s="1">
        <f>HYPERLINK("http://www.twitter.com/NathanBLawrence/status/997516859409948672", "997516859409948672")</f>
        <v/>
      </c>
      <c r="B159" s="2" t="n">
        <v>43238.69358796296</v>
      </c>
      <c r="C159" t="n">
        <v>0</v>
      </c>
      <c r="D159" t="n">
        <v>0</v>
      </c>
      <c r="E159" t="s">
        <v>170</v>
      </c>
      <c r="F159">
        <f>HYPERLINK("http://pbs.twimg.com/media/DdfkSqkUwAEjzsK.jpg", "http://pbs.twimg.com/media/DdfkSqkUwAEjzsK.jpg")</f>
        <v/>
      </c>
      <c r="G159" t="s"/>
      <c r="H159" t="s"/>
      <c r="I159" t="s"/>
      <c r="J159" t="n">
        <v>0</v>
      </c>
      <c r="K159" t="n">
        <v>0</v>
      </c>
      <c r="L159" t="n">
        <v>1</v>
      </c>
      <c r="M159" t="n">
        <v>0</v>
      </c>
    </row>
    <row r="160" spans="1:13">
      <c r="A160" s="1">
        <f>HYPERLINK("http://www.twitter.com/NathanBLawrence/status/997516314611798017", "997516314611798017")</f>
        <v/>
      </c>
      <c r="B160" s="2" t="n">
        <v>43238.6920949074</v>
      </c>
      <c r="C160" t="n">
        <v>0</v>
      </c>
      <c r="D160" t="n">
        <v>2</v>
      </c>
      <c r="E160" t="s">
        <v>171</v>
      </c>
      <c r="F160" t="s"/>
      <c r="G160" t="s"/>
      <c r="H160" t="s"/>
      <c r="I160" t="s"/>
      <c r="J160" t="n">
        <v>-0.3804</v>
      </c>
      <c r="K160" t="n">
        <v>0.11</v>
      </c>
      <c r="L160" t="n">
        <v>0.89</v>
      </c>
      <c r="M160" t="n">
        <v>0</v>
      </c>
    </row>
    <row r="161" spans="1:13">
      <c r="A161" s="1">
        <f>HYPERLINK("http://www.twitter.com/NathanBLawrence/status/997515375913947136", "997515375913947136")</f>
        <v/>
      </c>
      <c r="B161" s="2" t="n">
        <v>43238.68950231482</v>
      </c>
      <c r="C161" t="n">
        <v>0</v>
      </c>
      <c r="D161" t="n">
        <v>2</v>
      </c>
      <c r="E161" t="s">
        <v>172</v>
      </c>
      <c r="F161" t="s"/>
      <c r="G161" t="s"/>
      <c r="H161" t="s"/>
      <c r="I161" t="s"/>
      <c r="J161" t="n">
        <v>0</v>
      </c>
      <c r="K161" t="n">
        <v>0</v>
      </c>
      <c r="L161" t="n">
        <v>1</v>
      </c>
      <c r="M161" t="n">
        <v>0</v>
      </c>
    </row>
    <row r="162" spans="1:13">
      <c r="A162" s="1">
        <f>HYPERLINK("http://www.twitter.com/NathanBLawrence/status/997507380354174976", "997507380354174976")</f>
        <v/>
      </c>
      <c r="B162" s="2" t="n">
        <v>43238.66743055556</v>
      </c>
      <c r="C162" t="n">
        <v>1</v>
      </c>
      <c r="D162" t="n">
        <v>0</v>
      </c>
      <c r="E162" t="s">
        <v>173</v>
      </c>
      <c r="F162" t="s"/>
      <c r="G162" t="s"/>
      <c r="H162" t="s"/>
      <c r="I162" t="s"/>
      <c r="J162" t="n">
        <v>0.3182</v>
      </c>
      <c r="K162" t="n">
        <v>0.095</v>
      </c>
      <c r="L162" t="n">
        <v>0.768</v>
      </c>
      <c r="M162" t="n">
        <v>0.137</v>
      </c>
    </row>
    <row r="163" spans="1:13">
      <c r="A163" s="1">
        <f>HYPERLINK("http://www.twitter.com/NathanBLawrence/status/997506573634326528", "997506573634326528")</f>
        <v/>
      </c>
      <c r="B163" s="2" t="n">
        <v>43238.66520833333</v>
      </c>
      <c r="C163" t="n">
        <v>3</v>
      </c>
      <c r="D163" t="n">
        <v>0</v>
      </c>
      <c r="E163" t="s">
        <v>174</v>
      </c>
      <c r="F163" t="s"/>
      <c r="G163" t="s"/>
      <c r="H163" t="s"/>
      <c r="I163" t="s"/>
      <c r="J163" t="n">
        <v>-0.1007</v>
      </c>
      <c r="K163" t="n">
        <v>0.095</v>
      </c>
      <c r="L163" t="n">
        <v>0.823</v>
      </c>
      <c r="M163" t="n">
        <v>0.082</v>
      </c>
    </row>
    <row r="164" spans="1:13">
      <c r="A164" s="1">
        <f>HYPERLINK("http://www.twitter.com/NathanBLawrence/status/997506124071960577", "997506124071960577")</f>
        <v/>
      </c>
      <c r="B164" s="2" t="n">
        <v>43238.66396990741</v>
      </c>
      <c r="C164" t="n">
        <v>0</v>
      </c>
      <c r="D164" t="n">
        <v>32</v>
      </c>
      <c r="E164" t="s">
        <v>175</v>
      </c>
      <c r="F164" t="s"/>
      <c r="G164" t="s"/>
      <c r="H164" t="s"/>
      <c r="I164" t="s"/>
      <c r="J164" t="n">
        <v>-0.2462</v>
      </c>
      <c r="K164" t="n">
        <v>0.135</v>
      </c>
      <c r="L164" t="n">
        <v>0.777</v>
      </c>
      <c r="M164" t="n">
        <v>0.08699999999999999</v>
      </c>
    </row>
    <row r="165" spans="1:13">
      <c r="A165" s="1">
        <f>HYPERLINK("http://www.twitter.com/NathanBLawrence/status/997502166288994304", "997502166288994304")</f>
        <v/>
      </c>
      <c r="B165" s="2" t="n">
        <v>43238.65304398148</v>
      </c>
      <c r="C165" t="n">
        <v>0</v>
      </c>
      <c r="D165" t="n">
        <v>0</v>
      </c>
      <c r="E165" t="s">
        <v>176</v>
      </c>
      <c r="F165" t="s"/>
      <c r="G165" t="s"/>
      <c r="H165" t="s"/>
      <c r="I165" t="s"/>
      <c r="J165" t="n">
        <v>-0.2462</v>
      </c>
      <c r="K165" t="n">
        <v>0.129</v>
      </c>
      <c r="L165" t="n">
        <v>0.788</v>
      </c>
      <c r="M165" t="n">
        <v>0.083</v>
      </c>
    </row>
    <row r="166" spans="1:13">
      <c r="A166" s="1">
        <f>HYPERLINK("http://www.twitter.com/NathanBLawrence/status/997500001352810496", "997500001352810496")</f>
        <v/>
      </c>
      <c r="B166" s="2" t="n">
        <v>43238.64707175926</v>
      </c>
      <c r="C166" t="n">
        <v>1</v>
      </c>
      <c r="D166" t="n">
        <v>0</v>
      </c>
      <c r="E166" t="s">
        <v>177</v>
      </c>
      <c r="F166" t="s"/>
      <c r="G166" t="s"/>
      <c r="H166" t="s"/>
      <c r="I166" t="s"/>
      <c r="J166" t="n">
        <v>-0.8885</v>
      </c>
      <c r="K166" t="n">
        <v>0.274</v>
      </c>
      <c r="L166" t="n">
        <v>0.696</v>
      </c>
      <c r="M166" t="n">
        <v>0.03</v>
      </c>
    </row>
    <row r="167" spans="1:13">
      <c r="A167" s="1">
        <f>HYPERLINK("http://www.twitter.com/NathanBLawrence/status/997498472629788672", "997498472629788672")</f>
        <v/>
      </c>
      <c r="B167" s="2" t="n">
        <v>43238.64285879629</v>
      </c>
      <c r="C167" t="n">
        <v>0</v>
      </c>
      <c r="D167" t="n">
        <v>0</v>
      </c>
      <c r="E167" t="s">
        <v>178</v>
      </c>
      <c r="F167" t="s"/>
      <c r="G167" t="s"/>
      <c r="H167" t="s"/>
      <c r="I167" t="s"/>
      <c r="J167" t="n">
        <v>0.3578</v>
      </c>
      <c r="K167" t="n">
        <v>0.076</v>
      </c>
      <c r="L167" t="n">
        <v>0.762</v>
      </c>
      <c r="M167" t="n">
        <v>0.162</v>
      </c>
    </row>
    <row r="168" spans="1:13">
      <c r="A168" s="1">
        <f>HYPERLINK("http://www.twitter.com/NathanBLawrence/status/997497798277951488", "997497798277951488")</f>
        <v/>
      </c>
      <c r="B168" s="2" t="n">
        <v>43238.64099537037</v>
      </c>
      <c r="C168" t="n">
        <v>0</v>
      </c>
      <c r="D168" t="n">
        <v>0</v>
      </c>
      <c r="E168" t="s">
        <v>179</v>
      </c>
      <c r="F168" t="s"/>
      <c r="G168" t="s"/>
      <c r="H168" t="s"/>
      <c r="I168" t="s"/>
      <c r="J168" t="n">
        <v>0.3578</v>
      </c>
      <c r="K168" t="n">
        <v>0.082</v>
      </c>
      <c r="L168" t="n">
        <v>0.744</v>
      </c>
      <c r="M168" t="n">
        <v>0.174</v>
      </c>
    </row>
    <row r="169" spans="1:13">
      <c r="A169" s="1">
        <f>HYPERLINK("http://www.twitter.com/NathanBLawrence/status/997493143552643077", "997493143552643077")</f>
        <v/>
      </c>
      <c r="B169" s="2" t="n">
        <v>43238.62814814815</v>
      </c>
      <c r="C169" t="n">
        <v>0</v>
      </c>
      <c r="D169" t="n">
        <v>36</v>
      </c>
      <c r="E169" t="s">
        <v>180</v>
      </c>
      <c r="F169" t="s"/>
      <c r="G169" t="s"/>
      <c r="H169" t="s"/>
      <c r="I169" t="s"/>
      <c r="J169" t="n">
        <v>0.2732</v>
      </c>
      <c r="K169" t="n">
        <v>0</v>
      </c>
      <c r="L169" t="n">
        <v>0.877</v>
      </c>
      <c r="M169" t="n">
        <v>0.123</v>
      </c>
    </row>
    <row r="170" spans="1:13">
      <c r="A170" s="1">
        <f>HYPERLINK("http://www.twitter.com/NathanBLawrence/status/997493122270679040", "997493122270679040")</f>
        <v/>
      </c>
      <c r="B170" s="2" t="n">
        <v>43238.62809027778</v>
      </c>
      <c r="C170" t="n">
        <v>9</v>
      </c>
      <c r="D170" t="n">
        <v>3</v>
      </c>
      <c r="E170" t="s">
        <v>181</v>
      </c>
      <c r="F170" t="s"/>
      <c r="G170" t="s"/>
      <c r="H170" t="s"/>
      <c r="I170" t="s"/>
      <c r="J170" t="n">
        <v>0.7783</v>
      </c>
      <c r="K170" t="n">
        <v>0</v>
      </c>
      <c r="L170" t="n">
        <v>0.473</v>
      </c>
      <c r="M170" t="n">
        <v>0.527</v>
      </c>
    </row>
    <row r="171" spans="1:13">
      <c r="A171" s="1">
        <f>HYPERLINK("http://www.twitter.com/NathanBLawrence/status/997491542276431873", "997491542276431873")</f>
        <v/>
      </c>
      <c r="B171" s="2" t="n">
        <v>43238.62372685185</v>
      </c>
      <c r="C171" t="n">
        <v>0</v>
      </c>
      <c r="D171" t="n">
        <v>0</v>
      </c>
      <c r="E171" t="s">
        <v>182</v>
      </c>
      <c r="F171">
        <f>HYPERLINK("http://pbs.twimg.com/media/DdfNQ9HVMAAp4qU.jpg", "http://pbs.twimg.com/media/DdfNQ9HVMAAp4qU.jpg")</f>
        <v/>
      </c>
      <c r="G171" t="s"/>
      <c r="H171" t="s"/>
      <c r="I171" t="s"/>
      <c r="J171" t="n">
        <v>0</v>
      </c>
      <c r="K171" t="n">
        <v>0</v>
      </c>
      <c r="L171" t="n">
        <v>1</v>
      </c>
      <c r="M171" t="n">
        <v>0</v>
      </c>
    </row>
    <row r="172" spans="1:13">
      <c r="A172" s="1">
        <f>HYPERLINK("http://www.twitter.com/NathanBLawrence/status/997485586121478144", "997485586121478144")</f>
        <v/>
      </c>
      <c r="B172" s="2" t="n">
        <v>43238.60729166667</v>
      </c>
      <c r="C172" t="n">
        <v>2</v>
      </c>
      <c r="D172" t="n">
        <v>1</v>
      </c>
      <c r="E172" t="s">
        <v>183</v>
      </c>
      <c r="F172" t="s"/>
      <c r="G172" t="s"/>
      <c r="H172" t="s"/>
      <c r="I172" t="s"/>
      <c r="J172" t="n">
        <v>-0.2714</v>
      </c>
      <c r="K172" t="n">
        <v>0.08799999999999999</v>
      </c>
      <c r="L172" t="n">
        <v>0.861</v>
      </c>
      <c r="M172" t="n">
        <v>0.051</v>
      </c>
    </row>
    <row r="173" spans="1:13">
      <c r="A173" s="1">
        <f>HYPERLINK("http://www.twitter.com/NathanBLawrence/status/997482970914095104", "997482970914095104")</f>
        <v/>
      </c>
      <c r="B173" s="2" t="n">
        <v>43238.60008101852</v>
      </c>
      <c r="C173" t="n">
        <v>0</v>
      </c>
      <c r="D173" t="n">
        <v>7</v>
      </c>
      <c r="E173" t="s">
        <v>184</v>
      </c>
      <c r="F173" t="s"/>
      <c r="G173" t="s"/>
      <c r="H173" t="s"/>
      <c r="I173" t="s"/>
      <c r="J173" t="n">
        <v>0.3612</v>
      </c>
      <c r="K173" t="n">
        <v>0</v>
      </c>
      <c r="L173" t="n">
        <v>0.884</v>
      </c>
      <c r="M173" t="n">
        <v>0.116</v>
      </c>
    </row>
    <row r="174" spans="1:13">
      <c r="A174" s="1">
        <f>HYPERLINK("http://www.twitter.com/NathanBLawrence/status/997482721558622208", "997482721558622208")</f>
        <v/>
      </c>
      <c r="B174" s="2" t="n">
        <v>43238.59938657407</v>
      </c>
      <c r="C174" t="n">
        <v>0</v>
      </c>
      <c r="D174" t="n">
        <v>14</v>
      </c>
      <c r="E174" t="s">
        <v>185</v>
      </c>
      <c r="F174" t="s"/>
      <c r="G174" t="s"/>
      <c r="H174" t="s"/>
      <c r="I174" t="s"/>
      <c r="J174" t="n">
        <v>0</v>
      </c>
      <c r="K174" t="n">
        <v>0</v>
      </c>
      <c r="L174" t="n">
        <v>1</v>
      </c>
      <c r="M174" t="n">
        <v>0</v>
      </c>
    </row>
    <row r="175" spans="1:13">
      <c r="A175" s="1">
        <f>HYPERLINK("http://www.twitter.com/NathanBLawrence/status/997482269718786050", "997482269718786050")</f>
        <v/>
      </c>
      <c r="B175" s="2" t="n">
        <v>43238.59814814815</v>
      </c>
      <c r="C175" t="n">
        <v>2</v>
      </c>
      <c r="D175" t="n">
        <v>0</v>
      </c>
      <c r="E175" t="s">
        <v>186</v>
      </c>
      <c r="F175" t="s"/>
      <c r="G175" t="s"/>
      <c r="H175" t="s"/>
      <c r="I175" t="s"/>
      <c r="J175" t="n">
        <v>-0.6946</v>
      </c>
      <c r="K175" t="n">
        <v>0.173</v>
      </c>
      <c r="L175" t="n">
        <v>0.775</v>
      </c>
      <c r="M175" t="n">
        <v>0.052</v>
      </c>
    </row>
    <row r="176" spans="1:13">
      <c r="A176" s="1">
        <f>HYPERLINK("http://www.twitter.com/NathanBLawrence/status/997478794343698433", "997478794343698433")</f>
        <v/>
      </c>
      <c r="B176" s="2" t="n">
        <v>43238.58855324074</v>
      </c>
      <c r="C176" t="n">
        <v>0</v>
      </c>
      <c r="D176" t="n">
        <v>0</v>
      </c>
      <c r="E176" t="s">
        <v>187</v>
      </c>
      <c r="F176" t="s"/>
      <c r="G176" t="s"/>
      <c r="H176" t="s"/>
      <c r="I176" t="s"/>
      <c r="J176" t="n">
        <v>0.6369</v>
      </c>
      <c r="K176" t="n">
        <v>0</v>
      </c>
      <c r="L176" t="n">
        <v>0.802</v>
      </c>
      <c r="M176" t="n">
        <v>0.198</v>
      </c>
    </row>
    <row r="177" spans="1:13">
      <c r="A177" s="1">
        <f>HYPERLINK("http://www.twitter.com/NathanBLawrence/status/997476081992192000", "997476081992192000")</f>
        <v/>
      </c>
      <c r="B177" s="2" t="n">
        <v>43238.58106481482</v>
      </c>
      <c r="C177" t="n">
        <v>0</v>
      </c>
      <c r="D177" t="n">
        <v>0</v>
      </c>
      <c r="E177" t="s">
        <v>188</v>
      </c>
      <c r="F177" t="s"/>
      <c r="G177" t="s"/>
      <c r="H177" t="s"/>
      <c r="I177" t="s"/>
      <c r="J177" t="n">
        <v>0.8211000000000001</v>
      </c>
      <c r="K177" t="n">
        <v>0</v>
      </c>
      <c r="L177" t="n">
        <v>0.803</v>
      </c>
      <c r="M177" t="n">
        <v>0.197</v>
      </c>
    </row>
    <row r="178" spans="1:13">
      <c r="A178" s="1">
        <f>HYPERLINK("http://www.twitter.com/NathanBLawrence/status/997468754803118080", "997468754803118080")</f>
        <v/>
      </c>
      <c r="B178" s="2" t="n">
        <v>43238.56084490741</v>
      </c>
      <c r="C178" t="n">
        <v>0</v>
      </c>
      <c r="D178" t="n">
        <v>0</v>
      </c>
      <c r="E178" t="s">
        <v>189</v>
      </c>
      <c r="F178" t="s"/>
      <c r="G178" t="s"/>
      <c r="H178" t="s"/>
      <c r="I178" t="s"/>
      <c r="J178" t="n">
        <v>-0.5266999999999999</v>
      </c>
      <c r="K178" t="n">
        <v>0.162</v>
      </c>
      <c r="L178" t="n">
        <v>0.769</v>
      </c>
      <c r="M178" t="n">
        <v>0.06900000000000001</v>
      </c>
    </row>
    <row r="179" spans="1:13">
      <c r="A179" s="1">
        <f>HYPERLINK("http://www.twitter.com/NathanBLawrence/status/997467318988001281", "997467318988001281")</f>
        <v/>
      </c>
      <c r="B179" s="2" t="n">
        <v>43238.55688657407</v>
      </c>
      <c r="C179" t="n">
        <v>1</v>
      </c>
      <c r="D179" t="n">
        <v>0</v>
      </c>
      <c r="E179" t="s">
        <v>190</v>
      </c>
      <c r="F179" t="s"/>
      <c r="G179" t="s"/>
      <c r="H179" t="s"/>
      <c r="I179" t="s"/>
      <c r="J179" t="n">
        <v>0.6801</v>
      </c>
      <c r="K179" t="n">
        <v>0.053</v>
      </c>
      <c r="L179" t="n">
        <v>0.72</v>
      </c>
      <c r="M179" t="n">
        <v>0.227</v>
      </c>
    </row>
    <row r="180" spans="1:13">
      <c r="A180" s="1">
        <f>HYPERLINK("http://www.twitter.com/NathanBLawrence/status/997466818586533888", "997466818586533888")</f>
        <v/>
      </c>
      <c r="B180" s="2" t="n">
        <v>43238.55550925926</v>
      </c>
      <c r="C180" t="n">
        <v>0</v>
      </c>
      <c r="D180" t="n">
        <v>0</v>
      </c>
      <c r="E180" t="s">
        <v>191</v>
      </c>
      <c r="F180" t="s"/>
      <c r="G180" t="s"/>
      <c r="H180" t="s"/>
      <c r="I180" t="s"/>
      <c r="J180" t="n">
        <v>0.5411</v>
      </c>
      <c r="K180" t="n">
        <v>0.046</v>
      </c>
      <c r="L180" t="n">
        <v>0.748</v>
      </c>
      <c r="M180" t="n">
        <v>0.206</v>
      </c>
    </row>
    <row r="181" spans="1:13">
      <c r="A181" s="1">
        <f>HYPERLINK("http://www.twitter.com/NathanBLawrence/status/997466511441846273", "997466511441846273")</f>
        <v/>
      </c>
      <c r="B181" s="2" t="n">
        <v>43238.55466435185</v>
      </c>
      <c r="C181" t="n">
        <v>0</v>
      </c>
      <c r="D181" t="n">
        <v>0</v>
      </c>
      <c r="E181" t="s">
        <v>192</v>
      </c>
      <c r="F181" t="s"/>
      <c r="G181" t="s"/>
      <c r="H181" t="s"/>
      <c r="I181" t="s"/>
      <c r="J181" t="n">
        <v>0.2263</v>
      </c>
      <c r="K181" t="n">
        <v>0.192</v>
      </c>
      <c r="L181" t="n">
        <v>0.5600000000000001</v>
      </c>
      <c r="M181" t="n">
        <v>0.248</v>
      </c>
    </row>
    <row r="182" spans="1:13">
      <c r="A182" s="1">
        <f>HYPERLINK("http://www.twitter.com/NathanBLawrence/status/997466148353568769", "997466148353568769")</f>
        <v/>
      </c>
      <c r="B182" s="2" t="n">
        <v>43238.55365740741</v>
      </c>
      <c r="C182" t="n">
        <v>0</v>
      </c>
      <c r="D182" t="n">
        <v>0</v>
      </c>
      <c r="E182" t="s">
        <v>193</v>
      </c>
      <c r="F182" t="s"/>
      <c r="G182" t="s"/>
      <c r="H182" t="s"/>
      <c r="I182" t="s"/>
      <c r="J182" t="n">
        <v>-0.9246</v>
      </c>
      <c r="K182" t="n">
        <v>0.342</v>
      </c>
      <c r="L182" t="n">
        <v>0.5590000000000001</v>
      </c>
      <c r="M182" t="n">
        <v>0.098</v>
      </c>
    </row>
    <row r="183" spans="1:13">
      <c r="A183" s="1">
        <f>HYPERLINK("http://www.twitter.com/NathanBLawrence/status/997465213577416704", "997465213577416704")</f>
        <v/>
      </c>
      <c r="B183" s="2" t="n">
        <v>43238.55107638889</v>
      </c>
      <c r="C183" t="n">
        <v>0</v>
      </c>
      <c r="D183" t="n">
        <v>10</v>
      </c>
      <c r="E183" t="s">
        <v>194</v>
      </c>
      <c r="F183" t="s"/>
      <c r="G183" t="s"/>
      <c r="H183" t="s"/>
      <c r="I183" t="s"/>
      <c r="J183" t="n">
        <v>0.4767</v>
      </c>
      <c r="K183" t="n">
        <v>0.08599999999999999</v>
      </c>
      <c r="L183" t="n">
        <v>0.722</v>
      </c>
      <c r="M183" t="n">
        <v>0.192</v>
      </c>
    </row>
    <row r="184" spans="1:13">
      <c r="A184" s="1">
        <f>HYPERLINK("http://www.twitter.com/NathanBLawrence/status/997464950808436737", "997464950808436737")</f>
        <v/>
      </c>
      <c r="B184" s="2" t="n">
        <v>43238.55034722222</v>
      </c>
      <c r="C184" t="n">
        <v>0</v>
      </c>
      <c r="D184" t="n">
        <v>8</v>
      </c>
      <c r="E184" t="s">
        <v>195</v>
      </c>
      <c r="F184">
        <f>HYPERLINK("https://video.twimg.com/ext_tw_video/997192668462530560/pu/vid/240x240/8z8upb1LwhpRv-51.mp4?tag=3", "https://video.twimg.com/ext_tw_video/997192668462530560/pu/vid/240x240/8z8upb1LwhpRv-51.mp4?tag=3")</f>
        <v/>
      </c>
      <c r="G184" t="s"/>
      <c r="H184" t="s"/>
      <c r="I184" t="s"/>
      <c r="J184" t="n">
        <v>0</v>
      </c>
      <c r="K184" t="n">
        <v>0</v>
      </c>
      <c r="L184" t="n">
        <v>1</v>
      </c>
      <c r="M184" t="n">
        <v>0</v>
      </c>
    </row>
    <row r="185" spans="1:13">
      <c r="A185" s="1">
        <f>HYPERLINK("http://www.twitter.com/NathanBLawrence/status/997464929740435456", "997464929740435456")</f>
        <v/>
      </c>
      <c r="B185" s="2" t="n">
        <v>43238.55028935185</v>
      </c>
      <c r="C185" t="n">
        <v>0</v>
      </c>
      <c r="D185" t="n">
        <v>14</v>
      </c>
      <c r="E185" t="s">
        <v>196</v>
      </c>
      <c r="F185">
        <f>HYPERLINK("https://video.twimg.com/ext_tw_video/997179013641613312/pu/vid/240x240/uoOk75L5w6u69R0X.mp4?tag=3", "https://video.twimg.com/ext_tw_video/997179013641613312/pu/vid/240x240/uoOk75L5w6u69R0X.mp4?tag=3")</f>
        <v/>
      </c>
      <c r="G185" t="s"/>
      <c r="H185" t="s"/>
      <c r="I185" t="s"/>
      <c r="J185" t="n">
        <v>-0.5266999999999999</v>
      </c>
      <c r="K185" t="n">
        <v>0.188</v>
      </c>
      <c r="L185" t="n">
        <v>0.8120000000000001</v>
      </c>
      <c r="M185" t="n">
        <v>0</v>
      </c>
    </row>
    <row r="186" spans="1:13">
      <c r="A186" s="1">
        <f>HYPERLINK("http://www.twitter.com/NathanBLawrence/status/997464450574712832", "997464450574712832")</f>
        <v/>
      </c>
      <c r="B186" s="2" t="n">
        <v>43238.54896990741</v>
      </c>
      <c r="C186" t="n">
        <v>4</v>
      </c>
      <c r="D186" t="n">
        <v>1</v>
      </c>
      <c r="E186" t="s">
        <v>197</v>
      </c>
      <c r="F186" t="s"/>
      <c r="G186" t="s"/>
      <c r="H186" t="s"/>
      <c r="I186" t="s"/>
      <c r="J186" t="n">
        <v>-0.6708</v>
      </c>
      <c r="K186" t="n">
        <v>0.199</v>
      </c>
      <c r="L186" t="n">
        <v>0.698</v>
      </c>
      <c r="M186" t="n">
        <v>0.104</v>
      </c>
    </row>
    <row r="187" spans="1:13">
      <c r="A187" s="1">
        <f>HYPERLINK("http://www.twitter.com/NathanBLawrence/status/997463927272476673", "997463927272476673")</f>
        <v/>
      </c>
      <c r="B187" s="2" t="n">
        <v>43238.54752314815</v>
      </c>
      <c r="C187" t="n">
        <v>0</v>
      </c>
      <c r="D187" t="n">
        <v>226</v>
      </c>
      <c r="E187" t="s">
        <v>198</v>
      </c>
      <c r="F187" t="s"/>
      <c r="G187" t="s"/>
      <c r="H187" t="s"/>
      <c r="I187" t="s"/>
      <c r="J187" t="n">
        <v>0</v>
      </c>
      <c r="K187" t="n">
        <v>0</v>
      </c>
      <c r="L187" t="n">
        <v>1</v>
      </c>
      <c r="M187" t="n">
        <v>0</v>
      </c>
    </row>
    <row r="188" spans="1:13">
      <c r="A188" s="1">
        <f>HYPERLINK("http://www.twitter.com/NathanBLawrence/status/997463321635901441", "997463321635901441")</f>
        <v/>
      </c>
      <c r="B188" s="2" t="n">
        <v>43238.54585648148</v>
      </c>
      <c r="C188" t="n">
        <v>0</v>
      </c>
      <c r="D188" t="n">
        <v>2</v>
      </c>
      <c r="E188" t="s">
        <v>199</v>
      </c>
      <c r="F188" t="s"/>
      <c r="G188" t="s"/>
      <c r="H188" t="s"/>
      <c r="I188" t="s"/>
      <c r="J188" t="n">
        <v>0.4019</v>
      </c>
      <c r="K188" t="n">
        <v>0</v>
      </c>
      <c r="L188" t="n">
        <v>0.895</v>
      </c>
      <c r="M188" t="n">
        <v>0.105</v>
      </c>
    </row>
    <row r="189" spans="1:13">
      <c r="A189" s="1">
        <f>HYPERLINK("http://www.twitter.com/NathanBLawrence/status/997463114944864262", "997463114944864262")</f>
        <v/>
      </c>
      <c r="B189" s="2" t="n">
        <v>43238.54528935185</v>
      </c>
      <c r="C189" t="n">
        <v>0</v>
      </c>
      <c r="D189" t="n">
        <v>0</v>
      </c>
      <c r="E189" t="s">
        <v>200</v>
      </c>
      <c r="F189" t="s"/>
      <c r="G189" t="s"/>
      <c r="H189" t="s"/>
      <c r="I189" t="s"/>
      <c r="J189" t="n">
        <v>0</v>
      </c>
      <c r="K189" t="n">
        <v>0</v>
      </c>
      <c r="L189" t="n">
        <v>1</v>
      </c>
      <c r="M189" t="n">
        <v>0</v>
      </c>
    </row>
    <row r="190" spans="1:13">
      <c r="A190" s="1">
        <f>HYPERLINK("http://www.twitter.com/NathanBLawrence/status/997462255942946816", "997462255942946816")</f>
        <v/>
      </c>
      <c r="B190" s="2" t="n">
        <v>43238.54291666667</v>
      </c>
      <c r="C190" t="n">
        <v>2</v>
      </c>
      <c r="D190" t="n">
        <v>1</v>
      </c>
      <c r="E190" t="s">
        <v>201</v>
      </c>
      <c r="F190" t="s"/>
      <c r="G190" t="s"/>
      <c r="H190" t="s"/>
      <c r="I190" t="s"/>
      <c r="J190" t="n">
        <v>-0.1744</v>
      </c>
      <c r="K190" t="n">
        <v>0.143</v>
      </c>
      <c r="L190" t="n">
        <v>0.745</v>
      </c>
      <c r="M190" t="n">
        <v>0.112</v>
      </c>
    </row>
    <row r="191" spans="1:13">
      <c r="A191" s="1">
        <f>HYPERLINK("http://www.twitter.com/NathanBLawrence/status/997458434256719872", "997458434256719872")</f>
        <v/>
      </c>
      <c r="B191" s="2" t="n">
        <v>43238.53237268519</v>
      </c>
      <c r="C191" t="n">
        <v>0</v>
      </c>
      <c r="D191" t="n">
        <v>0</v>
      </c>
      <c r="E191" t="s">
        <v>202</v>
      </c>
      <c r="F191" t="s"/>
      <c r="G191" t="s"/>
      <c r="H191" t="s"/>
      <c r="I191" t="s"/>
      <c r="J191" t="n">
        <v>0.2942</v>
      </c>
      <c r="K191" t="n">
        <v>0</v>
      </c>
      <c r="L191" t="n">
        <v>0.925</v>
      </c>
      <c r="M191" t="n">
        <v>0.075</v>
      </c>
    </row>
    <row r="192" spans="1:13">
      <c r="A192" s="1">
        <f>HYPERLINK("http://www.twitter.com/NathanBLawrence/status/997453373803724800", "997453373803724800")</f>
        <v/>
      </c>
      <c r="B192" s="2" t="n">
        <v>43238.51840277778</v>
      </c>
      <c r="C192" t="n">
        <v>12</v>
      </c>
      <c r="D192" t="n">
        <v>7</v>
      </c>
      <c r="E192" t="s">
        <v>203</v>
      </c>
      <c r="F192" t="s"/>
      <c r="G192" t="s"/>
      <c r="H192" t="s"/>
      <c r="I192" t="s"/>
      <c r="J192" t="n">
        <v>0.7562</v>
      </c>
      <c r="K192" t="n">
        <v>0.048</v>
      </c>
      <c r="L192" t="n">
        <v>0.781</v>
      </c>
      <c r="M192" t="n">
        <v>0.171</v>
      </c>
    </row>
    <row r="193" spans="1:13">
      <c r="A193" s="1">
        <f>HYPERLINK("http://www.twitter.com/NathanBLawrence/status/997452091709968385", "997452091709968385")</f>
        <v/>
      </c>
      <c r="B193" s="2" t="n">
        <v>43238.51487268518</v>
      </c>
      <c r="C193" t="n">
        <v>0</v>
      </c>
      <c r="D193" t="n">
        <v>0</v>
      </c>
      <c r="E193" t="s">
        <v>204</v>
      </c>
      <c r="F193" t="s"/>
      <c r="G193" t="s"/>
      <c r="H193" t="s"/>
      <c r="I193" t="s"/>
      <c r="J193" t="n">
        <v>0</v>
      </c>
      <c r="K193" t="n">
        <v>0</v>
      </c>
      <c r="L193" t="n">
        <v>1</v>
      </c>
      <c r="M193" t="n">
        <v>0</v>
      </c>
    </row>
    <row r="194" spans="1:13">
      <c r="A194" s="1">
        <f>HYPERLINK("http://www.twitter.com/NathanBLawrence/status/997451801329840134", "997451801329840134")</f>
        <v/>
      </c>
      <c r="B194" s="2" t="n">
        <v>43238.5140625</v>
      </c>
      <c r="C194" t="n">
        <v>0</v>
      </c>
      <c r="D194" t="n">
        <v>0</v>
      </c>
      <c r="E194" t="s">
        <v>205</v>
      </c>
      <c r="F194" t="s"/>
      <c r="G194" t="s"/>
      <c r="H194" t="s"/>
      <c r="I194" t="s"/>
      <c r="J194" t="n">
        <v>-0.7717000000000001</v>
      </c>
      <c r="K194" t="n">
        <v>0.324</v>
      </c>
      <c r="L194" t="n">
        <v>0.676</v>
      </c>
      <c r="M194" t="n">
        <v>0</v>
      </c>
    </row>
    <row r="195" spans="1:13">
      <c r="A195" s="1">
        <f>HYPERLINK("http://www.twitter.com/NathanBLawrence/status/997451462321016833", "997451462321016833")</f>
        <v/>
      </c>
      <c r="B195" s="2" t="n">
        <v>43238.51313657407</v>
      </c>
      <c r="C195" t="n">
        <v>0</v>
      </c>
      <c r="D195" t="n">
        <v>0</v>
      </c>
      <c r="E195" t="s">
        <v>206</v>
      </c>
      <c r="F195" t="s"/>
      <c r="G195" t="s"/>
      <c r="H195" t="s"/>
      <c r="I195" t="s"/>
      <c r="J195" t="n">
        <v>-0.5399</v>
      </c>
      <c r="K195" t="n">
        <v>0.176</v>
      </c>
      <c r="L195" t="n">
        <v>0.765</v>
      </c>
      <c r="M195" t="n">
        <v>0.06</v>
      </c>
    </row>
    <row r="196" spans="1:13">
      <c r="A196" s="1">
        <f>HYPERLINK("http://www.twitter.com/NathanBLawrence/status/997451045071704065", "997451045071704065")</f>
        <v/>
      </c>
      <c r="B196" s="2" t="n">
        <v>43238.51197916667</v>
      </c>
      <c r="C196" t="n">
        <v>0</v>
      </c>
      <c r="D196" t="n">
        <v>0</v>
      </c>
      <c r="E196" t="s">
        <v>207</v>
      </c>
      <c r="F196" t="s"/>
      <c r="G196" t="s"/>
      <c r="H196" t="s"/>
      <c r="I196" t="s"/>
      <c r="J196" t="n">
        <v>-0.6892</v>
      </c>
      <c r="K196" t="n">
        <v>0.232</v>
      </c>
      <c r="L196" t="n">
        <v>0.712</v>
      </c>
      <c r="M196" t="n">
        <v>0.056</v>
      </c>
    </row>
    <row r="197" spans="1:13">
      <c r="A197" s="1">
        <f>HYPERLINK("http://www.twitter.com/NathanBLawrence/status/997450865937182720", "997450865937182720")</f>
        <v/>
      </c>
      <c r="B197" s="2" t="n">
        <v>43238.51148148148</v>
      </c>
      <c r="C197" t="n">
        <v>0</v>
      </c>
      <c r="D197" t="n">
        <v>1</v>
      </c>
      <c r="E197" t="s">
        <v>208</v>
      </c>
      <c r="F197" t="s"/>
      <c r="G197" t="s"/>
      <c r="H197" t="s"/>
      <c r="I197" t="s"/>
      <c r="J197" t="n">
        <v>-0.3182</v>
      </c>
      <c r="K197" t="n">
        <v>0.243</v>
      </c>
      <c r="L197" t="n">
        <v>0.623</v>
      </c>
      <c r="M197" t="n">
        <v>0.134</v>
      </c>
    </row>
    <row r="198" spans="1:13">
      <c r="A198" s="1">
        <f>HYPERLINK("http://www.twitter.com/NathanBLawrence/status/997450805807546369", "997450805807546369")</f>
        <v/>
      </c>
      <c r="B198" s="2" t="n">
        <v>43238.51131944444</v>
      </c>
      <c r="C198" t="n">
        <v>0</v>
      </c>
      <c r="D198" t="n">
        <v>1</v>
      </c>
      <c r="E198" t="s">
        <v>209</v>
      </c>
      <c r="F198" t="s"/>
      <c r="G198" t="s"/>
      <c r="H198" t="s"/>
      <c r="I198" t="s"/>
      <c r="J198" t="n">
        <v>-0.296</v>
      </c>
      <c r="K198" t="n">
        <v>0.216</v>
      </c>
      <c r="L198" t="n">
        <v>0.784</v>
      </c>
      <c r="M198" t="n">
        <v>0</v>
      </c>
    </row>
    <row r="199" spans="1:13">
      <c r="A199" s="1">
        <f>HYPERLINK("http://www.twitter.com/NathanBLawrence/status/997450660554727430", "997450660554727430")</f>
        <v/>
      </c>
      <c r="B199" s="2" t="n">
        <v>43238.51091435185</v>
      </c>
      <c r="C199" t="n">
        <v>0</v>
      </c>
      <c r="D199" t="n">
        <v>0</v>
      </c>
      <c r="E199" t="s">
        <v>210</v>
      </c>
      <c r="F199" t="s"/>
      <c r="G199" t="s"/>
      <c r="H199" t="s"/>
      <c r="I199" t="s"/>
      <c r="J199" t="n">
        <v>-0.3561</v>
      </c>
      <c r="K199" t="n">
        <v>0.108</v>
      </c>
      <c r="L199" t="n">
        <v>0.8129999999999999</v>
      </c>
      <c r="M199" t="n">
        <v>0.079</v>
      </c>
    </row>
    <row r="200" spans="1:13">
      <c r="A200" s="1">
        <f>HYPERLINK("http://www.twitter.com/NathanBLawrence/status/997448270497681409", "997448270497681409")</f>
        <v/>
      </c>
      <c r="B200" s="2" t="n">
        <v>43238.5043287037</v>
      </c>
      <c r="C200" t="n">
        <v>0</v>
      </c>
      <c r="D200" t="n">
        <v>0</v>
      </c>
      <c r="E200" t="s">
        <v>211</v>
      </c>
      <c r="F200" t="s"/>
      <c r="G200" t="s"/>
      <c r="H200" t="s"/>
      <c r="I200" t="s"/>
      <c r="J200" t="n">
        <v>-0.6892</v>
      </c>
      <c r="K200" t="n">
        <v>0.183</v>
      </c>
      <c r="L200" t="n">
        <v>0.778</v>
      </c>
      <c r="M200" t="n">
        <v>0.039</v>
      </c>
    </row>
    <row r="201" spans="1:13">
      <c r="A201" s="1">
        <f>HYPERLINK("http://www.twitter.com/NathanBLawrence/status/997447888560062464", "997447888560062464")</f>
        <v/>
      </c>
      <c r="B201" s="2" t="n">
        <v>43238.50326388889</v>
      </c>
      <c r="C201" t="n">
        <v>0</v>
      </c>
      <c r="D201" t="n">
        <v>2</v>
      </c>
      <c r="E201" t="s">
        <v>212</v>
      </c>
      <c r="F201" t="s"/>
      <c r="G201" t="s"/>
      <c r="H201" t="s"/>
      <c r="I201" t="s"/>
      <c r="J201" t="n">
        <v>0.8126</v>
      </c>
      <c r="K201" t="n">
        <v>0</v>
      </c>
      <c r="L201" t="n">
        <v>0.619</v>
      </c>
      <c r="M201" t="n">
        <v>0.381</v>
      </c>
    </row>
    <row r="202" spans="1:13">
      <c r="A202" s="1">
        <f>HYPERLINK("http://www.twitter.com/NathanBLawrence/status/997447141357387782", "997447141357387782")</f>
        <v/>
      </c>
      <c r="B202" s="2" t="n">
        <v>43238.5012037037</v>
      </c>
      <c r="C202" t="n">
        <v>0</v>
      </c>
      <c r="D202" t="n">
        <v>3</v>
      </c>
      <c r="E202" t="s">
        <v>213</v>
      </c>
      <c r="F202" t="s"/>
      <c r="G202" t="s"/>
      <c r="H202" t="s"/>
      <c r="I202" t="s"/>
      <c r="J202" t="n">
        <v>-0.1263</v>
      </c>
      <c r="K202" t="n">
        <v>0.124</v>
      </c>
      <c r="L202" t="n">
        <v>0.769</v>
      </c>
      <c r="M202" t="n">
        <v>0.106</v>
      </c>
    </row>
    <row r="203" spans="1:13">
      <c r="A203" s="1">
        <f>HYPERLINK("http://www.twitter.com/NathanBLawrence/status/997444331723161600", "997444331723161600")</f>
        <v/>
      </c>
      <c r="B203" s="2" t="n">
        <v>43238.49344907407</v>
      </c>
      <c r="C203" t="n">
        <v>0</v>
      </c>
      <c r="D203" t="n">
        <v>0</v>
      </c>
      <c r="E203" t="s">
        <v>214</v>
      </c>
      <c r="F203" t="s"/>
      <c r="G203" t="s"/>
      <c r="H203" t="s"/>
      <c r="I203" t="s"/>
      <c r="J203" t="n">
        <v>-0.6892</v>
      </c>
      <c r="K203" t="n">
        <v>0.232</v>
      </c>
      <c r="L203" t="n">
        <v>0.712</v>
      </c>
      <c r="M203" t="n">
        <v>0.056</v>
      </c>
    </row>
    <row r="204" spans="1:13">
      <c r="A204" s="1">
        <f>HYPERLINK("http://www.twitter.com/NathanBLawrence/status/997444064671883265", "997444064671883265")</f>
        <v/>
      </c>
      <c r="B204" s="2" t="n">
        <v>43238.49271990741</v>
      </c>
      <c r="C204" t="n">
        <v>0</v>
      </c>
      <c r="D204" t="n">
        <v>0</v>
      </c>
      <c r="E204" t="s">
        <v>215</v>
      </c>
      <c r="F204" t="s"/>
      <c r="G204" t="s"/>
      <c r="H204" t="s"/>
      <c r="I204" t="s"/>
      <c r="J204" t="n">
        <v>-0.2462</v>
      </c>
      <c r="K204" t="n">
        <v>0.123</v>
      </c>
      <c r="L204" t="n">
        <v>0.797</v>
      </c>
      <c r="M204" t="n">
        <v>0.08</v>
      </c>
    </row>
    <row r="205" spans="1:13">
      <c r="A205" s="1">
        <f>HYPERLINK("http://www.twitter.com/NathanBLawrence/status/997443865429921792", "997443865429921792")</f>
        <v/>
      </c>
      <c r="B205" s="2" t="n">
        <v>43238.49216435185</v>
      </c>
      <c r="C205" t="n">
        <v>0</v>
      </c>
      <c r="D205" t="n">
        <v>0</v>
      </c>
      <c r="E205" t="s">
        <v>216</v>
      </c>
      <c r="F205" t="s"/>
      <c r="G205" t="s"/>
      <c r="H205" t="s"/>
      <c r="I205" t="s"/>
      <c r="J205" t="n">
        <v>-0.658</v>
      </c>
      <c r="K205" t="n">
        <v>0.156</v>
      </c>
      <c r="L205" t="n">
        <v>0.8</v>
      </c>
      <c r="M205" t="n">
        <v>0.043</v>
      </c>
    </row>
    <row r="206" spans="1:13">
      <c r="A206" s="1">
        <f>HYPERLINK("http://www.twitter.com/NathanBLawrence/status/997443564111126528", "997443564111126528")</f>
        <v/>
      </c>
      <c r="B206" s="2" t="n">
        <v>43238.49133101852</v>
      </c>
      <c r="C206" t="n">
        <v>2</v>
      </c>
      <c r="D206" t="n">
        <v>0</v>
      </c>
      <c r="E206" t="s">
        <v>217</v>
      </c>
      <c r="F206" t="s"/>
      <c r="G206" t="s"/>
      <c r="H206" t="s"/>
      <c r="I206" t="s"/>
      <c r="J206" t="n">
        <v>-0.5106000000000001</v>
      </c>
      <c r="K206" t="n">
        <v>0.125</v>
      </c>
      <c r="L206" t="n">
        <v>0.875</v>
      </c>
      <c r="M206" t="n">
        <v>0</v>
      </c>
    </row>
    <row r="207" spans="1:13">
      <c r="A207" s="1">
        <f>HYPERLINK("http://www.twitter.com/NathanBLawrence/status/997443127786033152", "997443127786033152")</f>
        <v/>
      </c>
      <c r="B207" s="2" t="n">
        <v>43238.49012731481</v>
      </c>
      <c r="C207" t="n">
        <v>3</v>
      </c>
      <c r="D207" t="n">
        <v>0</v>
      </c>
      <c r="E207" t="s">
        <v>218</v>
      </c>
      <c r="F207" t="s"/>
      <c r="G207" t="s"/>
      <c r="H207" t="s"/>
      <c r="I207" t="s"/>
      <c r="J207" t="n">
        <v>-0.9500999999999999</v>
      </c>
      <c r="K207" t="n">
        <v>0.303</v>
      </c>
      <c r="L207" t="n">
        <v>0.674</v>
      </c>
      <c r="M207" t="n">
        <v>0.023</v>
      </c>
    </row>
    <row r="208" spans="1:13">
      <c r="A208" s="1">
        <f>HYPERLINK("http://www.twitter.com/NathanBLawrence/status/997442288115748871", "997442288115748871")</f>
        <v/>
      </c>
      <c r="B208" s="2" t="n">
        <v>43238.4878125</v>
      </c>
      <c r="C208" t="n">
        <v>0</v>
      </c>
      <c r="D208" t="n">
        <v>2</v>
      </c>
      <c r="E208" t="s">
        <v>219</v>
      </c>
      <c r="F208" t="s"/>
      <c r="G208" t="s"/>
      <c r="H208" t="s"/>
      <c r="I208" t="s"/>
      <c r="J208" t="n">
        <v>-0.4767</v>
      </c>
      <c r="K208" t="n">
        <v>0.162</v>
      </c>
      <c r="L208" t="n">
        <v>0.838</v>
      </c>
      <c r="M208" t="n">
        <v>0</v>
      </c>
    </row>
    <row r="209" spans="1:13">
      <c r="A209" s="1">
        <f>HYPERLINK("http://www.twitter.com/NathanBLawrence/status/997442120758845443", "997442120758845443")</f>
        <v/>
      </c>
      <c r="B209" s="2" t="n">
        <v>43238.48734953703</v>
      </c>
      <c r="C209" t="n">
        <v>0</v>
      </c>
      <c r="D209" t="n">
        <v>0</v>
      </c>
      <c r="E209" t="s">
        <v>220</v>
      </c>
      <c r="F209" t="s"/>
      <c r="G209" t="s"/>
      <c r="H209" t="s"/>
      <c r="I209" t="s"/>
      <c r="J209" t="n">
        <v>0</v>
      </c>
      <c r="K209" t="n">
        <v>0</v>
      </c>
      <c r="L209" t="n">
        <v>1</v>
      </c>
      <c r="M209" t="n">
        <v>0</v>
      </c>
    </row>
    <row r="210" spans="1:13">
      <c r="A210" s="1">
        <f>HYPERLINK("http://www.twitter.com/NathanBLawrence/status/997440885880180738", "997440885880180738")</f>
        <v/>
      </c>
      <c r="B210" s="2" t="n">
        <v>43238.48394675926</v>
      </c>
      <c r="C210" t="n">
        <v>0</v>
      </c>
      <c r="D210" t="n">
        <v>16</v>
      </c>
      <c r="E210" t="s">
        <v>221</v>
      </c>
      <c r="F210" t="s"/>
      <c r="G210" t="s"/>
      <c r="H210" t="s"/>
      <c r="I210" t="s"/>
      <c r="J210" t="n">
        <v>-0.5423</v>
      </c>
      <c r="K210" t="n">
        <v>0.153</v>
      </c>
      <c r="L210" t="n">
        <v>0.847</v>
      </c>
      <c r="M210" t="n">
        <v>0</v>
      </c>
    </row>
    <row r="211" spans="1:13">
      <c r="A211" s="1">
        <f>HYPERLINK("http://www.twitter.com/NathanBLawrence/status/997439762091991040", "997439762091991040")</f>
        <v/>
      </c>
      <c r="B211" s="2" t="n">
        <v>43238.4808449074</v>
      </c>
      <c r="C211" t="n">
        <v>2</v>
      </c>
      <c r="D211" t="n">
        <v>3</v>
      </c>
      <c r="E211" t="s">
        <v>222</v>
      </c>
      <c r="F211" t="s"/>
      <c r="G211" t="s"/>
      <c r="H211" t="s"/>
      <c r="I211" t="s"/>
      <c r="J211" t="n">
        <v>0.5423</v>
      </c>
      <c r="K211" t="n">
        <v>0.065</v>
      </c>
      <c r="L211" t="n">
        <v>0.829</v>
      </c>
      <c r="M211" t="n">
        <v>0.106</v>
      </c>
    </row>
    <row r="212" spans="1:13">
      <c r="A212" s="1">
        <f>HYPERLINK("http://www.twitter.com/NathanBLawrence/status/997323199238037504", "997323199238037504")</f>
        <v/>
      </c>
      <c r="B212" s="2" t="n">
        <v>43238.15918981482</v>
      </c>
      <c r="C212" t="n">
        <v>2</v>
      </c>
      <c r="D212" t="n">
        <v>1</v>
      </c>
      <c r="E212" t="s">
        <v>223</v>
      </c>
      <c r="F212" t="s"/>
      <c r="G212" t="s"/>
      <c r="H212" t="s"/>
      <c r="I212" t="s"/>
      <c r="J212" t="n">
        <v>0.4404</v>
      </c>
      <c r="K212" t="n">
        <v>0</v>
      </c>
      <c r="L212" t="n">
        <v>0.917</v>
      </c>
      <c r="M212" t="n">
        <v>0.083</v>
      </c>
    </row>
    <row r="213" spans="1:13">
      <c r="A213" s="1">
        <f>HYPERLINK("http://www.twitter.com/NathanBLawrence/status/997320055393316864", "997320055393316864")</f>
        <v/>
      </c>
      <c r="B213" s="2" t="n">
        <v>43238.15052083333</v>
      </c>
      <c r="C213" t="n">
        <v>3</v>
      </c>
      <c r="D213" t="n">
        <v>1</v>
      </c>
      <c r="E213" t="s">
        <v>224</v>
      </c>
      <c r="F213" t="s"/>
      <c r="G213" t="s"/>
      <c r="H213" t="s"/>
      <c r="I213" t="s"/>
      <c r="J213" t="n">
        <v>0.128</v>
      </c>
      <c r="K213" t="n">
        <v>0.102</v>
      </c>
      <c r="L213" t="n">
        <v>0.786</v>
      </c>
      <c r="M213" t="n">
        <v>0.112</v>
      </c>
    </row>
    <row r="214" spans="1:13">
      <c r="A214" s="1">
        <f>HYPERLINK("http://www.twitter.com/NathanBLawrence/status/997296158778241024", "997296158778241024")</f>
        <v/>
      </c>
      <c r="B214" s="2" t="n">
        <v>43238.08457175926</v>
      </c>
      <c r="C214" t="n">
        <v>0</v>
      </c>
      <c r="D214" t="n">
        <v>10</v>
      </c>
      <c r="E214" t="s">
        <v>225</v>
      </c>
      <c r="F214" t="s"/>
      <c r="G214" t="s"/>
      <c r="H214" t="s"/>
      <c r="I214" t="s"/>
      <c r="J214" t="n">
        <v>-0.34</v>
      </c>
      <c r="K214" t="n">
        <v>0.155</v>
      </c>
      <c r="L214" t="n">
        <v>0.762</v>
      </c>
      <c r="M214" t="n">
        <v>0.082</v>
      </c>
    </row>
    <row r="215" spans="1:13">
      <c r="A215" s="1">
        <f>HYPERLINK("http://www.twitter.com/NathanBLawrence/status/997294958930546689", "997294958930546689")</f>
        <v/>
      </c>
      <c r="B215" s="2" t="n">
        <v>43238.08126157407</v>
      </c>
      <c r="C215" t="n">
        <v>0</v>
      </c>
      <c r="D215" t="n">
        <v>0</v>
      </c>
      <c r="E215" t="s">
        <v>226</v>
      </c>
      <c r="F215" t="s"/>
      <c r="G215" t="s"/>
      <c r="H215" t="s"/>
      <c r="I215" t="s"/>
      <c r="J215" t="n">
        <v>-0.3182</v>
      </c>
      <c r="K215" t="n">
        <v>0.364</v>
      </c>
      <c r="L215" t="n">
        <v>0.404</v>
      </c>
      <c r="M215" t="n">
        <v>0.232</v>
      </c>
    </row>
    <row r="216" spans="1:13">
      <c r="A216" s="1">
        <f>HYPERLINK("http://www.twitter.com/NathanBLawrence/status/997294200323497985", "997294200323497985")</f>
        <v/>
      </c>
      <c r="B216" s="2" t="n">
        <v>43238.07916666667</v>
      </c>
      <c r="C216" t="n">
        <v>1</v>
      </c>
      <c r="D216" t="n">
        <v>0</v>
      </c>
      <c r="E216" t="s">
        <v>227</v>
      </c>
      <c r="F216" t="s"/>
      <c r="G216" t="s"/>
      <c r="H216" t="s"/>
      <c r="I216" t="s"/>
      <c r="J216" t="n">
        <v>0.34</v>
      </c>
      <c r="K216" t="n">
        <v>0</v>
      </c>
      <c r="L216" t="n">
        <v>0.769</v>
      </c>
      <c r="M216" t="n">
        <v>0.231</v>
      </c>
    </row>
    <row r="217" spans="1:13">
      <c r="A217" s="1">
        <f>HYPERLINK("http://www.twitter.com/NathanBLawrence/status/997293883074711552", "997293883074711552")</f>
        <v/>
      </c>
      <c r="B217" s="2" t="n">
        <v>43238.07829861111</v>
      </c>
      <c r="C217" t="n">
        <v>0</v>
      </c>
      <c r="D217" t="n">
        <v>18</v>
      </c>
      <c r="E217" t="s">
        <v>228</v>
      </c>
      <c r="F217" t="s"/>
      <c r="G217" t="s"/>
      <c r="H217" t="s"/>
      <c r="I217" t="s"/>
      <c r="J217" t="n">
        <v>0.6249</v>
      </c>
      <c r="K217" t="n">
        <v>0</v>
      </c>
      <c r="L217" t="n">
        <v>0.769</v>
      </c>
      <c r="M217" t="n">
        <v>0.231</v>
      </c>
    </row>
    <row r="218" spans="1:13">
      <c r="A218" s="1">
        <f>HYPERLINK("http://www.twitter.com/NathanBLawrence/status/997291807959605253", "997291807959605253")</f>
        <v/>
      </c>
      <c r="B218" s="2" t="n">
        <v>43238.07256944444</v>
      </c>
      <c r="C218" t="n">
        <v>0</v>
      </c>
      <c r="D218" t="n">
        <v>0</v>
      </c>
      <c r="E218" t="s">
        <v>229</v>
      </c>
      <c r="F218" t="s"/>
      <c r="G218" t="s"/>
      <c r="H218" t="s"/>
      <c r="I218" t="s"/>
      <c r="J218" t="n">
        <v>-0.5399</v>
      </c>
      <c r="K218" t="n">
        <v>0.195</v>
      </c>
      <c r="L218" t="n">
        <v>0.738</v>
      </c>
      <c r="M218" t="n">
        <v>0.066</v>
      </c>
    </row>
    <row r="219" spans="1:13">
      <c r="A219" s="1">
        <f>HYPERLINK("http://www.twitter.com/NathanBLawrence/status/997289796681781248", "997289796681781248")</f>
        <v/>
      </c>
      <c r="B219" s="2" t="n">
        <v>43238.06701388889</v>
      </c>
      <c r="C219" t="n">
        <v>0</v>
      </c>
      <c r="D219" t="n">
        <v>0</v>
      </c>
      <c r="E219" t="s">
        <v>230</v>
      </c>
      <c r="F219" t="s"/>
      <c r="G219" t="s"/>
      <c r="H219" t="s"/>
      <c r="I219" t="s"/>
      <c r="J219" t="n">
        <v>0</v>
      </c>
      <c r="K219" t="n">
        <v>0</v>
      </c>
      <c r="L219" t="n">
        <v>1</v>
      </c>
      <c r="M219" t="n">
        <v>0</v>
      </c>
    </row>
    <row r="220" spans="1:13">
      <c r="A220" s="1">
        <f>HYPERLINK("http://www.twitter.com/NathanBLawrence/status/997289253032923136", "997289253032923136")</f>
        <v/>
      </c>
      <c r="B220" s="2" t="n">
        <v>43238.06552083333</v>
      </c>
      <c r="C220" t="n">
        <v>0</v>
      </c>
      <c r="D220" t="n">
        <v>3</v>
      </c>
      <c r="E220" t="s">
        <v>231</v>
      </c>
      <c r="F220" t="s"/>
      <c r="G220" t="s"/>
      <c r="H220" t="s"/>
      <c r="I220" t="s"/>
      <c r="J220" t="n">
        <v>0</v>
      </c>
      <c r="K220" t="n">
        <v>0</v>
      </c>
      <c r="L220" t="n">
        <v>1</v>
      </c>
      <c r="M220" t="n">
        <v>0</v>
      </c>
    </row>
    <row r="221" spans="1:13">
      <c r="A221" s="1">
        <f>HYPERLINK("http://www.twitter.com/NathanBLawrence/status/997289179368304640", "997289179368304640")</f>
        <v/>
      </c>
      <c r="B221" s="2" t="n">
        <v>43238.0653125</v>
      </c>
      <c r="C221" t="n">
        <v>1</v>
      </c>
      <c r="D221" t="n">
        <v>2</v>
      </c>
      <c r="E221" t="s">
        <v>232</v>
      </c>
      <c r="F221" t="s"/>
      <c r="G221" t="s"/>
      <c r="H221" t="s"/>
      <c r="I221" t="s"/>
      <c r="J221" t="n">
        <v>0</v>
      </c>
      <c r="K221" t="n">
        <v>0</v>
      </c>
      <c r="L221" t="n">
        <v>1</v>
      </c>
      <c r="M221" t="n">
        <v>0</v>
      </c>
    </row>
    <row r="222" spans="1:13">
      <c r="A222" s="1">
        <f>HYPERLINK("http://www.twitter.com/NathanBLawrence/status/997284066859929601", "997284066859929601")</f>
        <v/>
      </c>
      <c r="B222" s="2" t="n">
        <v>43238.0512037037</v>
      </c>
      <c r="C222" t="n">
        <v>4</v>
      </c>
      <c r="D222" t="n">
        <v>2</v>
      </c>
      <c r="E222" t="s">
        <v>233</v>
      </c>
      <c r="F222" t="s"/>
      <c r="G222" t="s"/>
      <c r="H222" t="s"/>
      <c r="I222" t="s"/>
      <c r="J222" t="n">
        <v>0.4574</v>
      </c>
      <c r="K222" t="n">
        <v>0</v>
      </c>
      <c r="L222" t="n">
        <v>0.864</v>
      </c>
      <c r="M222" t="n">
        <v>0.136</v>
      </c>
    </row>
    <row r="223" spans="1:13">
      <c r="A223" s="1">
        <f>HYPERLINK("http://www.twitter.com/NathanBLawrence/status/997283407498547200", "997283407498547200")</f>
        <v/>
      </c>
      <c r="B223" s="2" t="n">
        <v>43238.04938657407</v>
      </c>
      <c r="C223" t="n">
        <v>0</v>
      </c>
      <c r="D223" t="n">
        <v>4</v>
      </c>
      <c r="E223" t="s">
        <v>234</v>
      </c>
      <c r="F223" t="s"/>
      <c r="G223" t="s"/>
      <c r="H223" t="s"/>
      <c r="I223" t="s"/>
      <c r="J223" t="n">
        <v>-0.2462</v>
      </c>
      <c r="K223" t="n">
        <v>0.135</v>
      </c>
      <c r="L223" t="n">
        <v>0.777</v>
      </c>
      <c r="M223" t="n">
        <v>0.08699999999999999</v>
      </c>
    </row>
    <row r="224" spans="1:13">
      <c r="A224" s="1">
        <f>HYPERLINK("http://www.twitter.com/NathanBLawrence/status/997283337306718208", "997283337306718208")</f>
        <v/>
      </c>
      <c r="B224" s="2" t="n">
        <v>43238.04918981482</v>
      </c>
      <c r="C224" t="n">
        <v>1</v>
      </c>
      <c r="D224" t="n">
        <v>0</v>
      </c>
      <c r="E224" t="s">
        <v>235</v>
      </c>
      <c r="F224" t="s"/>
      <c r="G224" t="s"/>
      <c r="H224" t="s"/>
      <c r="I224" t="s"/>
      <c r="J224" t="n">
        <v>-0.4767</v>
      </c>
      <c r="K224" t="n">
        <v>0.237</v>
      </c>
      <c r="L224" t="n">
        <v>0.763</v>
      </c>
      <c r="M224" t="n">
        <v>0</v>
      </c>
    </row>
    <row r="225" spans="1:13">
      <c r="A225" s="1">
        <f>HYPERLINK("http://www.twitter.com/NathanBLawrence/status/997282895734730755", "997282895734730755")</f>
        <v/>
      </c>
      <c r="B225" s="2" t="n">
        <v>43238.04797453704</v>
      </c>
      <c r="C225" t="n">
        <v>1</v>
      </c>
      <c r="D225" t="n">
        <v>0</v>
      </c>
      <c r="E225" t="s">
        <v>236</v>
      </c>
      <c r="F225" t="s"/>
      <c r="G225" t="s"/>
      <c r="H225" t="s"/>
      <c r="I225" t="s"/>
      <c r="J225" t="n">
        <v>-0.5386</v>
      </c>
      <c r="K225" t="n">
        <v>0.21</v>
      </c>
      <c r="L225" t="n">
        <v>0.718</v>
      </c>
      <c r="M225" t="n">
        <v>0.07199999999999999</v>
      </c>
    </row>
    <row r="226" spans="1:13">
      <c r="A226" s="1">
        <f>HYPERLINK("http://www.twitter.com/NathanBLawrence/status/997281961893822470", "997281961893822470")</f>
        <v/>
      </c>
      <c r="B226" s="2" t="n">
        <v>43238.04539351852</v>
      </c>
      <c r="C226" t="n">
        <v>0</v>
      </c>
      <c r="D226" t="n">
        <v>2</v>
      </c>
      <c r="E226" t="s">
        <v>237</v>
      </c>
      <c r="F226" t="s"/>
      <c r="G226" t="s"/>
      <c r="H226" t="s"/>
      <c r="I226" t="s"/>
      <c r="J226" t="n">
        <v>0.4724</v>
      </c>
      <c r="K226" t="n">
        <v>0.123</v>
      </c>
      <c r="L226" t="n">
        <v>0.617</v>
      </c>
      <c r="M226" t="n">
        <v>0.259</v>
      </c>
    </row>
    <row r="227" spans="1:13">
      <c r="A227" s="1">
        <f>HYPERLINK("http://www.twitter.com/NathanBLawrence/status/997281607227670528", "997281607227670528")</f>
        <v/>
      </c>
      <c r="B227" s="2" t="n">
        <v>43238.0444212963</v>
      </c>
      <c r="C227" t="n">
        <v>0</v>
      </c>
      <c r="D227" t="n">
        <v>1</v>
      </c>
      <c r="E227" t="s">
        <v>238</v>
      </c>
      <c r="F227" t="s"/>
      <c r="G227" t="s"/>
      <c r="H227" t="s"/>
      <c r="I227" t="s"/>
      <c r="J227" t="n">
        <v>0.4926</v>
      </c>
      <c r="K227" t="n">
        <v>0</v>
      </c>
      <c r="L227" t="n">
        <v>0.8139999999999999</v>
      </c>
      <c r="M227" t="n">
        <v>0.186</v>
      </c>
    </row>
    <row r="228" spans="1:13">
      <c r="A228" s="1">
        <f>HYPERLINK("http://www.twitter.com/NathanBLawrence/status/997281576839983104", "997281576839983104")</f>
        <v/>
      </c>
      <c r="B228" s="2" t="n">
        <v>43238.04434027777</v>
      </c>
      <c r="C228" t="n">
        <v>0</v>
      </c>
      <c r="D228" t="n">
        <v>1</v>
      </c>
      <c r="E228" t="s">
        <v>239</v>
      </c>
      <c r="F228" t="s"/>
      <c r="G228" t="s"/>
      <c r="H228" t="s"/>
      <c r="I228" t="s"/>
      <c r="J228" t="n">
        <v>0.3182</v>
      </c>
      <c r="K228" t="n">
        <v>0</v>
      </c>
      <c r="L228" t="n">
        <v>0.859</v>
      </c>
      <c r="M228" t="n">
        <v>0.141</v>
      </c>
    </row>
    <row r="229" spans="1:13">
      <c r="A229" s="1">
        <f>HYPERLINK("http://www.twitter.com/NathanBLawrence/status/997281534850805760", "997281534850805760")</f>
        <v/>
      </c>
      <c r="B229" s="2" t="n">
        <v>43238.04422453704</v>
      </c>
      <c r="C229" t="n">
        <v>0</v>
      </c>
      <c r="D229" t="n">
        <v>1</v>
      </c>
      <c r="E229" t="s">
        <v>240</v>
      </c>
      <c r="F229" t="s"/>
      <c r="G229" t="s"/>
      <c r="H229" t="s"/>
      <c r="I229" t="s"/>
      <c r="J229" t="n">
        <v>-0.3595</v>
      </c>
      <c r="K229" t="n">
        <v>0.217</v>
      </c>
      <c r="L229" t="n">
        <v>0.783</v>
      </c>
      <c r="M229" t="n">
        <v>0</v>
      </c>
    </row>
    <row r="230" spans="1:13">
      <c r="A230" s="1">
        <f>HYPERLINK("http://www.twitter.com/NathanBLawrence/status/997256272494854145", "997256272494854145")</f>
        <v/>
      </c>
      <c r="B230" s="2" t="n">
        <v>43237.97451388889</v>
      </c>
      <c r="C230" t="n">
        <v>9</v>
      </c>
      <c r="D230" t="n">
        <v>2</v>
      </c>
      <c r="E230" t="s">
        <v>241</v>
      </c>
      <c r="F230" t="s"/>
      <c r="G230" t="s"/>
      <c r="H230" t="s"/>
      <c r="I230" t="s"/>
      <c r="J230" t="n">
        <v>0.4926</v>
      </c>
      <c r="K230" t="n">
        <v>0.13</v>
      </c>
      <c r="L230" t="n">
        <v>0.573</v>
      </c>
      <c r="M230" t="n">
        <v>0.297</v>
      </c>
    </row>
    <row r="231" spans="1:13">
      <c r="A231" s="1">
        <f>HYPERLINK("http://www.twitter.com/NathanBLawrence/status/997255618850418688", "997255618850418688")</f>
        <v/>
      </c>
      <c r="B231" s="2" t="n">
        <v>43237.97270833333</v>
      </c>
      <c r="C231" t="n">
        <v>0</v>
      </c>
      <c r="D231" t="n">
        <v>30</v>
      </c>
      <c r="E231" t="s">
        <v>242</v>
      </c>
      <c r="F231">
        <f>HYPERLINK("http://pbs.twimg.com/media/DdbzPf6UwAA2mfg.jpg", "http://pbs.twimg.com/media/DdbzPf6UwAA2mfg.jpg")</f>
        <v/>
      </c>
      <c r="G231" t="s"/>
      <c r="H231" t="s"/>
      <c r="I231" t="s"/>
      <c r="J231" t="n">
        <v>0.7003</v>
      </c>
      <c r="K231" t="n">
        <v>0</v>
      </c>
      <c r="L231" t="n">
        <v>0.775</v>
      </c>
      <c r="M231" t="n">
        <v>0.225</v>
      </c>
    </row>
    <row r="232" spans="1:13">
      <c r="A232" s="1">
        <f>HYPERLINK("http://www.twitter.com/NathanBLawrence/status/997254799207772161", "997254799207772161")</f>
        <v/>
      </c>
      <c r="B232" s="2" t="n">
        <v>43237.97043981482</v>
      </c>
      <c r="C232" t="n">
        <v>0</v>
      </c>
      <c r="D232" t="n">
        <v>13</v>
      </c>
      <c r="E232" t="s">
        <v>243</v>
      </c>
      <c r="F232" t="s"/>
      <c r="G232" t="s"/>
      <c r="H232" t="s"/>
      <c r="I232" t="s"/>
      <c r="J232" t="n">
        <v>-0.6808</v>
      </c>
      <c r="K232" t="n">
        <v>0.229</v>
      </c>
      <c r="L232" t="n">
        <v>0.714</v>
      </c>
      <c r="M232" t="n">
        <v>0.056</v>
      </c>
    </row>
    <row r="233" spans="1:13">
      <c r="A233" s="1">
        <f>HYPERLINK("http://www.twitter.com/NathanBLawrence/status/997253852691927040", "997253852691927040")</f>
        <v/>
      </c>
      <c r="B233" s="2" t="n">
        <v>43237.96783564815</v>
      </c>
      <c r="C233" t="n">
        <v>0</v>
      </c>
      <c r="D233" t="n">
        <v>2</v>
      </c>
      <c r="E233" t="s">
        <v>244</v>
      </c>
      <c r="F233" t="s"/>
      <c r="G233" t="s"/>
      <c r="H233" t="s"/>
      <c r="I233" t="s"/>
      <c r="J233" t="n">
        <v>-0.5719</v>
      </c>
      <c r="K233" t="n">
        <v>0.239</v>
      </c>
      <c r="L233" t="n">
        <v>0.761</v>
      </c>
      <c r="M233" t="n">
        <v>0</v>
      </c>
    </row>
    <row r="234" spans="1:13">
      <c r="A234" s="1">
        <f>HYPERLINK("http://www.twitter.com/NathanBLawrence/status/997246448226914305", "997246448226914305")</f>
        <v/>
      </c>
      <c r="B234" s="2" t="n">
        <v>43237.94739583333</v>
      </c>
      <c r="C234" t="n">
        <v>0</v>
      </c>
      <c r="D234" t="n">
        <v>0</v>
      </c>
      <c r="E234" t="s">
        <v>245</v>
      </c>
      <c r="F234" t="s"/>
      <c r="G234" t="s"/>
      <c r="H234" t="s"/>
      <c r="I234" t="s"/>
      <c r="J234" t="n">
        <v>-0.5399</v>
      </c>
      <c r="K234" t="n">
        <v>0.165</v>
      </c>
      <c r="L234" t="n">
        <v>0.779</v>
      </c>
      <c r="M234" t="n">
        <v>0.056</v>
      </c>
    </row>
    <row r="235" spans="1:13">
      <c r="A235" s="1">
        <f>HYPERLINK("http://www.twitter.com/NathanBLawrence/status/997245368428613633", "997245368428613633")</f>
        <v/>
      </c>
      <c r="B235" s="2" t="n">
        <v>43237.9444212963</v>
      </c>
      <c r="C235" t="n">
        <v>0</v>
      </c>
      <c r="D235" t="n">
        <v>0</v>
      </c>
      <c r="E235" t="s">
        <v>246</v>
      </c>
      <c r="F235" t="s"/>
      <c r="G235" t="s"/>
      <c r="H235" t="s"/>
      <c r="I235" t="s"/>
      <c r="J235" t="n">
        <v>-0.7901</v>
      </c>
      <c r="K235" t="n">
        <v>0.466</v>
      </c>
      <c r="L235" t="n">
        <v>0.534</v>
      </c>
      <c r="M235" t="n">
        <v>0</v>
      </c>
    </row>
    <row r="236" spans="1:13">
      <c r="A236" s="1">
        <f>HYPERLINK("http://www.twitter.com/NathanBLawrence/status/997244413385564161", "997244413385564161")</f>
        <v/>
      </c>
      <c r="B236" s="2" t="n">
        <v>43237.9417824074</v>
      </c>
      <c r="C236" t="n">
        <v>0</v>
      </c>
      <c r="D236" t="n">
        <v>0</v>
      </c>
      <c r="E236" t="s">
        <v>247</v>
      </c>
      <c r="F236" t="s"/>
      <c r="G236" t="s"/>
      <c r="H236" t="s"/>
      <c r="I236" t="s"/>
      <c r="J236" t="n">
        <v>-0.68</v>
      </c>
      <c r="K236" t="n">
        <v>0.248</v>
      </c>
      <c r="L236" t="n">
        <v>0.752</v>
      </c>
      <c r="M236" t="n">
        <v>0</v>
      </c>
    </row>
    <row r="237" spans="1:13">
      <c r="A237" s="1">
        <f>HYPERLINK("http://www.twitter.com/NathanBLawrence/status/997244088691970048", "997244088691970048")</f>
        <v/>
      </c>
      <c r="B237" s="2" t="n">
        <v>43237.9408912037</v>
      </c>
      <c r="C237" t="n">
        <v>0</v>
      </c>
      <c r="D237" t="n">
        <v>0</v>
      </c>
      <c r="E237" t="s">
        <v>248</v>
      </c>
      <c r="F237" t="s"/>
      <c r="G237" t="s"/>
      <c r="H237" t="s"/>
      <c r="I237" t="s"/>
      <c r="J237" t="n">
        <v>-0.2462</v>
      </c>
      <c r="K237" t="n">
        <v>0.129</v>
      </c>
      <c r="L237" t="n">
        <v>0.788</v>
      </c>
      <c r="M237" t="n">
        <v>0.083</v>
      </c>
    </row>
    <row r="238" spans="1:13">
      <c r="A238" s="1">
        <f>HYPERLINK("http://www.twitter.com/NathanBLawrence/status/997244045012463616", "997244045012463616")</f>
        <v/>
      </c>
      <c r="B238" s="2" t="n">
        <v>43237.94076388889</v>
      </c>
      <c r="C238" t="n">
        <v>0</v>
      </c>
      <c r="D238" t="n">
        <v>0</v>
      </c>
      <c r="E238" t="s">
        <v>249</v>
      </c>
      <c r="F238" t="s"/>
      <c r="G238" t="s"/>
      <c r="H238" t="s"/>
      <c r="I238" t="s"/>
      <c r="J238" t="n">
        <v>-0.3612</v>
      </c>
      <c r="K238" t="n">
        <v>0.277</v>
      </c>
      <c r="L238" t="n">
        <v>0.576</v>
      </c>
      <c r="M238" t="n">
        <v>0.147</v>
      </c>
    </row>
    <row r="239" spans="1:13">
      <c r="A239" s="1">
        <f>HYPERLINK("http://www.twitter.com/NathanBLawrence/status/997243762672898048", "997243762672898048")</f>
        <v/>
      </c>
      <c r="B239" s="2" t="n">
        <v>43237.93998842593</v>
      </c>
      <c r="C239" t="n">
        <v>0</v>
      </c>
      <c r="D239" t="n">
        <v>0</v>
      </c>
      <c r="E239" t="s">
        <v>250</v>
      </c>
      <c r="F239" t="s"/>
      <c r="G239" t="s"/>
      <c r="H239" t="s"/>
      <c r="I239" t="s"/>
      <c r="J239" t="n">
        <v>-0.2462</v>
      </c>
      <c r="K239" t="n">
        <v>0.129</v>
      </c>
      <c r="L239" t="n">
        <v>0.788</v>
      </c>
      <c r="M239" t="n">
        <v>0.083</v>
      </c>
    </row>
    <row r="240" spans="1:13">
      <c r="A240" s="1">
        <f>HYPERLINK("http://www.twitter.com/NathanBLawrence/status/997243600911118337", "997243600911118337")</f>
        <v/>
      </c>
      <c r="B240" s="2" t="n">
        <v>43237.93954861111</v>
      </c>
      <c r="C240" t="n">
        <v>0</v>
      </c>
      <c r="D240" t="n">
        <v>0</v>
      </c>
      <c r="E240" t="s">
        <v>251</v>
      </c>
      <c r="F240" t="s"/>
      <c r="G240" t="s"/>
      <c r="H240" t="s"/>
      <c r="I240" t="s"/>
      <c r="J240" t="n">
        <v>-0.2462</v>
      </c>
      <c r="K240" t="n">
        <v>0.129</v>
      </c>
      <c r="L240" t="n">
        <v>0.788</v>
      </c>
      <c r="M240" t="n">
        <v>0.083</v>
      </c>
    </row>
    <row r="241" spans="1:13">
      <c r="A241" s="1">
        <f>HYPERLINK("http://www.twitter.com/NathanBLawrence/status/997243181505961984", "997243181505961984")</f>
        <v/>
      </c>
      <c r="B241" s="2" t="n">
        <v>43237.9383912037</v>
      </c>
      <c r="C241" t="n">
        <v>0</v>
      </c>
      <c r="D241" t="n">
        <v>0</v>
      </c>
      <c r="E241" t="s">
        <v>252</v>
      </c>
      <c r="F241" t="s"/>
      <c r="G241" t="s"/>
      <c r="H241" t="s"/>
      <c r="I241" t="s"/>
      <c r="J241" t="n">
        <v>-0.2462</v>
      </c>
      <c r="K241" t="n">
        <v>0.129</v>
      </c>
      <c r="L241" t="n">
        <v>0.788</v>
      </c>
      <c r="M241" t="n">
        <v>0.083</v>
      </c>
    </row>
    <row r="242" spans="1:13">
      <c r="A242" s="1">
        <f>HYPERLINK("http://www.twitter.com/NathanBLawrence/status/997242647919169536", "997242647919169536")</f>
        <v/>
      </c>
      <c r="B242" s="2" t="n">
        <v>43237.93690972222</v>
      </c>
      <c r="C242" t="n">
        <v>0</v>
      </c>
      <c r="D242" t="n">
        <v>6</v>
      </c>
      <c r="E242" t="s">
        <v>253</v>
      </c>
      <c r="F242" t="s"/>
      <c r="G242" t="s"/>
      <c r="H242" t="s"/>
      <c r="I242" t="s"/>
      <c r="J242" t="n">
        <v>-0.3566</v>
      </c>
      <c r="K242" t="n">
        <v>0.133</v>
      </c>
      <c r="L242" t="n">
        <v>0.799</v>
      </c>
      <c r="M242" t="n">
        <v>0.068</v>
      </c>
    </row>
    <row r="243" spans="1:13">
      <c r="A243" s="1">
        <f>HYPERLINK("http://www.twitter.com/NathanBLawrence/status/997242606697504772", "997242606697504772")</f>
        <v/>
      </c>
      <c r="B243" s="2" t="n">
        <v>43237.93679398148</v>
      </c>
      <c r="C243" t="n">
        <v>3</v>
      </c>
      <c r="D243" t="n">
        <v>0</v>
      </c>
      <c r="E243" t="s">
        <v>254</v>
      </c>
      <c r="F243" t="s"/>
      <c r="G243" t="s"/>
      <c r="H243" t="s"/>
      <c r="I243" t="s"/>
      <c r="J243" t="n">
        <v>-0.5574</v>
      </c>
      <c r="K243" t="n">
        <v>0.372</v>
      </c>
      <c r="L243" t="n">
        <v>0.465</v>
      </c>
      <c r="M243" t="n">
        <v>0.163</v>
      </c>
    </row>
    <row r="244" spans="1:13">
      <c r="A244" s="1">
        <f>HYPERLINK("http://www.twitter.com/NathanBLawrence/status/997242065988784139", "997242065988784139")</f>
        <v/>
      </c>
      <c r="B244" s="2" t="n">
        <v>43237.9353125</v>
      </c>
      <c r="C244" t="n">
        <v>1</v>
      </c>
      <c r="D244" t="n">
        <v>2</v>
      </c>
      <c r="E244" t="s">
        <v>255</v>
      </c>
      <c r="F244" t="s"/>
      <c r="G244" t="s"/>
      <c r="H244" t="s"/>
      <c r="I244" t="s"/>
      <c r="J244" t="n">
        <v>-0.639</v>
      </c>
      <c r="K244" t="n">
        <v>0.141</v>
      </c>
      <c r="L244" t="n">
        <v>0.8169999999999999</v>
      </c>
      <c r="M244" t="n">
        <v>0.042</v>
      </c>
    </row>
    <row r="245" spans="1:13">
      <c r="A245" s="1">
        <f>HYPERLINK("http://www.twitter.com/NathanBLawrence/status/997241695669571586", "997241695669571586")</f>
        <v/>
      </c>
      <c r="B245" s="2" t="n">
        <v>43237.9342824074</v>
      </c>
      <c r="C245" t="n">
        <v>0</v>
      </c>
      <c r="D245" t="n">
        <v>0</v>
      </c>
      <c r="E245" t="s">
        <v>256</v>
      </c>
      <c r="F245" t="s"/>
      <c r="G245" t="s"/>
      <c r="H245" t="s"/>
      <c r="I245" t="s"/>
      <c r="J245" t="n">
        <v>-0.7519</v>
      </c>
      <c r="K245" t="n">
        <v>0.249</v>
      </c>
      <c r="L245" t="n">
        <v>0.697</v>
      </c>
      <c r="M245" t="n">
        <v>0.055</v>
      </c>
    </row>
    <row r="246" spans="1:13">
      <c r="A246" s="1">
        <f>HYPERLINK("http://www.twitter.com/NathanBLawrence/status/997240237817516035", "997240237817516035")</f>
        <v/>
      </c>
      <c r="B246" s="2" t="n">
        <v>43237.9302662037</v>
      </c>
      <c r="C246" t="n">
        <v>0</v>
      </c>
      <c r="D246" t="n">
        <v>0</v>
      </c>
      <c r="E246" t="s">
        <v>257</v>
      </c>
      <c r="F246" t="s"/>
      <c r="G246" t="s"/>
      <c r="H246" t="s"/>
      <c r="I246" t="s"/>
      <c r="J246" t="n">
        <v>-0.9156</v>
      </c>
      <c r="K246" t="n">
        <v>0.259</v>
      </c>
      <c r="L246" t="n">
        <v>0.709</v>
      </c>
      <c r="M246" t="n">
        <v>0.032</v>
      </c>
    </row>
    <row r="247" spans="1:13">
      <c r="A247" s="1">
        <f>HYPERLINK("http://www.twitter.com/NathanBLawrence/status/997239477474127872", "997239477474127872")</f>
        <v/>
      </c>
      <c r="B247" s="2" t="n">
        <v>43237.92815972222</v>
      </c>
      <c r="C247" t="n">
        <v>0</v>
      </c>
      <c r="D247" t="n">
        <v>0</v>
      </c>
      <c r="E247" t="s">
        <v>258</v>
      </c>
      <c r="F247" t="s"/>
      <c r="G247" t="s"/>
      <c r="H247" t="s"/>
      <c r="I247" t="s"/>
      <c r="J247" t="n">
        <v>-0.6892</v>
      </c>
      <c r="K247" t="n">
        <v>0.155</v>
      </c>
      <c r="L247" t="n">
        <v>0.8080000000000001</v>
      </c>
      <c r="M247" t="n">
        <v>0.037</v>
      </c>
    </row>
    <row r="248" spans="1:13">
      <c r="A248" s="1">
        <f>HYPERLINK("http://www.twitter.com/NathanBLawrence/status/997237989448257537", "997237989448257537")</f>
        <v/>
      </c>
      <c r="B248" s="2" t="n">
        <v>43237.9240625</v>
      </c>
      <c r="C248" t="n">
        <v>1</v>
      </c>
      <c r="D248" t="n">
        <v>0</v>
      </c>
      <c r="E248" t="s">
        <v>259</v>
      </c>
      <c r="F248" t="s"/>
      <c r="G248" t="s"/>
      <c r="H248" t="s"/>
      <c r="I248" t="s"/>
      <c r="J248" t="n">
        <v>0.6249</v>
      </c>
      <c r="K248" t="n">
        <v>0</v>
      </c>
      <c r="L248" t="n">
        <v>0.423</v>
      </c>
      <c r="M248" t="n">
        <v>0.577</v>
      </c>
    </row>
    <row r="249" spans="1:13">
      <c r="A249" s="1">
        <f>HYPERLINK("http://www.twitter.com/NathanBLawrence/status/997237861446488065", "997237861446488065")</f>
        <v/>
      </c>
      <c r="B249" s="2" t="n">
        <v>43237.9237037037</v>
      </c>
      <c r="C249" t="n">
        <v>0</v>
      </c>
      <c r="D249" t="n">
        <v>1</v>
      </c>
      <c r="E249" t="s">
        <v>260</v>
      </c>
      <c r="F249" t="s"/>
      <c r="G249" t="s"/>
      <c r="H249" t="s"/>
      <c r="I249" t="s"/>
      <c r="J249" t="n">
        <v>0</v>
      </c>
      <c r="K249" t="n">
        <v>0</v>
      </c>
      <c r="L249" t="n">
        <v>1</v>
      </c>
      <c r="M249" t="n">
        <v>0</v>
      </c>
    </row>
    <row r="250" spans="1:13">
      <c r="A250" s="1">
        <f>HYPERLINK("http://www.twitter.com/NathanBLawrence/status/997237173693960193", "997237173693960193")</f>
        <v/>
      </c>
      <c r="B250" s="2" t="n">
        <v>43237.92180555555</v>
      </c>
      <c r="C250" t="n">
        <v>7</v>
      </c>
      <c r="D250" t="n">
        <v>4</v>
      </c>
      <c r="E250" t="s">
        <v>261</v>
      </c>
      <c r="F250" t="s"/>
      <c r="G250" t="s"/>
      <c r="H250" t="s"/>
      <c r="I250" t="s"/>
      <c r="J250" t="n">
        <v>-0.6892</v>
      </c>
      <c r="K250" t="n">
        <v>0.239</v>
      </c>
      <c r="L250" t="n">
        <v>0.703</v>
      </c>
      <c r="M250" t="n">
        <v>0.058</v>
      </c>
    </row>
    <row r="251" spans="1:13">
      <c r="A251" s="1">
        <f>HYPERLINK("http://www.twitter.com/NathanBLawrence/status/997237032765263878", "997237032765263878")</f>
        <v/>
      </c>
      <c r="B251" s="2" t="n">
        <v>43237.92142361111</v>
      </c>
      <c r="C251" t="n">
        <v>0</v>
      </c>
      <c r="D251" t="n">
        <v>0</v>
      </c>
      <c r="E251" t="s">
        <v>262</v>
      </c>
      <c r="F251" t="s"/>
      <c r="G251" t="s"/>
      <c r="H251" t="s"/>
      <c r="I251" t="s"/>
      <c r="J251" t="n">
        <v>-0.2462</v>
      </c>
      <c r="K251" t="n">
        <v>0.109</v>
      </c>
      <c r="L251" t="n">
        <v>0.821</v>
      </c>
      <c r="M251" t="n">
        <v>0.07000000000000001</v>
      </c>
    </row>
    <row r="252" spans="1:13">
      <c r="A252" s="1">
        <f>HYPERLINK("http://www.twitter.com/NathanBLawrence/status/997236746495647744", "997236746495647744")</f>
        <v/>
      </c>
      <c r="B252" s="2" t="n">
        <v>43237.920625</v>
      </c>
      <c r="C252" t="n">
        <v>4</v>
      </c>
      <c r="D252" t="n">
        <v>3</v>
      </c>
      <c r="E252" t="s">
        <v>263</v>
      </c>
      <c r="F252" t="s"/>
      <c r="G252" t="s"/>
      <c r="H252" t="s"/>
      <c r="I252" t="s"/>
      <c r="J252" t="n">
        <v>-0.5399</v>
      </c>
      <c r="K252" t="n">
        <v>0.117</v>
      </c>
      <c r="L252" t="n">
        <v>0.843</v>
      </c>
      <c r="M252" t="n">
        <v>0.04</v>
      </c>
    </row>
    <row r="253" spans="1:13">
      <c r="A253" s="1">
        <f>HYPERLINK("http://www.twitter.com/NathanBLawrence/status/997235008296423425", "997235008296423425")</f>
        <v/>
      </c>
      <c r="B253" s="2" t="n">
        <v>43237.91583333333</v>
      </c>
      <c r="C253" t="n">
        <v>2</v>
      </c>
      <c r="D253" t="n">
        <v>0</v>
      </c>
      <c r="E253" t="s">
        <v>264</v>
      </c>
      <c r="F253" t="s"/>
      <c r="G253" t="s"/>
      <c r="H253" t="s"/>
      <c r="I253" t="s"/>
      <c r="J253" t="n">
        <v>0</v>
      </c>
      <c r="K253" t="n">
        <v>0</v>
      </c>
      <c r="L253" t="n">
        <v>1</v>
      </c>
      <c r="M253" t="n">
        <v>0</v>
      </c>
    </row>
    <row r="254" spans="1:13">
      <c r="A254" s="1">
        <f>HYPERLINK("http://www.twitter.com/NathanBLawrence/status/997234407797874691", "997234407797874691")</f>
        <v/>
      </c>
      <c r="B254" s="2" t="n">
        <v>43237.91417824074</v>
      </c>
      <c r="C254" t="n">
        <v>1</v>
      </c>
      <c r="D254" t="n">
        <v>0</v>
      </c>
      <c r="E254" t="s">
        <v>265</v>
      </c>
      <c r="F254" t="s"/>
      <c r="G254" t="s"/>
      <c r="H254" t="s"/>
      <c r="I254" t="s"/>
      <c r="J254" t="n">
        <v>-0.34</v>
      </c>
      <c r="K254" t="n">
        <v>0.131</v>
      </c>
      <c r="L254" t="n">
        <v>0.759</v>
      </c>
      <c r="M254" t="n">
        <v>0.11</v>
      </c>
    </row>
    <row r="255" spans="1:13">
      <c r="A255" s="1">
        <f>HYPERLINK("http://www.twitter.com/NathanBLawrence/status/997232921936322565", "997232921936322565")</f>
        <v/>
      </c>
      <c r="B255" s="2" t="n">
        <v>43237.91006944444</v>
      </c>
      <c r="C255" t="n">
        <v>5</v>
      </c>
      <c r="D255" t="n">
        <v>2</v>
      </c>
      <c r="E255" t="s">
        <v>266</v>
      </c>
      <c r="F255" t="s"/>
      <c r="G255" t="s"/>
      <c r="H255" t="s"/>
      <c r="I255" t="s"/>
      <c r="J255" t="n">
        <v>-0.3612</v>
      </c>
      <c r="K255" t="n">
        <v>0.333</v>
      </c>
      <c r="L255" t="n">
        <v>0.667</v>
      </c>
      <c r="M255" t="n">
        <v>0</v>
      </c>
    </row>
    <row r="256" spans="1:13">
      <c r="A256" s="1">
        <f>HYPERLINK("http://www.twitter.com/NathanBLawrence/status/997232856698163200", "997232856698163200")</f>
        <v/>
      </c>
      <c r="B256" s="2" t="n">
        <v>43237.90989583333</v>
      </c>
      <c r="C256" t="n">
        <v>1</v>
      </c>
      <c r="D256" t="n">
        <v>0</v>
      </c>
      <c r="E256" t="s">
        <v>267</v>
      </c>
      <c r="F256" t="s"/>
      <c r="G256" t="s"/>
      <c r="H256" t="s"/>
      <c r="I256" t="s"/>
      <c r="J256" t="n">
        <v>-0.2462</v>
      </c>
      <c r="K256" t="n">
        <v>0.129</v>
      </c>
      <c r="L256" t="n">
        <v>0.788</v>
      </c>
      <c r="M256" t="n">
        <v>0.083</v>
      </c>
    </row>
    <row r="257" spans="1:13">
      <c r="A257" s="1">
        <f>HYPERLINK("http://www.twitter.com/NathanBLawrence/status/997232047231000577", "997232047231000577")</f>
        <v/>
      </c>
      <c r="B257" s="2" t="n">
        <v>43237.90766203704</v>
      </c>
      <c r="C257" t="n">
        <v>2</v>
      </c>
      <c r="D257" t="n">
        <v>0</v>
      </c>
      <c r="E257" t="s">
        <v>268</v>
      </c>
      <c r="F257" t="s"/>
      <c r="G257" t="s"/>
      <c r="H257" t="s"/>
      <c r="I257" t="s"/>
      <c r="J257" t="n">
        <v>-0.7506</v>
      </c>
      <c r="K257" t="n">
        <v>0.167</v>
      </c>
      <c r="L257" t="n">
        <v>0.833</v>
      </c>
      <c r="M257" t="n">
        <v>0</v>
      </c>
    </row>
    <row r="258" spans="1:13">
      <c r="A258" s="1">
        <f>HYPERLINK("http://www.twitter.com/NathanBLawrence/status/997230882158186496", "997230882158186496")</f>
        <v/>
      </c>
      <c r="B258" s="2" t="n">
        <v>43237.90444444444</v>
      </c>
      <c r="C258" t="n">
        <v>0</v>
      </c>
      <c r="D258" t="n">
        <v>0</v>
      </c>
      <c r="E258" t="s">
        <v>269</v>
      </c>
      <c r="F258" t="s"/>
      <c r="G258" t="s"/>
      <c r="H258" t="s"/>
      <c r="I258" t="s"/>
      <c r="J258" t="n">
        <v>0</v>
      </c>
      <c r="K258" t="n">
        <v>0</v>
      </c>
      <c r="L258" t="n">
        <v>1</v>
      </c>
      <c r="M258" t="n">
        <v>0</v>
      </c>
    </row>
    <row r="259" spans="1:13">
      <c r="A259" s="1">
        <f>HYPERLINK("http://www.twitter.com/NathanBLawrence/status/997230172771405824", "997230172771405824")</f>
        <v/>
      </c>
      <c r="B259" s="2" t="n">
        <v>43237.90248842593</v>
      </c>
      <c r="C259" t="n">
        <v>0</v>
      </c>
      <c r="D259" t="n">
        <v>0</v>
      </c>
      <c r="E259" t="s">
        <v>270</v>
      </c>
      <c r="F259" t="s"/>
      <c r="G259" t="s"/>
      <c r="H259" t="s"/>
      <c r="I259" t="s"/>
      <c r="J259" t="n">
        <v>-0.3695</v>
      </c>
      <c r="K259" t="n">
        <v>0.124</v>
      </c>
      <c r="L259" t="n">
        <v>0.8179999999999999</v>
      </c>
      <c r="M259" t="n">
        <v>0.059</v>
      </c>
    </row>
    <row r="260" spans="1:13">
      <c r="A260" s="1">
        <f>HYPERLINK("http://www.twitter.com/NathanBLawrence/status/997228017251508224", "997228017251508224")</f>
        <v/>
      </c>
      <c r="B260" s="2" t="n">
        <v>43237.89653935185</v>
      </c>
      <c r="C260" t="n">
        <v>2</v>
      </c>
      <c r="D260" t="n">
        <v>1</v>
      </c>
      <c r="E260" t="s">
        <v>271</v>
      </c>
      <c r="F260" t="s"/>
      <c r="G260" t="s"/>
      <c r="H260" t="s"/>
      <c r="I260" t="s"/>
      <c r="J260" t="n">
        <v>-0.6792</v>
      </c>
      <c r="K260" t="n">
        <v>0.114</v>
      </c>
      <c r="L260" t="n">
        <v>0.851</v>
      </c>
      <c r="M260" t="n">
        <v>0.035</v>
      </c>
    </row>
    <row r="261" spans="1:13">
      <c r="A261" s="1">
        <f>HYPERLINK("http://www.twitter.com/NathanBLawrence/status/997222431147339776", "997222431147339776")</f>
        <v/>
      </c>
      <c r="B261" s="2" t="n">
        <v>43237.88112268518</v>
      </c>
      <c r="C261" t="n">
        <v>0</v>
      </c>
      <c r="D261" t="n">
        <v>0</v>
      </c>
      <c r="E261" t="s">
        <v>272</v>
      </c>
      <c r="F261" t="s"/>
      <c r="G261" t="s"/>
      <c r="H261" t="s"/>
      <c r="I261" t="s"/>
      <c r="J261" t="n">
        <v>-0.2462</v>
      </c>
      <c r="K261" t="n">
        <v>0.129</v>
      </c>
      <c r="L261" t="n">
        <v>0.788</v>
      </c>
      <c r="M261" t="n">
        <v>0.083</v>
      </c>
    </row>
    <row r="262" spans="1:13">
      <c r="A262" s="1">
        <f>HYPERLINK("http://www.twitter.com/NathanBLawrence/status/997222252998479877", "997222252998479877")</f>
        <v/>
      </c>
      <c r="B262" s="2" t="n">
        <v>43237.88063657407</v>
      </c>
      <c r="C262" t="n">
        <v>0</v>
      </c>
      <c r="D262" t="n">
        <v>0</v>
      </c>
      <c r="E262" t="s">
        <v>273</v>
      </c>
      <c r="F262" t="s"/>
      <c r="G262" t="s"/>
      <c r="H262" t="s"/>
      <c r="I262" t="s"/>
      <c r="J262" t="n">
        <v>-0.2462</v>
      </c>
      <c r="K262" t="n">
        <v>0.129</v>
      </c>
      <c r="L262" t="n">
        <v>0.788</v>
      </c>
      <c r="M262" t="n">
        <v>0.083</v>
      </c>
    </row>
    <row r="263" spans="1:13">
      <c r="A263" s="1">
        <f>HYPERLINK("http://www.twitter.com/NathanBLawrence/status/997217444090478593", "997217444090478593")</f>
        <v/>
      </c>
      <c r="B263" s="2" t="n">
        <v>43237.86736111111</v>
      </c>
      <c r="C263" t="n">
        <v>2</v>
      </c>
      <c r="D263" t="n">
        <v>0</v>
      </c>
      <c r="E263" t="s">
        <v>274</v>
      </c>
      <c r="F263" t="s"/>
      <c r="G263" t="s"/>
      <c r="H263" t="s"/>
      <c r="I263" t="s"/>
      <c r="J263" t="n">
        <v>-0.1739</v>
      </c>
      <c r="K263" t="n">
        <v>0.061</v>
      </c>
      <c r="L263" t="n">
        <v>0.836</v>
      </c>
      <c r="M263" t="n">
        <v>0.103</v>
      </c>
    </row>
    <row r="264" spans="1:13">
      <c r="A264" s="1">
        <f>HYPERLINK("http://www.twitter.com/NathanBLawrence/status/997217249550356481", "997217249550356481")</f>
        <v/>
      </c>
      <c r="B264" s="2" t="n">
        <v>43237.86682870371</v>
      </c>
      <c r="C264" t="n">
        <v>0</v>
      </c>
      <c r="D264" t="n">
        <v>0</v>
      </c>
      <c r="E264" t="s">
        <v>275</v>
      </c>
      <c r="F264" t="s"/>
      <c r="G264" t="s"/>
      <c r="H264" t="s"/>
      <c r="I264" t="s"/>
      <c r="J264" t="n">
        <v>-0.4912</v>
      </c>
      <c r="K264" t="n">
        <v>0.143</v>
      </c>
      <c r="L264" t="n">
        <v>0.805</v>
      </c>
      <c r="M264" t="n">
        <v>0.052</v>
      </c>
    </row>
    <row r="265" spans="1:13">
      <c r="A265" s="1">
        <f>HYPERLINK("http://www.twitter.com/NathanBLawrence/status/997217075033726977", "997217075033726977")</f>
        <v/>
      </c>
      <c r="B265" s="2" t="n">
        <v>43237.86634259259</v>
      </c>
      <c r="C265" t="n">
        <v>0</v>
      </c>
      <c r="D265" t="n">
        <v>0</v>
      </c>
      <c r="E265" t="s">
        <v>276</v>
      </c>
      <c r="F265" t="s"/>
      <c r="G265" t="s"/>
      <c r="H265" t="s"/>
      <c r="I265" t="s"/>
      <c r="J265" t="n">
        <v>-0.5827</v>
      </c>
      <c r="K265" t="n">
        <v>0.204</v>
      </c>
      <c r="L265" t="n">
        <v>0.731</v>
      </c>
      <c r="M265" t="n">
        <v>0.066</v>
      </c>
    </row>
    <row r="266" spans="1:13">
      <c r="A266" s="1">
        <f>HYPERLINK("http://www.twitter.com/NathanBLawrence/status/997213839409274881", "997213839409274881")</f>
        <v/>
      </c>
      <c r="B266" s="2" t="n">
        <v>43237.85741898148</v>
      </c>
      <c r="C266" t="n">
        <v>0</v>
      </c>
      <c r="D266" t="n">
        <v>0</v>
      </c>
      <c r="E266" t="s">
        <v>277</v>
      </c>
      <c r="F266" t="s"/>
      <c r="G266" t="s"/>
      <c r="H266" t="s"/>
      <c r="I266" t="s"/>
      <c r="J266" t="n">
        <v>-0.2462</v>
      </c>
      <c r="K266" t="n">
        <v>0.129</v>
      </c>
      <c r="L266" t="n">
        <v>0.788</v>
      </c>
      <c r="M266" t="n">
        <v>0.083</v>
      </c>
    </row>
    <row r="267" spans="1:13">
      <c r="A267" s="1">
        <f>HYPERLINK("http://www.twitter.com/NathanBLawrence/status/997213736309059585", "997213736309059585")</f>
        <v/>
      </c>
      <c r="B267" s="2" t="n">
        <v>43237.85712962963</v>
      </c>
      <c r="C267" t="n">
        <v>0</v>
      </c>
      <c r="D267" t="n">
        <v>0</v>
      </c>
      <c r="E267" t="s">
        <v>278</v>
      </c>
      <c r="F267" t="s"/>
      <c r="G267" t="s"/>
      <c r="H267" t="s"/>
      <c r="I267" t="s"/>
      <c r="J267" t="n">
        <v>-0.2462</v>
      </c>
      <c r="K267" t="n">
        <v>0.129</v>
      </c>
      <c r="L267" t="n">
        <v>0.788</v>
      </c>
      <c r="M267" t="n">
        <v>0.083</v>
      </c>
    </row>
    <row r="268" spans="1:13">
      <c r="A268" s="1">
        <f>HYPERLINK("http://www.twitter.com/NathanBLawrence/status/997213570206175232", "997213570206175232")</f>
        <v/>
      </c>
      <c r="B268" s="2" t="n">
        <v>43237.85667824074</v>
      </c>
      <c r="C268" t="n">
        <v>0</v>
      </c>
      <c r="D268" t="n">
        <v>0</v>
      </c>
      <c r="E268" t="s">
        <v>279</v>
      </c>
      <c r="F268" t="s"/>
      <c r="G268" t="s"/>
      <c r="H268" t="s"/>
      <c r="I268" t="s"/>
      <c r="J268" t="n">
        <v>-0.2462</v>
      </c>
      <c r="K268" t="n">
        <v>0.129</v>
      </c>
      <c r="L268" t="n">
        <v>0.788</v>
      </c>
      <c r="M268" t="n">
        <v>0.083</v>
      </c>
    </row>
    <row r="269" spans="1:13">
      <c r="A269" s="1">
        <f>HYPERLINK("http://www.twitter.com/NathanBLawrence/status/997213445006266368", "997213445006266368")</f>
        <v/>
      </c>
      <c r="B269" s="2" t="n">
        <v>43237.85633101852</v>
      </c>
      <c r="C269" t="n">
        <v>0</v>
      </c>
      <c r="D269" t="n">
        <v>0</v>
      </c>
      <c r="E269" t="s">
        <v>280</v>
      </c>
      <c r="F269" t="s"/>
      <c r="G269" t="s"/>
      <c r="H269" t="s"/>
      <c r="I269" t="s"/>
      <c r="J269" t="n">
        <v>-0.2462</v>
      </c>
      <c r="K269" t="n">
        <v>0.123</v>
      </c>
      <c r="L269" t="n">
        <v>0.797</v>
      </c>
      <c r="M269" t="n">
        <v>0.08</v>
      </c>
    </row>
    <row r="270" spans="1:13">
      <c r="A270" s="1">
        <f>HYPERLINK("http://www.twitter.com/NathanBLawrence/status/997213236108947462", "997213236108947462")</f>
        <v/>
      </c>
      <c r="B270" s="2" t="n">
        <v>43237.85575231481</v>
      </c>
      <c r="C270" t="n">
        <v>0</v>
      </c>
      <c r="D270" t="n">
        <v>0</v>
      </c>
      <c r="E270" t="s">
        <v>281</v>
      </c>
      <c r="F270" t="s"/>
      <c r="G270" t="s"/>
      <c r="H270" t="s"/>
      <c r="I270" t="s"/>
      <c r="J270" t="n">
        <v>-0.2462</v>
      </c>
      <c r="K270" t="n">
        <v>0.123</v>
      </c>
      <c r="L270" t="n">
        <v>0.797</v>
      </c>
      <c r="M270" t="n">
        <v>0.08</v>
      </c>
    </row>
    <row r="271" spans="1:13">
      <c r="A271" s="1">
        <f>HYPERLINK("http://www.twitter.com/NathanBLawrence/status/997213147596492800", "997213147596492800")</f>
        <v/>
      </c>
      <c r="B271" s="2" t="n">
        <v>43237.85550925926</v>
      </c>
      <c r="C271" t="n">
        <v>0</v>
      </c>
      <c r="D271" t="n">
        <v>0</v>
      </c>
      <c r="E271" t="s">
        <v>282</v>
      </c>
      <c r="F271" t="s"/>
      <c r="G271" t="s"/>
      <c r="H271" t="s"/>
      <c r="I271" t="s"/>
      <c r="J271" t="n">
        <v>-0.2462</v>
      </c>
      <c r="K271" t="n">
        <v>0.129</v>
      </c>
      <c r="L271" t="n">
        <v>0.788</v>
      </c>
      <c r="M271" t="n">
        <v>0.083</v>
      </c>
    </row>
    <row r="272" spans="1:13">
      <c r="A272" s="1">
        <f>HYPERLINK("http://www.twitter.com/NathanBLawrence/status/997213019204718592", "997213019204718592")</f>
        <v/>
      </c>
      <c r="B272" s="2" t="n">
        <v>43237.85515046296</v>
      </c>
      <c r="C272" t="n">
        <v>0</v>
      </c>
      <c r="D272" t="n">
        <v>0</v>
      </c>
      <c r="E272" t="s">
        <v>283</v>
      </c>
      <c r="F272" t="s"/>
      <c r="G272" t="s"/>
      <c r="H272" t="s"/>
      <c r="I272" t="s"/>
      <c r="J272" t="n">
        <v>-0.2462</v>
      </c>
      <c r="K272" t="n">
        <v>0.123</v>
      </c>
      <c r="L272" t="n">
        <v>0.797</v>
      </c>
      <c r="M272" t="n">
        <v>0.08</v>
      </c>
    </row>
    <row r="273" spans="1:13">
      <c r="A273" s="1">
        <f>HYPERLINK("http://www.twitter.com/NathanBLawrence/status/997212563661381637", "997212563661381637")</f>
        <v/>
      </c>
      <c r="B273" s="2" t="n">
        <v>43237.85390046296</v>
      </c>
      <c r="C273" t="n">
        <v>0</v>
      </c>
      <c r="D273" t="n">
        <v>0</v>
      </c>
      <c r="E273" t="s">
        <v>284</v>
      </c>
      <c r="F273" t="s"/>
      <c r="G273" t="s"/>
      <c r="H273" t="s"/>
      <c r="I273" t="s"/>
      <c r="J273" t="n">
        <v>-0.2462</v>
      </c>
      <c r="K273" t="n">
        <v>0.105</v>
      </c>
      <c r="L273" t="n">
        <v>0.828</v>
      </c>
      <c r="M273" t="n">
        <v>0.068</v>
      </c>
    </row>
    <row r="274" spans="1:13">
      <c r="A274" s="1">
        <f>HYPERLINK("http://www.twitter.com/NathanBLawrence/status/997212146730749952", "997212146730749952")</f>
        <v/>
      </c>
      <c r="B274" s="2" t="n">
        <v>43237.85274305556</v>
      </c>
      <c r="C274" t="n">
        <v>0</v>
      </c>
      <c r="D274" t="n">
        <v>0</v>
      </c>
      <c r="E274" t="s">
        <v>285</v>
      </c>
      <c r="F274" t="s"/>
      <c r="G274" t="s"/>
      <c r="H274" t="s"/>
      <c r="I274" t="s"/>
      <c r="J274" t="n">
        <v>0.0431</v>
      </c>
      <c r="K274" t="n">
        <v>0.195</v>
      </c>
      <c r="L274" t="n">
        <v>0.599</v>
      </c>
      <c r="M274" t="n">
        <v>0.206</v>
      </c>
    </row>
    <row r="275" spans="1:13">
      <c r="A275" s="1">
        <f>HYPERLINK("http://www.twitter.com/NathanBLawrence/status/997211899417759746", "997211899417759746")</f>
        <v/>
      </c>
      <c r="B275" s="2" t="n">
        <v>43237.85206018519</v>
      </c>
      <c r="C275" t="n">
        <v>0</v>
      </c>
      <c r="D275" t="n">
        <v>308</v>
      </c>
      <c r="E275" t="s">
        <v>286</v>
      </c>
      <c r="F275">
        <f>HYPERLINK("https://video.twimg.com/ext_tw_video/997201208304521216/pu/vid/240x240/UkHll7I_gi6X5Sry.mp4?tag=3", "https://video.twimg.com/ext_tw_video/997201208304521216/pu/vid/240x240/UkHll7I_gi6X5Sry.mp4?tag=3")</f>
        <v/>
      </c>
      <c r="G275" t="s"/>
      <c r="H275" t="s"/>
      <c r="I275" t="s"/>
      <c r="J275" t="n">
        <v>0.5719</v>
      </c>
      <c r="K275" t="n">
        <v>0</v>
      </c>
      <c r="L275" t="n">
        <v>0.793</v>
      </c>
      <c r="M275" t="n">
        <v>0.207</v>
      </c>
    </row>
    <row r="276" spans="1:13">
      <c r="A276" s="1">
        <f>HYPERLINK("http://www.twitter.com/NathanBLawrence/status/997208115522220038", "997208115522220038")</f>
        <v/>
      </c>
      <c r="B276" s="2" t="n">
        <v>43237.84162037037</v>
      </c>
      <c r="C276" t="n">
        <v>0</v>
      </c>
      <c r="D276" t="n">
        <v>0</v>
      </c>
      <c r="E276" t="s">
        <v>287</v>
      </c>
      <c r="F276" t="s"/>
      <c r="G276" t="s"/>
      <c r="H276" t="s"/>
      <c r="I276" t="s"/>
      <c r="J276" t="n">
        <v>-0.2462</v>
      </c>
      <c r="K276" t="n">
        <v>0.123</v>
      </c>
      <c r="L276" t="n">
        <v>0.797</v>
      </c>
      <c r="M276" t="n">
        <v>0.08</v>
      </c>
    </row>
    <row r="277" spans="1:13">
      <c r="A277" s="1">
        <f>HYPERLINK("http://www.twitter.com/NathanBLawrence/status/997208007355269120", "997208007355269120")</f>
        <v/>
      </c>
      <c r="B277" s="2" t="n">
        <v>43237.84131944444</v>
      </c>
      <c r="C277" t="n">
        <v>0</v>
      </c>
      <c r="D277" t="n">
        <v>0</v>
      </c>
      <c r="E277" t="s">
        <v>288</v>
      </c>
      <c r="F277" t="s"/>
      <c r="G277" t="s"/>
      <c r="H277" t="s"/>
      <c r="I277" t="s"/>
      <c r="J277" t="n">
        <v>-0.2462</v>
      </c>
      <c r="K277" t="n">
        <v>0.123</v>
      </c>
      <c r="L277" t="n">
        <v>0.797</v>
      </c>
      <c r="M277" t="n">
        <v>0.08</v>
      </c>
    </row>
    <row r="278" spans="1:13">
      <c r="A278" s="1">
        <f>HYPERLINK("http://www.twitter.com/NathanBLawrence/status/997207906473992192", "997207906473992192")</f>
        <v/>
      </c>
      <c r="B278" s="2" t="n">
        <v>43237.84104166667</v>
      </c>
      <c r="C278" t="n">
        <v>0</v>
      </c>
      <c r="D278" t="n">
        <v>0</v>
      </c>
      <c r="E278" t="s">
        <v>289</v>
      </c>
      <c r="F278" t="s"/>
      <c r="G278" t="s"/>
      <c r="H278" t="s"/>
      <c r="I278" t="s"/>
      <c r="J278" t="n">
        <v>-0.2462</v>
      </c>
      <c r="K278" t="n">
        <v>0.129</v>
      </c>
      <c r="L278" t="n">
        <v>0.788</v>
      </c>
      <c r="M278" t="n">
        <v>0.083</v>
      </c>
    </row>
    <row r="279" spans="1:13">
      <c r="A279" s="1">
        <f>HYPERLINK("http://www.twitter.com/NathanBLawrence/status/997207835464359941", "997207835464359941")</f>
        <v/>
      </c>
      <c r="B279" s="2" t="n">
        <v>43237.8408449074</v>
      </c>
      <c r="C279" t="n">
        <v>0</v>
      </c>
      <c r="D279" t="n">
        <v>0</v>
      </c>
      <c r="E279" t="s">
        <v>289</v>
      </c>
      <c r="F279" t="s"/>
      <c r="G279" t="s"/>
      <c r="H279" t="s"/>
      <c r="I279" t="s"/>
      <c r="J279" t="n">
        <v>-0.2462</v>
      </c>
      <c r="K279" t="n">
        <v>0.129</v>
      </c>
      <c r="L279" t="n">
        <v>0.788</v>
      </c>
      <c r="M279" t="n">
        <v>0.083</v>
      </c>
    </row>
    <row r="280" spans="1:13">
      <c r="A280" s="1">
        <f>HYPERLINK("http://www.twitter.com/NathanBLawrence/status/997205340029677568", "997205340029677568")</f>
        <v/>
      </c>
      <c r="B280" s="2" t="n">
        <v>43237.83395833334</v>
      </c>
      <c r="C280" t="n">
        <v>0</v>
      </c>
      <c r="D280" t="n">
        <v>0</v>
      </c>
      <c r="E280" t="s">
        <v>290</v>
      </c>
      <c r="F280" t="s"/>
      <c r="G280" t="s"/>
      <c r="H280" t="s"/>
      <c r="I280" t="s"/>
      <c r="J280" t="n">
        <v>-0.2023</v>
      </c>
      <c r="K280" t="n">
        <v>0.153</v>
      </c>
      <c r="L280" t="n">
        <v>0.847</v>
      </c>
      <c r="M280" t="n">
        <v>0</v>
      </c>
    </row>
    <row r="281" spans="1:13">
      <c r="A281" s="1">
        <f>HYPERLINK("http://www.twitter.com/NathanBLawrence/status/997202880292704256", "997202880292704256")</f>
        <v/>
      </c>
      <c r="B281" s="2" t="n">
        <v>43237.82717592592</v>
      </c>
      <c r="C281" t="n">
        <v>0</v>
      </c>
      <c r="D281" t="n">
        <v>0</v>
      </c>
      <c r="E281" t="s">
        <v>291</v>
      </c>
      <c r="F281">
        <f>HYPERLINK("http://pbs.twimg.com/media/DdbGuuPVAAA9ozm.jpg", "http://pbs.twimg.com/media/DdbGuuPVAAA9ozm.jpg")</f>
        <v/>
      </c>
      <c r="G281" t="s"/>
      <c r="H281" t="s"/>
      <c r="I281" t="s"/>
      <c r="J281" t="n">
        <v>0</v>
      </c>
      <c r="K281" t="n">
        <v>0</v>
      </c>
      <c r="L281" t="n">
        <v>1</v>
      </c>
      <c r="M281" t="n">
        <v>0</v>
      </c>
    </row>
    <row r="282" spans="1:13">
      <c r="A282" s="1">
        <f>HYPERLINK("http://www.twitter.com/NathanBLawrence/status/997190173833211909", "997190173833211909")</f>
        <v/>
      </c>
      <c r="B282" s="2" t="n">
        <v>43237.79210648148</v>
      </c>
      <c r="C282" t="n">
        <v>0</v>
      </c>
      <c r="D282" t="n">
        <v>0</v>
      </c>
      <c r="E282" t="s">
        <v>292</v>
      </c>
      <c r="F282" t="s"/>
      <c r="G282" t="s"/>
      <c r="H282" t="s"/>
      <c r="I282" t="s"/>
      <c r="J282" t="n">
        <v>0</v>
      </c>
      <c r="K282" t="n">
        <v>0.113</v>
      </c>
      <c r="L282" t="n">
        <v>0.773</v>
      </c>
      <c r="M282" t="n">
        <v>0.113</v>
      </c>
    </row>
    <row r="283" spans="1:13">
      <c r="A283" s="1">
        <f>HYPERLINK("http://www.twitter.com/NathanBLawrence/status/997189625629282304", "997189625629282304")</f>
        <v/>
      </c>
      <c r="B283" s="2" t="n">
        <v>43237.79060185186</v>
      </c>
      <c r="C283" t="n">
        <v>2</v>
      </c>
      <c r="D283" t="n">
        <v>1</v>
      </c>
      <c r="E283" t="s">
        <v>293</v>
      </c>
      <c r="F283" t="s"/>
      <c r="G283" t="s"/>
      <c r="H283" t="s"/>
      <c r="I283" t="s"/>
      <c r="J283" t="n">
        <v>-0.2462</v>
      </c>
      <c r="K283" t="n">
        <v>0.123</v>
      </c>
      <c r="L283" t="n">
        <v>0.797</v>
      </c>
      <c r="M283" t="n">
        <v>0.08</v>
      </c>
    </row>
    <row r="284" spans="1:13">
      <c r="A284" s="1">
        <f>HYPERLINK("http://www.twitter.com/NathanBLawrence/status/997189128482680833", "997189128482680833")</f>
        <v/>
      </c>
      <c r="B284" s="2" t="n">
        <v>43237.78922453704</v>
      </c>
      <c r="C284" t="n">
        <v>1</v>
      </c>
      <c r="D284" t="n">
        <v>1</v>
      </c>
      <c r="E284" t="s">
        <v>294</v>
      </c>
      <c r="F284" t="s"/>
      <c r="G284" t="s"/>
      <c r="H284" t="s"/>
      <c r="I284" t="s"/>
      <c r="J284" t="n">
        <v>0.1739</v>
      </c>
      <c r="K284" t="n">
        <v>0.128</v>
      </c>
      <c r="L284" t="n">
        <v>0.725</v>
      </c>
      <c r="M284" t="n">
        <v>0.147</v>
      </c>
    </row>
    <row r="285" spans="1:13">
      <c r="A285" s="1">
        <f>HYPERLINK("http://www.twitter.com/NathanBLawrence/status/997188847061684224", "997188847061684224")</f>
        <v/>
      </c>
      <c r="B285" s="2" t="n">
        <v>43237.78844907408</v>
      </c>
      <c r="C285" t="n">
        <v>0</v>
      </c>
      <c r="D285" t="n">
        <v>0</v>
      </c>
      <c r="E285" t="s">
        <v>295</v>
      </c>
      <c r="F285" t="s"/>
      <c r="G285" t="s"/>
      <c r="H285" t="s"/>
      <c r="I285" t="s"/>
      <c r="J285" t="n">
        <v>-0.5826</v>
      </c>
      <c r="K285" t="n">
        <v>0.167</v>
      </c>
      <c r="L285" t="n">
        <v>0.779</v>
      </c>
      <c r="M285" t="n">
        <v>0.054</v>
      </c>
    </row>
    <row r="286" spans="1:13">
      <c r="A286" s="1">
        <f>HYPERLINK("http://www.twitter.com/NathanBLawrence/status/997188618589483009", "997188618589483009")</f>
        <v/>
      </c>
      <c r="B286" s="2" t="n">
        <v>43237.78782407408</v>
      </c>
      <c r="C286" t="n">
        <v>0</v>
      </c>
      <c r="D286" t="n">
        <v>0</v>
      </c>
      <c r="E286" t="s">
        <v>296</v>
      </c>
      <c r="F286" t="s"/>
      <c r="G286" t="s"/>
      <c r="H286" t="s"/>
      <c r="I286" t="s"/>
      <c r="J286" t="n">
        <v>-0.8011</v>
      </c>
      <c r="K286" t="n">
        <v>0.241</v>
      </c>
      <c r="L286" t="n">
        <v>0.667</v>
      </c>
      <c r="M286" t="n">
        <v>0.092</v>
      </c>
    </row>
    <row r="287" spans="1:13">
      <c r="A287" s="1">
        <f>HYPERLINK("http://www.twitter.com/NathanBLawrence/status/997188352473432064", "997188352473432064")</f>
        <v/>
      </c>
      <c r="B287" s="2" t="n">
        <v>43237.78708333334</v>
      </c>
      <c r="C287" t="n">
        <v>0</v>
      </c>
      <c r="D287" t="n">
        <v>0</v>
      </c>
      <c r="E287" t="s">
        <v>297</v>
      </c>
      <c r="F287" t="s"/>
      <c r="G287" t="s"/>
      <c r="H287" t="s"/>
      <c r="I287" t="s"/>
      <c r="J287" t="n">
        <v>-0.2462</v>
      </c>
      <c r="K287" t="n">
        <v>0.123</v>
      </c>
      <c r="L287" t="n">
        <v>0.797</v>
      </c>
      <c r="M287" t="n">
        <v>0.08</v>
      </c>
    </row>
    <row r="288" spans="1:13">
      <c r="A288" s="1">
        <f>HYPERLINK("http://www.twitter.com/NathanBLawrence/status/997188191416446976", "997188191416446976")</f>
        <v/>
      </c>
      <c r="B288" s="2" t="n">
        <v>43237.78664351852</v>
      </c>
      <c r="C288" t="n">
        <v>0</v>
      </c>
      <c r="D288" t="n">
        <v>0</v>
      </c>
      <c r="E288" t="s">
        <v>298</v>
      </c>
      <c r="F288" t="s"/>
      <c r="G288" t="s"/>
      <c r="H288" t="s"/>
      <c r="I288" t="s"/>
      <c r="J288" t="n">
        <v>-0.2462</v>
      </c>
      <c r="K288" t="n">
        <v>0.129</v>
      </c>
      <c r="L288" t="n">
        <v>0.788</v>
      </c>
      <c r="M288" t="n">
        <v>0.083</v>
      </c>
    </row>
    <row r="289" spans="1:13">
      <c r="A289" s="1">
        <f>HYPERLINK("http://www.twitter.com/NathanBLawrence/status/997188067990687744", "997188067990687744")</f>
        <v/>
      </c>
      <c r="B289" s="2" t="n">
        <v>43237.7862962963</v>
      </c>
      <c r="C289" t="n">
        <v>0</v>
      </c>
      <c r="D289" t="n">
        <v>0</v>
      </c>
      <c r="E289" t="s">
        <v>299</v>
      </c>
      <c r="F289" t="s"/>
      <c r="G289" t="s"/>
      <c r="H289" t="s"/>
      <c r="I289" t="s"/>
      <c r="J289" t="n">
        <v>-0.2462</v>
      </c>
      <c r="K289" t="n">
        <v>0.129</v>
      </c>
      <c r="L289" t="n">
        <v>0.788</v>
      </c>
      <c r="M289" t="n">
        <v>0.083</v>
      </c>
    </row>
    <row r="290" spans="1:13">
      <c r="A290" s="1">
        <f>HYPERLINK("http://www.twitter.com/NathanBLawrence/status/997187233164812290", "997187233164812290")</f>
        <v/>
      </c>
      <c r="B290" s="2" t="n">
        <v>43237.78399305556</v>
      </c>
      <c r="C290" t="n">
        <v>0</v>
      </c>
      <c r="D290" t="n">
        <v>0</v>
      </c>
      <c r="E290" t="s">
        <v>300</v>
      </c>
      <c r="F290" t="s"/>
      <c r="G290" t="s"/>
      <c r="H290" t="s"/>
      <c r="I290" t="s"/>
      <c r="J290" t="n">
        <v>0</v>
      </c>
      <c r="K290" t="n">
        <v>0</v>
      </c>
      <c r="L290" t="n">
        <v>1</v>
      </c>
      <c r="M290" t="n">
        <v>0</v>
      </c>
    </row>
    <row r="291" spans="1:13">
      <c r="A291" s="1">
        <f>HYPERLINK("http://www.twitter.com/NathanBLawrence/status/997186685480955904", "997186685480955904")</f>
        <v/>
      </c>
      <c r="B291" s="2" t="n">
        <v>43237.78248842592</v>
      </c>
      <c r="C291" t="n">
        <v>1</v>
      </c>
      <c r="D291" t="n">
        <v>0</v>
      </c>
      <c r="E291" t="s">
        <v>301</v>
      </c>
      <c r="F291" t="s"/>
      <c r="G291" t="s"/>
      <c r="H291" t="s"/>
      <c r="I291" t="s"/>
      <c r="J291" t="n">
        <v>-0.296</v>
      </c>
      <c r="K291" t="n">
        <v>0.167</v>
      </c>
      <c r="L291" t="n">
        <v>0.833</v>
      </c>
      <c r="M291" t="n">
        <v>0</v>
      </c>
    </row>
    <row r="292" spans="1:13">
      <c r="A292" s="1">
        <f>HYPERLINK("http://www.twitter.com/NathanBLawrence/status/997185909257883648", "997185909257883648")</f>
        <v/>
      </c>
      <c r="B292" s="2" t="n">
        <v>43237.78034722222</v>
      </c>
      <c r="C292" t="n">
        <v>0</v>
      </c>
      <c r="D292" t="n">
        <v>0</v>
      </c>
      <c r="E292" t="s">
        <v>302</v>
      </c>
      <c r="F292" t="s"/>
      <c r="G292" t="s"/>
      <c r="H292" t="s"/>
      <c r="I292" t="s"/>
      <c r="J292" t="n">
        <v>0.3182</v>
      </c>
      <c r="K292" t="n">
        <v>0</v>
      </c>
      <c r="L292" t="n">
        <v>0.796</v>
      </c>
      <c r="M292" t="n">
        <v>0.204</v>
      </c>
    </row>
    <row r="293" spans="1:13">
      <c r="A293" s="1">
        <f>HYPERLINK("http://www.twitter.com/NathanBLawrence/status/997183030879051777", "997183030879051777")</f>
        <v/>
      </c>
      <c r="B293" s="2" t="n">
        <v>43237.77239583333</v>
      </c>
      <c r="C293" t="n">
        <v>3</v>
      </c>
      <c r="D293" t="n">
        <v>1</v>
      </c>
      <c r="E293" t="s">
        <v>303</v>
      </c>
      <c r="F293" t="s"/>
      <c r="G293" t="s"/>
      <c r="H293" t="s"/>
      <c r="I293" t="s"/>
      <c r="J293" t="n">
        <v>-0.2462</v>
      </c>
      <c r="K293" t="n">
        <v>0.135</v>
      </c>
      <c r="L293" t="n">
        <v>0.777</v>
      </c>
      <c r="M293" t="n">
        <v>0.08699999999999999</v>
      </c>
    </row>
    <row r="294" spans="1:13">
      <c r="A294" s="1">
        <f>HYPERLINK("http://www.twitter.com/NathanBLawrence/status/997182645938413569", "997182645938413569")</f>
        <v/>
      </c>
      <c r="B294" s="2" t="n">
        <v>43237.77134259259</v>
      </c>
      <c r="C294" t="n">
        <v>1</v>
      </c>
      <c r="D294" t="n">
        <v>0</v>
      </c>
      <c r="E294" t="s">
        <v>304</v>
      </c>
      <c r="F294" t="s"/>
      <c r="G294" t="s"/>
      <c r="H294" t="s"/>
      <c r="I294" t="s"/>
      <c r="J294" t="n">
        <v>0</v>
      </c>
      <c r="K294" t="n">
        <v>0</v>
      </c>
      <c r="L294" t="n">
        <v>1</v>
      </c>
      <c r="M294" t="n">
        <v>0</v>
      </c>
    </row>
    <row r="295" spans="1:13">
      <c r="A295" s="1">
        <f>HYPERLINK("http://www.twitter.com/NathanBLawrence/status/997171845823713280", "997171845823713280")</f>
        <v/>
      </c>
      <c r="B295" s="2" t="n">
        <v>43237.74153935185</v>
      </c>
      <c r="C295" t="n">
        <v>1</v>
      </c>
      <c r="D295" t="n">
        <v>0</v>
      </c>
      <c r="E295" t="s">
        <v>305</v>
      </c>
      <c r="F295" t="s"/>
      <c r="G295" t="s"/>
      <c r="H295" t="s"/>
      <c r="I295" t="s"/>
      <c r="J295" t="n">
        <v>0</v>
      </c>
      <c r="K295" t="n">
        <v>0</v>
      </c>
      <c r="L295" t="n">
        <v>1</v>
      </c>
      <c r="M295" t="n">
        <v>0</v>
      </c>
    </row>
    <row r="296" spans="1:13">
      <c r="A296" s="1">
        <f>HYPERLINK("http://www.twitter.com/NathanBLawrence/status/997171656803192833", "997171656803192833")</f>
        <v/>
      </c>
      <c r="B296" s="2" t="n">
        <v>43237.74101851852</v>
      </c>
      <c r="C296" t="n">
        <v>1</v>
      </c>
      <c r="D296" t="n">
        <v>0</v>
      </c>
      <c r="E296" t="s">
        <v>306</v>
      </c>
      <c r="F296" t="s"/>
      <c r="G296" t="s"/>
      <c r="H296" t="s"/>
      <c r="I296" t="s"/>
      <c r="J296" t="n">
        <v>-0.908</v>
      </c>
      <c r="K296" t="n">
        <v>0.242</v>
      </c>
      <c r="L296" t="n">
        <v>0.758</v>
      </c>
      <c r="M296" t="n">
        <v>0</v>
      </c>
    </row>
    <row r="297" spans="1:13">
      <c r="A297" s="1">
        <f>HYPERLINK("http://www.twitter.com/NathanBLawrence/status/997170651067711488", "997170651067711488")</f>
        <v/>
      </c>
      <c r="B297" s="2" t="n">
        <v>43237.73824074074</v>
      </c>
      <c r="C297" t="n">
        <v>0</v>
      </c>
      <c r="D297" t="n">
        <v>1</v>
      </c>
      <c r="E297" t="s">
        <v>307</v>
      </c>
      <c r="F297" t="s"/>
      <c r="G297" t="s"/>
      <c r="H297" t="s"/>
      <c r="I297" t="s"/>
      <c r="J297" t="n">
        <v>0.5187</v>
      </c>
      <c r="K297" t="n">
        <v>0</v>
      </c>
      <c r="L297" t="n">
        <v>0.841</v>
      </c>
      <c r="M297" t="n">
        <v>0.159</v>
      </c>
    </row>
    <row r="298" spans="1:13">
      <c r="A298" s="1">
        <f>HYPERLINK("http://www.twitter.com/NathanBLawrence/status/997167932764491776", "997167932764491776")</f>
        <v/>
      </c>
      <c r="B298" s="2" t="n">
        <v>43237.73074074074</v>
      </c>
      <c r="C298" t="n">
        <v>0</v>
      </c>
      <c r="D298" t="n">
        <v>1</v>
      </c>
      <c r="E298" t="s">
        <v>308</v>
      </c>
      <c r="F298">
        <f>HYPERLINK("http://pbs.twimg.com/media/DdamPO8U0AUR34w.jpg", "http://pbs.twimg.com/media/DdamPO8U0AUR34w.jpg")</f>
        <v/>
      </c>
      <c r="G298" t="s"/>
      <c r="H298" t="s"/>
      <c r="I298" t="s"/>
      <c r="J298" t="n">
        <v>-0.3612</v>
      </c>
      <c r="K298" t="n">
        <v>0.094</v>
      </c>
      <c r="L298" t="n">
        <v>0.906</v>
      </c>
      <c r="M298" t="n">
        <v>0</v>
      </c>
    </row>
    <row r="299" spans="1:13">
      <c r="A299" s="1">
        <f>HYPERLINK("http://www.twitter.com/NathanBLawrence/status/997164171568517120", "997164171568517120")</f>
        <v/>
      </c>
      <c r="B299" s="2" t="n">
        <v>43237.72035879629</v>
      </c>
      <c r="C299" t="n">
        <v>0</v>
      </c>
      <c r="D299" t="n">
        <v>1</v>
      </c>
      <c r="E299" t="s">
        <v>309</v>
      </c>
      <c r="F299" t="s"/>
      <c r="G299" t="s"/>
      <c r="H299" t="s"/>
      <c r="I299" t="s"/>
      <c r="J299" t="n">
        <v>-0.5423</v>
      </c>
      <c r="K299" t="n">
        <v>0.163</v>
      </c>
      <c r="L299" t="n">
        <v>0.837</v>
      </c>
      <c r="M299" t="n">
        <v>0</v>
      </c>
    </row>
    <row r="300" spans="1:13">
      <c r="A300" s="1">
        <f>HYPERLINK("http://www.twitter.com/NathanBLawrence/status/997157601568854017", "997157601568854017")</f>
        <v/>
      </c>
      <c r="B300" s="2" t="n">
        <v>43237.7022337963</v>
      </c>
      <c r="C300" t="n">
        <v>2</v>
      </c>
      <c r="D300" t="n">
        <v>1</v>
      </c>
      <c r="E300" t="s">
        <v>310</v>
      </c>
      <c r="F300" t="s"/>
      <c r="G300" t="s"/>
      <c r="H300" t="s"/>
      <c r="I300" t="s"/>
      <c r="J300" t="n">
        <v>0.5106000000000001</v>
      </c>
      <c r="K300" t="n">
        <v>0</v>
      </c>
      <c r="L300" t="n">
        <v>0.784</v>
      </c>
      <c r="M300" t="n">
        <v>0.216</v>
      </c>
    </row>
    <row r="301" spans="1:13">
      <c r="A301" s="1">
        <f>HYPERLINK("http://www.twitter.com/NathanBLawrence/status/997155831920648192", "997155831920648192")</f>
        <v/>
      </c>
      <c r="B301" s="2" t="n">
        <v>43237.69734953704</v>
      </c>
      <c r="C301" t="n">
        <v>0</v>
      </c>
      <c r="D301" t="n">
        <v>1</v>
      </c>
      <c r="E301" t="s">
        <v>311</v>
      </c>
      <c r="F301" t="s"/>
      <c r="G301" t="s"/>
      <c r="H301" t="s"/>
      <c r="I301" t="s"/>
      <c r="J301" t="n">
        <v>-0.2732</v>
      </c>
      <c r="K301" t="n">
        <v>0.08400000000000001</v>
      </c>
      <c r="L301" t="n">
        <v>0.875</v>
      </c>
      <c r="M301" t="n">
        <v>0.042</v>
      </c>
    </row>
    <row r="302" spans="1:13">
      <c r="A302" s="1">
        <f>HYPERLINK("http://www.twitter.com/NathanBLawrence/status/997155825578897408", "997155825578897408")</f>
        <v/>
      </c>
      <c r="B302" s="2" t="n">
        <v>43237.69732638889</v>
      </c>
      <c r="C302" t="n">
        <v>0</v>
      </c>
      <c r="D302" t="n">
        <v>2</v>
      </c>
      <c r="E302" t="s">
        <v>312</v>
      </c>
      <c r="F302" t="s"/>
      <c r="G302" t="s"/>
      <c r="H302" t="s"/>
      <c r="I302" t="s"/>
      <c r="J302" t="n">
        <v>0.4019</v>
      </c>
      <c r="K302" t="n">
        <v>0</v>
      </c>
      <c r="L302" t="n">
        <v>0.829</v>
      </c>
      <c r="M302" t="n">
        <v>0.171</v>
      </c>
    </row>
    <row r="303" spans="1:13">
      <c r="A303" s="1">
        <f>HYPERLINK("http://www.twitter.com/NathanBLawrence/status/997155782297825280", "997155782297825280")</f>
        <v/>
      </c>
      <c r="B303" s="2" t="n">
        <v>43237.69721064815</v>
      </c>
      <c r="C303" t="n">
        <v>0</v>
      </c>
      <c r="D303" t="n">
        <v>2</v>
      </c>
      <c r="E303" t="s">
        <v>313</v>
      </c>
      <c r="F303" t="s"/>
      <c r="G303" t="s"/>
      <c r="H303" t="s"/>
      <c r="I303" t="s"/>
      <c r="J303" t="n">
        <v>0</v>
      </c>
      <c r="K303" t="n">
        <v>0</v>
      </c>
      <c r="L303" t="n">
        <v>1</v>
      </c>
      <c r="M303" t="n">
        <v>0</v>
      </c>
    </row>
    <row r="304" spans="1:13">
      <c r="A304" s="1">
        <f>HYPERLINK("http://www.twitter.com/NathanBLawrence/status/997155600856485888", "997155600856485888")</f>
        <v/>
      </c>
      <c r="B304" s="2" t="n">
        <v>43237.69671296296</v>
      </c>
      <c r="C304" t="n">
        <v>0</v>
      </c>
      <c r="D304" t="n">
        <v>0</v>
      </c>
      <c r="E304" t="s">
        <v>314</v>
      </c>
      <c r="F304" t="s"/>
      <c r="G304" t="s"/>
      <c r="H304" t="s"/>
      <c r="I304" t="s"/>
      <c r="J304" t="n">
        <v>0</v>
      </c>
      <c r="K304" t="n">
        <v>0</v>
      </c>
      <c r="L304" t="n">
        <v>1</v>
      </c>
      <c r="M304" t="n">
        <v>0</v>
      </c>
    </row>
    <row r="305" spans="1:13">
      <c r="A305" s="1">
        <f>HYPERLINK("http://www.twitter.com/NathanBLawrence/status/997155300506468357", "997155300506468357")</f>
        <v/>
      </c>
      <c r="B305" s="2" t="n">
        <v>43237.69587962963</v>
      </c>
      <c r="C305" t="n">
        <v>0</v>
      </c>
      <c r="D305" t="n">
        <v>0</v>
      </c>
      <c r="E305" t="s">
        <v>315</v>
      </c>
      <c r="F305" t="s"/>
      <c r="G305" t="s"/>
      <c r="H305" t="s"/>
      <c r="I305" t="s"/>
      <c r="J305" t="n">
        <v>-0.729</v>
      </c>
      <c r="K305" t="n">
        <v>0.612</v>
      </c>
      <c r="L305" t="n">
        <v>0.143</v>
      </c>
      <c r="M305" t="n">
        <v>0.245</v>
      </c>
    </row>
    <row r="306" spans="1:13">
      <c r="A306" s="1">
        <f>HYPERLINK("http://www.twitter.com/NathanBLawrence/status/997155034487017472", "997155034487017472")</f>
        <v/>
      </c>
      <c r="B306" s="2" t="n">
        <v>43237.69515046296</v>
      </c>
      <c r="C306" t="n">
        <v>0</v>
      </c>
      <c r="D306" t="n">
        <v>0</v>
      </c>
      <c r="E306" t="s">
        <v>316</v>
      </c>
      <c r="F306" t="s"/>
      <c r="G306" t="s"/>
      <c r="H306" t="s"/>
      <c r="I306" t="s"/>
      <c r="J306" t="n">
        <v>-0.2023</v>
      </c>
      <c r="K306" t="n">
        <v>0.038</v>
      </c>
      <c r="L306" t="n">
        <v>0.962</v>
      </c>
      <c r="M306" t="n">
        <v>0</v>
      </c>
    </row>
    <row r="307" spans="1:13">
      <c r="A307" s="1">
        <f>HYPERLINK("http://www.twitter.com/NathanBLawrence/status/997154439365619713", "997154439365619713")</f>
        <v/>
      </c>
      <c r="B307" s="2" t="n">
        <v>43237.69350694444</v>
      </c>
      <c r="C307" t="n">
        <v>0</v>
      </c>
      <c r="D307" t="n">
        <v>0</v>
      </c>
      <c r="E307" t="s">
        <v>317</v>
      </c>
      <c r="F307" t="s"/>
      <c r="G307" t="s"/>
      <c r="H307" t="s"/>
      <c r="I307" t="s"/>
      <c r="J307" t="n">
        <v>0</v>
      </c>
      <c r="K307" t="n">
        <v>0</v>
      </c>
      <c r="L307" t="n">
        <v>1</v>
      </c>
      <c r="M307" t="n">
        <v>0</v>
      </c>
    </row>
    <row r="308" spans="1:13">
      <c r="A308" s="1">
        <f>HYPERLINK("http://www.twitter.com/NathanBLawrence/status/997154200281853953", "997154200281853953")</f>
        <v/>
      </c>
      <c r="B308" s="2" t="n">
        <v>43237.69284722222</v>
      </c>
      <c r="C308" t="n">
        <v>1</v>
      </c>
      <c r="D308" t="n">
        <v>0</v>
      </c>
      <c r="E308" t="s">
        <v>318</v>
      </c>
      <c r="F308" t="s"/>
      <c r="G308" t="s"/>
      <c r="H308" t="s"/>
      <c r="I308" t="s"/>
      <c r="J308" t="n">
        <v>0</v>
      </c>
      <c r="K308" t="n">
        <v>0</v>
      </c>
      <c r="L308" t="n">
        <v>1</v>
      </c>
      <c r="M308" t="n">
        <v>0</v>
      </c>
    </row>
    <row r="309" spans="1:13">
      <c r="A309" s="1">
        <f>HYPERLINK("http://www.twitter.com/NathanBLawrence/status/997153554493267968", "997153554493267968")</f>
        <v/>
      </c>
      <c r="B309" s="2" t="n">
        <v>43237.69106481481</v>
      </c>
      <c r="C309" t="n">
        <v>0</v>
      </c>
      <c r="D309" t="n">
        <v>1</v>
      </c>
      <c r="E309" t="s">
        <v>319</v>
      </c>
      <c r="F309" t="s"/>
      <c r="G309" t="s"/>
      <c r="H309" t="s"/>
      <c r="I309" t="s"/>
      <c r="J309" t="n">
        <v>0</v>
      </c>
      <c r="K309" t="n">
        <v>0</v>
      </c>
      <c r="L309" t="n">
        <v>1</v>
      </c>
      <c r="M309" t="n">
        <v>0</v>
      </c>
    </row>
    <row r="310" spans="1:13">
      <c r="A310" s="1">
        <f>HYPERLINK("http://www.twitter.com/NathanBLawrence/status/997153415187886085", "997153415187886085")</f>
        <v/>
      </c>
      <c r="B310" s="2" t="n">
        <v>43237.69068287037</v>
      </c>
      <c r="C310" t="n">
        <v>0</v>
      </c>
      <c r="D310" t="n">
        <v>0</v>
      </c>
      <c r="E310" t="s">
        <v>320</v>
      </c>
      <c r="F310" t="s"/>
      <c r="G310" t="s"/>
      <c r="H310" t="s"/>
      <c r="I310" t="s"/>
      <c r="J310" t="n">
        <v>0</v>
      </c>
      <c r="K310" t="n">
        <v>0</v>
      </c>
      <c r="L310" t="n">
        <v>1</v>
      </c>
      <c r="M310" t="n">
        <v>0</v>
      </c>
    </row>
    <row r="311" spans="1:13">
      <c r="A311" s="1">
        <f>HYPERLINK("http://www.twitter.com/NathanBLawrence/status/997153297655091200", "997153297655091200")</f>
        <v/>
      </c>
      <c r="B311" s="2" t="n">
        <v>43237.6903587963</v>
      </c>
      <c r="C311" t="n">
        <v>0</v>
      </c>
      <c r="D311" t="n">
        <v>22</v>
      </c>
      <c r="E311" t="s">
        <v>321</v>
      </c>
      <c r="F311" t="s"/>
      <c r="G311" t="s"/>
      <c r="H311" t="s"/>
      <c r="I311" t="s"/>
      <c r="J311" t="n">
        <v>0</v>
      </c>
      <c r="K311" t="n">
        <v>0</v>
      </c>
      <c r="L311" t="n">
        <v>1</v>
      </c>
      <c r="M311" t="n">
        <v>0</v>
      </c>
    </row>
    <row r="312" spans="1:13">
      <c r="A312" s="1">
        <f>HYPERLINK("http://www.twitter.com/NathanBLawrence/status/997152811744931840", "997152811744931840")</f>
        <v/>
      </c>
      <c r="B312" s="2" t="n">
        <v>43237.6890162037</v>
      </c>
      <c r="C312" t="n">
        <v>2</v>
      </c>
      <c r="D312" t="n">
        <v>0</v>
      </c>
      <c r="E312" t="s">
        <v>322</v>
      </c>
      <c r="F312" t="s"/>
      <c r="G312" t="s"/>
      <c r="H312" t="s"/>
      <c r="I312" t="s"/>
      <c r="J312" t="n">
        <v>-0.5266999999999999</v>
      </c>
      <c r="K312" t="n">
        <v>0.12</v>
      </c>
      <c r="L312" t="n">
        <v>0.88</v>
      </c>
      <c r="M312" t="n">
        <v>0</v>
      </c>
    </row>
    <row r="313" spans="1:13">
      <c r="A313" s="1">
        <f>HYPERLINK("http://www.twitter.com/NathanBLawrence/status/997135896611901442", "997135896611901442")</f>
        <v/>
      </c>
      <c r="B313" s="2" t="n">
        <v>43237.64233796296</v>
      </c>
      <c r="C313" t="n">
        <v>0</v>
      </c>
      <c r="D313" t="n">
        <v>0</v>
      </c>
      <c r="E313" t="s">
        <v>323</v>
      </c>
      <c r="F313" t="s"/>
      <c r="G313" t="s"/>
      <c r="H313" t="s"/>
      <c r="I313" t="s"/>
      <c r="J313" t="n">
        <v>0.1027</v>
      </c>
      <c r="K313" t="n">
        <v>0.154</v>
      </c>
      <c r="L313" t="n">
        <v>0.68</v>
      </c>
      <c r="M313" t="n">
        <v>0.166</v>
      </c>
    </row>
    <row r="314" spans="1:13">
      <c r="A314" s="1">
        <f>HYPERLINK("http://www.twitter.com/NathanBLawrence/status/997132861621796864", "997132861621796864")</f>
        <v/>
      </c>
      <c r="B314" s="2" t="n">
        <v>43237.63395833333</v>
      </c>
      <c r="C314" t="n">
        <v>1</v>
      </c>
      <c r="D314" t="n">
        <v>0</v>
      </c>
      <c r="E314" t="s">
        <v>324</v>
      </c>
      <c r="F314" t="s"/>
      <c r="G314" t="s"/>
      <c r="H314" t="s"/>
      <c r="I314" t="s"/>
      <c r="J314" t="n">
        <v>0.3182</v>
      </c>
      <c r="K314" t="n">
        <v>0.241</v>
      </c>
      <c r="L314" t="n">
        <v>0.479</v>
      </c>
      <c r="M314" t="n">
        <v>0.279</v>
      </c>
    </row>
    <row r="315" spans="1:13">
      <c r="A315" s="1">
        <f>HYPERLINK("http://www.twitter.com/NathanBLawrence/status/997125629886812160", "997125629886812160")</f>
        <v/>
      </c>
      <c r="B315" s="2" t="n">
        <v>43237.61400462963</v>
      </c>
      <c r="C315" t="n">
        <v>0</v>
      </c>
      <c r="D315" t="n">
        <v>0</v>
      </c>
      <c r="E315" t="s">
        <v>325</v>
      </c>
      <c r="F315" t="s"/>
      <c r="G315" t="s"/>
      <c r="H315" t="s"/>
      <c r="I315" t="s"/>
      <c r="J315" t="n">
        <v>0.1027</v>
      </c>
      <c r="K315" t="n">
        <v>0.265</v>
      </c>
      <c r="L315" t="n">
        <v>0.368</v>
      </c>
      <c r="M315" t="n">
        <v>0.368</v>
      </c>
    </row>
    <row r="316" spans="1:13">
      <c r="A316" s="1">
        <f>HYPERLINK("http://www.twitter.com/NathanBLawrence/status/997115454974971904", "997115454974971904")</f>
        <v/>
      </c>
      <c r="B316" s="2" t="n">
        <v>43237.58592592592</v>
      </c>
      <c r="C316" t="n">
        <v>4</v>
      </c>
      <c r="D316" t="n">
        <v>3</v>
      </c>
      <c r="E316" t="s">
        <v>326</v>
      </c>
      <c r="F316" t="s"/>
      <c r="G316" t="s"/>
      <c r="H316" t="s"/>
      <c r="I316" t="s"/>
      <c r="J316" t="n">
        <v>0</v>
      </c>
      <c r="K316" t="n">
        <v>0</v>
      </c>
      <c r="L316" t="n">
        <v>1</v>
      </c>
      <c r="M316" t="n">
        <v>0</v>
      </c>
    </row>
    <row r="317" spans="1:13">
      <c r="A317" s="1">
        <f>HYPERLINK("http://www.twitter.com/NathanBLawrence/status/997112545256267777", "997112545256267777")</f>
        <v/>
      </c>
      <c r="B317" s="2" t="n">
        <v>43237.57789351852</v>
      </c>
      <c r="C317" t="n">
        <v>3</v>
      </c>
      <c r="D317" t="n">
        <v>3</v>
      </c>
      <c r="E317" t="s">
        <v>327</v>
      </c>
      <c r="F317" t="s"/>
      <c r="G317" t="s"/>
      <c r="H317" t="s"/>
      <c r="I317" t="s"/>
      <c r="J317" t="n">
        <v>0.7579</v>
      </c>
      <c r="K317" t="n">
        <v>0.05</v>
      </c>
      <c r="L317" t="n">
        <v>0.729</v>
      </c>
      <c r="M317" t="n">
        <v>0.221</v>
      </c>
    </row>
    <row r="318" spans="1:13">
      <c r="A318" s="1">
        <f>HYPERLINK("http://www.twitter.com/NathanBLawrence/status/997110971842867200", "997110971842867200")</f>
        <v/>
      </c>
      <c r="B318" s="2" t="n">
        <v>43237.57355324074</v>
      </c>
      <c r="C318" t="n">
        <v>4</v>
      </c>
      <c r="D318" t="n">
        <v>3</v>
      </c>
      <c r="E318" t="s">
        <v>328</v>
      </c>
      <c r="F318" t="s"/>
      <c r="G318" t="s"/>
      <c r="H318" t="s"/>
      <c r="I318" t="s"/>
      <c r="J318" t="n">
        <v>0.6899999999999999</v>
      </c>
      <c r="K318" t="n">
        <v>0</v>
      </c>
      <c r="L318" t="n">
        <v>0.875</v>
      </c>
      <c r="M318" t="n">
        <v>0.125</v>
      </c>
    </row>
    <row r="319" spans="1:13">
      <c r="A319" s="1">
        <f>HYPERLINK("http://www.twitter.com/NathanBLawrence/status/997109570140073989", "997109570140073989")</f>
        <v/>
      </c>
      <c r="B319" s="2" t="n">
        <v>43237.5696875</v>
      </c>
      <c r="C319" t="n">
        <v>1</v>
      </c>
      <c r="D319" t="n">
        <v>0</v>
      </c>
      <c r="E319" t="s">
        <v>329</v>
      </c>
      <c r="F319" t="s"/>
      <c r="G319" t="s"/>
      <c r="H319" t="s"/>
      <c r="I319" t="s"/>
      <c r="J319" t="n">
        <v>-0.9529</v>
      </c>
      <c r="K319" t="n">
        <v>0.415</v>
      </c>
      <c r="L319" t="n">
        <v>0.455</v>
      </c>
      <c r="M319" t="n">
        <v>0.13</v>
      </c>
    </row>
    <row r="320" spans="1:13">
      <c r="A320" s="1">
        <f>HYPERLINK("http://www.twitter.com/NathanBLawrence/status/997108680125571072", "997108680125571072")</f>
        <v/>
      </c>
      <c r="B320" s="2" t="n">
        <v>43237.5672337963</v>
      </c>
      <c r="C320" t="n">
        <v>5</v>
      </c>
      <c r="D320" t="n">
        <v>1</v>
      </c>
      <c r="E320" t="s">
        <v>330</v>
      </c>
      <c r="F320" t="s"/>
      <c r="G320" t="s"/>
      <c r="H320" t="s"/>
      <c r="I320" t="s"/>
      <c r="J320" t="n">
        <v>0.8555</v>
      </c>
      <c r="K320" t="n">
        <v>0</v>
      </c>
      <c r="L320" t="n">
        <v>0.8090000000000001</v>
      </c>
      <c r="M320" t="n">
        <v>0.191</v>
      </c>
    </row>
    <row r="321" spans="1:13">
      <c r="A321" s="1">
        <f>HYPERLINK("http://www.twitter.com/NathanBLawrence/status/997106021394014208", "997106021394014208")</f>
        <v/>
      </c>
      <c r="B321" s="2" t="n">
        <v>43237.55989583334</v>
      </c>
      <c r="C321" t="n">
        <v>4</v>
      </c>
      <c r="D321" t="n">
        <v>2</v>
      </c>
      <c r="E321" t="s">
        <v>331</v>
      </c>
      <c r="F321" t="s"/>
      <c r="G321" t="s"/>
      <c r="H321" t="s"/>
      <c r="I321" t="s"/>
      <c r="J321" t="n">
        <v>0.4767</v>
      </c>
      <c r="K321" t="n">
        <v>0.092</v>
      </c>
      <c r="L321" t="n">
        <v>0.728</v>
      </c>
      <c r="M321" t="n">
        <v>0.179</v>
      </c>
    </row>
    <row r="322" spans="1:13">
      <c r="A322" s="1">
        <f>HYPERLINK("http://www.twitter.com/NathanBLawrence/status/997105233590407168", "997105233590407168")</f>
        <v/>
      </c>
      <c r="B322" s="2" t="n">
        <v>43237.55771990741</v>
      </c>
      <c r="C322" t="n">
        <v>0</v>
      </c>
      <c r="D322" t="n">
        <v>55578</v>
      </c>
      <c r="E322" t="s">
        <v>332</v>
      </c>
      <c r="F322" t="s"/>
      <c r="G322" t="s"/>
      <c r="H322" t="s"/>
      <c r="I322" t="s"/>
      <c r="J322" t="n">
        <v>0.802</v>
      </c>
      <c r="K322" t="n">
        <v>0</v>
      </c>
      <c r="L322" t="n">
        <v>0.41</v>
      </c>
      <c r="M322" t="n">
        <v>0.59</v>
      </c>
    </row>
    <row r="323" spans="1:13">
      <c r="A323" s="1">
        <f>HYPERLINK("http://www.twitter.com/NathanBLawrence/status/997104397762121728", "997104397762121728")</f>
        <v/>
      </c>
      <c r="B323" s="2" t="n">
        <v>43237.55541666667</v>
      </c>
      <c r="C323" t="n">
        <v>2</v>
      </c>
      <c r="D323" t="n">
        <v>2</v>
      </c>
      <c r="E323" t="s">
        <v>333</v>
      </c>
      <c r="F323" t="s"/>
      <c r="G323" t="s"/>
      <c r="H323" t="s"/>
      <c r="I323" t="s"/>
      <c r="J323" t="n">
        <v>-0.7003</v>
      </c>
      <c r="K323" t="n">
        <v>0.112</v>
      </c>
      <c r="L323" t="n">
        <v>0.864</v>
      </c>
      <c r="M323" t="n">
        <v>0.024</v>
      </c>
    </row>
    <row r="324" spans="1:13">
      <c r="A324" s="1">
        <f>HYPERLINK("http://www.twitter.com/NathanBLawrence/status/997103011850784768", "997103011850784768")</f>
        <v/>
      </c>
      <c r="B324" s="2" t="n">
        <v>43237.55158564815</v>
      </c>
      <c r="C324" t="n">
        <v>3</v>
      </c>
      <c r="D324" t="n">
        <v>3</v>
      </c>
      <c r="E324" t="s">
        <v>334</v>
      </c>
      <c r="F324" t="s"/>
      <c r="G324" t="s"/>
      <c r="H324" t="s"/>
      <c r="I324" t="s"/>
      <c r="J324" t="n">
        <v>0.4404</v>
      </c>
      <c r="K324" t="n">
        <v>0</v>
      </c>
      <c r="L324" t="n">
        <v>0.903</v>
      </c>
      <c r="M324" t="n">
        <v>0.097</v>
      </c>
    </row>
    <row r="325" spans="1:13">
      <c r="A325" s="1">
        <f>HYPERLINK("http://www.twitter.com/NathanBLawrence/status/997102004521586688", "997102004521586688")</f>
        <v/>
      </c>
      <c r="B325" s="2" t="n">
        <v>43237.54880787037</v>
      </c>
      <c r="C325" t="n">
        <v>5</v>
      </c>
      <c r="D325" t="n">
        <v>3</v>
      </c>
      <c r="E325" t="s">
        <v>335</v>
      </c>
      <c r="F325" t="s"/>
      <c r="G325" t="s"/>
      <c r="H325" t="s"/>
      <c r="I325" t="s"/>
      <c r="J325" t="n">
        <v>-0.296</v>
      </c>
      <c r="K325" t="n">
        <v>0.09</v>
      </c>
      <c r="L325" t="n">
        <v>0.85</v>
      </c>
      <c r="M325" t="n">
        <v>0.061</v>
      </c>
    </row>
    <row r="326" spans="1:13">
      <c r="A326" s="1">
        <f>HYPERLINK("http://www.twitter.com/NathanBLawrence/status/997088123803889671", "997088123803889671")</f>
        <v/>
      </c>
      <c r="B326" s="2" t="n">
        <v>43237.51050925926</v>
      </c>
      <c r="C326" t="n">
        <v>7</v>
      </c>
      <c r="D326" t="n">
        <v>1</v>
      </c>
      <c r="E326" t="s">
        <v>336</v>
      </c>
      <c r="F326">
        <f>HYPERLINK("http://pbs.twimg.com/media/DdZeW_IUwAASIHz.jpg", "http://pbs.twimg.com/media/DdZeW_IUwAASIHz.jpg")</f>
        <v/>
      </c>
      <c r="G326" t="s"/>
      <c r="H326" t="s"/>
      <c r="I326" t="s"/>
      <c r="J326" t="n">
        <v>-0.6988</v>
      </c>
      <c r="K326" t="n">
        <v>0.21</v>
      </c>
      <c r="L326" t="n">
        <v>0.79</v>
      </c>
      <c r="M326" t="n">
        <v>0</v>
      </c>
    </row>
    <row r="327" spans="1:13">
      <c r="A327" s="1">
        <f>HYPERLINK("http://www.twitter.com/NathanBLawrence/status/997087759612436480", "997087759612436480")</f>
        <v/>
      </c>
      <c r="B327" s="2" t="n">
        <v>43237.50950231482</v>
      </c>
      <c r="C327" t="n">
        <v>4</v>
      </c>
      <c r="D327" t="n">
        <v>1</v>
      </c>
      <c r="E327" t="s">
        <v>337</v>
      </c>
      <c r="F327" t="s"/>
      <c r="G327" t="s"/>
      <c r="H327" t="s"/>
      <c r="I327" t="s"/>
      <c r="J327" t="n">
        <v>0.4404</v>
      </c>
      <c r="K327" t="n">
        <v>0</v>
      </c>
      <c r="L327" t="n">
        <v>0.873</v>
      </c>
      <c r="M327" t="n">
        <v>0.127</v>
      </c>
    </row>
    <row r="328" spans="1:13">
      <c r="A328" s="1">
        <f>HYPERLINK("http://www.twitter.com/NathanBLawrence/status/997086150442541056", "997086150442541056")</f>
        <v/>
      </c>
      <c r="B328" s="2" t="n">
        <v>43237.50505787037</v>
      </c>
      <c r="C328" t="n">
        <v>0</v>
      </c>
      <c r="D328" t="n">
        <v>9</v>
      </c>
      <c r="E328" t="s">
        <v>338</v>
      </c>
      <c r="F328">
        <f>HYPERLINK("http://pbs.twimg.com/media/DdXnzkyVMAAUkLM.jpg", "http://pbs.twimg.com/media/DdXnzkyVMAAUkLM.jpg")</f>
        <v/>
      </c>
      <c r="G328" t="s"/>
      <c r="H328" t="s"/>
      <c r="I328" t="s"/>
      <c r="J328" t="n">
        <v>0</v>
      </c>
      <c r="K328" t="n">
        <v>0</v>
      </c>
      <c r="L328" t="n">
        <v>1</v>
      </c>
      <c r="M328" t="n">
        <v>0</v>
      </c>
    </row>
    <row r="329" spans="1:13">
      <c r="A329" s="1">
        <f>HYPERLINK("http://www.twitter.com/NathanBLawrence/status/997085949623521281", "997085949623521281")</f>
        <v/>
      </c>
      <c r="B329" s="2" t="n">
        <v>43237.50451388889</v>
      </c>
      <c r="C329" t="n">
        <v>0</v>
      </c>
      <c r="D329" t="n">
        <v>0</v>
      </c>
      <c r="E329" t="s">
        <v>339</v>
      </c>
      <c r="F329">
        <f>HYPERLINK("http://pbs.twimg.com/media/DdZcYb-U8AA3tjG.jpg", "http://pbs.twimg.com/media/DdZcYb-U8AA3tjG.jpg")</f>
        <v/>
      </c>
      <c r="G329" t="s"/>
      <c r="H329" t="s"/>
      <c r="I329" t="s"/>
      <c r="J329" t="n">
        <v>-0.5696</v>
      </c>
      <c r="K329" t="n">
        <v>0.153</v>
      </c>
      <c r="L329" t="n">
        <v>0.847</v>
      </c>
      <c r="M329" t="n">
        <v>0</v>
      </c>
    </row>
    <row r="330" spans="1:13">
      <c r="A330" s="1">
        <f>HYPERLINK("http://www.twitter.com/NathanBLawrence/status/997084938968162305", "997084938968162305")</f>
        <v/>
      </c>
      <c r="B330" s="2" t="n">
        <v>43237.50172453704</v>
      </c>
      <c r="C330" t="n">
        <v>0</v>
      </c>
      <c r="D330" t="n">
        <v>0</v>
      </c>
      <c r="E330" t="s">
        <v>340</v>
      </c>
      <c r="F330">
        <f>HYPERLINK("http://pbs.twimg.com/media/DdZbdhSVAAAQ_qy.jpg", "http://pbs.twimg.com/media/DdZbdhSVAAAQ_qy.jpg")</f>
        <v/>
      </c>
      <c r="G330" t="s"/>
      <c r="H330" t="s"/>
      <c r="I330" t="s"/>
      <c r="J330" t="n">
        <v>0</v>
      </c>
      <c r="K330" t="n">
        <v>0</v>
      </c>
      <c r="L330" t="n">
        <v>1</v>
      </c>
      <c r="M330" t="n">
        <v>0</v>
      </c>
    </row>
    <row r="331" spans="1:13">
      <c r="A331" s="1">
        <f>HYPERLINK("http://www.twitter.com/NathanBLawrence/status/997083058317774855", "997083058317774855")</f>
        <v/>
      </c>
      <c r="B331" s="2" t="n">
        <v>43237.49652777778</v>
      </c>
      <c r="C331" t="n">
        <v>0</v>
      </c>
      <c r="D331" t="n">
        <v>9</v>
      </c>
      <c r="E331" t="s">
        <v>341</v>
      </c>
      <c r="F331" t="s"/>
      <c r="G331" t="s"/>
      <c r="H331" t="s"/>
      <c r="I331" t="s"/>
      <c r="J331" t="n">
        <v>0.2081</v>
      </c>
      <c r="K331" t="n">
        <v>0.091</v>
      </c>
      <c r="L331" t="n">
        <v>0.782</v>
      </c>
      <c r="M331" t="n">
        <v>0.127</v>
      </c>
    </row>
    <row r="332" spans="1:13">
      <c r="A332" s="1">
        <f>HYPERLINK("http://www.twitter.com/NathanBLawrence/status/997082786812121088", "997082786812121088")</f>
        <v/>
      </c>
      <c r="B332" s="2" t="n">
        <v>43237.49577546296</v>
      </c>
      <c r="C332" t="n">
        <v>5</v>
      </c>
      <c r="D332" t="n">
        <v>1</v>
      </c>
      <c r="E332" t="s">
        <v>342</v>
      </c>
      <c r="F332" t="s"/>
      <c r="G332" t="s"/>
      <c r="H332" t="s"/>
      <c r="I332" t="s"/>
      <c r="J332" t="n">
        <v>-0.2714</v>
      </c>
      <c r="K332" t="n">
        <v>0.148</v>
      </c>
      <c r="L332" t="n">
        <v>0.752</v>
      </c>
      <c r="M332" t="n">
        <v>0.1</v>
      </c>
    </row>
    <row r="333" spans="1:13">
      <c r="A333" s="1">
        <f>HYPERLINK("http://www.twitter.com/NathanBLawrence/status/997081929622044672", "997081929622044672")</f>
        <v/>
      </c>
      <c r="B333" s="2" t="n">
        <v>43237.49341435185</v>
      </c>
      <c r="C333" t="n">
        <v>0</v>
      </c>
      <c r="D333" t="n">
        <v>0</v>
      </c>
      <c r="E333" t="s">
        <v>343</v>
      </c>
      <c r="F333" t="s"/>
      <c r="G333" t="s"/>
      <c r="H333" t="s"/>
      <c r="I333" t="s"/>
      <c r="J333" t="n">
        <v>-0.3595</v>
      </c>
      <c r="K333" t="n">
        <v>0.08799999999999999</v>
      </c>
      <c r="L333" t="n">
        <v>0.912</v>
      </c>
      <c r="M333" t="n">
        <v>0</v>
      </c>
    </row>
    <row r="334" spans="1:13">
      <c r="A334" s="1">
        <f>HYPERLINK("http://www.twitter.com/NathanBLawrence/status/997080189761982464", "997080189761982464")</f>
        <v/>
      </c>
      <c r="B334" s="2" t="n">
        <v>43237.48861111111</v>
      </c>
      <c r="C334" t="n">
        <v>1</v>
      </c>
      <c r="D334" t="n">
        <v>0</v>
      </c>
      <c r="E334" t="s">
        <v>344</v>
      </c>
      <c r="F334" t="s"/>
      <c r="G334" t="s"/>
      <c r="H334" t="s"/>
      <c r="I334" t="s"/>
      <c r="J334" t="n">
        <v>0.1263</v>
      </c>
      <c r="K334" t="n">
        <v>0.059</v>
      </c>
      <c r="L334" t="n">
        <v>0.87</v>
      </c>
      <c r="M334" t="n">
        <v>0.07099999999999999</v>
      </c>
    </row>
    <row r="335" spans="1:13">
      <c r="A335" s="1">
        <f>HYPERLINK("http://www.twitter.com/NathanBLawrence/status/997079713846882309", "997079713846882309")</f>
        <v/>
      </c>
      <c r="B335" s="2" t="n">
        <v>43237.48730324074</v>
      </c>
      <c r="C335" t="n">
        <v>0</v>
      </c>
      <c r="D335" t="n">
        <v>1</v>
      </c>
      <c r="E335" t="s">
        <v>345</v>
      </c>
      <c r="F335" t="s"/>
      <c r="G335" t="s"/>
      <c r="H335" t="s"/>
      <c r="I335" t="s"/>
      <c r="J335" t="n">
        <v>0</v>
      </c>
      <c r="K335" t="n">
        <v>0</v>
      </c>
      <c r="L335" t="n">
        <v>1</v>
      </c>
      <c r="M335" t="n">
        <v>0</v>
      </c>
    </row>
    <row r="336" spans="1:13">
      <c r="A336" s="1">
        <f>HYPERLINK("http://www.twitter.com/NathanBLawrence/status/997079700903260160", "997079700903260160")</f>
        <v/>
      </c>
      <c r="B336" s="2" t="n">
        <v>43237.48726851852</v>
      </c>
      <c r="C336" t="n">
        <v>0</v>
      </c>
      <c r="D336" t="n">
        <v>12</v>
      </c>
      <c r="E336" t="s">
        <v>346</v>
      </c>
      <c r="F336" t="s"/>
      <c r="G336" t="s"/>
      <c r="H336" t="s"/>
      <c r="I336" t="s"/>
      <c r="J336" t="n">
        <v>-0.296</v>
      </c>
      <c r="K336" t="n">
        <v>0.091</v>
      </c>
      <c r="L336" t="n">
        <v>0.909</v>
      </c>
      <c r="M336" t="n">
        <v>0</v>
      </c>
    </row>
    <row r="337" spans="1:13">
      <c r="A337" s="1">
        <f>HYPERLINK("http://www.twitter.com/NathanBLawrence/status/997079219036450818", "997079219036450818")</f>
        <v/>
      </c>
      <c r="B337" s="2" t="n">
        <v>43237.4859375</v>
      </c>
      <c r="C337" t="n">
        <v>13</v>
      </c>
      <c r="D337" t="n">
        <v>7</v>
      </c>
      <c r="E337" t="s">
        <v>347</v>
      </c>
      <c r="F337" t="s"/>
      <c r="G337" t="s"/>
      <c r="H337" t="s"/>
      <c r="I337" t="s"/>
      <c r="J337" t="n">
        <v>0.7088</v>
      </c>
      <c r="K337" t="n">
        <v>0.062</v>
      </c>
      <c r="L337" t="n">
        <v>0.717</v>
      </c>
      <c r="M337" t="n">
        <v>0.221</v>
      </c>
    </row>
    <row r="338" spans="1:13">
      <c r="A338" s="1">
        <f>HYPERLINK("http://www.twitter.com/NathanBLawrence/status/997075916680556550", "997075916680556550")</f>
        <v/>
      </c>
      <c r="B338" s="2" t="n">
        <v>43237.47681712963</v>
      </c>
      <c r="C338" t="n">
        <v>0</v>
      </c>
      <c r="D338" t="n">
        <v>14</v>
      </c>
      <c r="E338" t="s">
        <v>348</v>
      </c>
      <c r="F338" t="s"/>
      <c r="G338" t="s"/>
      <c r="H338" t="s"/>
      <c r="I338" t="s"/>
      <c r="J338" t="n">
        <v>0.4215</v>
      </c>
      <c r="K338" t="n">
        <v>0</v>
      </c>
      <c r="L338" t="n">
        <v>0.877</v>
      </c>
      <c r="M338" t="n">
        <v>0.123</v>
      </c>
    </row>
    <row r="339" spans="1:13">
      <c r="A339" s="1">
        <f>HYPERLINK("http://www.twitter.com/NathanBLawrence/status/996979657596657664", "996979657596657664")</f>
        <v/>
      </c>
      <c r="B339" s="2" t="n">
        <v>43237.2112037037</v>
      </c>
      <c r="C339" t="n">
        <v>0</v>
      </c>
      <c r="D339" t="n">
        <v>0</v>
      </c>
      <c r="E339" t="s">
        <v>349</v>
      </c>
      <c r="F339" t="s"/>
      <c r="G339" t="s"/>
      <c r="H339" t="s"/>
      <c r="I339" t="s"/>
      <c r="J339" t="n">
        <v>0</v>
      </c>
      <c r="K339" t="n">
        <v>0</v>
      </c>
      <c r="L339" t="n">
        <v>1</v>
      </c>
      <c r="M339" t="n">
        <v>0</v>
      </c>
    </row>
    <row r="340" spans="1:13">
      <c r="A340" s="1">
        <f>HYPERLINK("http://www.twitter.com/NathanBLawrence/status/996978998830862336", "996978998830862336")</f>
        <v/>
      </c>
      <c r="B340" s="2" t="n">
        <v>43237.209375</v>
      </c>
      <c r="C340" t="n">
        <v>0</v>
      </c>
      <c r="D340" t="n">
        <v>3</v>
      </c>
      <c r="E340" t="s">
        <v>350</v>
      </c>
      <c r="F340" t="s"/>
      <c r="G340" t="s"/>
      <c r="H340" t="s"/>
      <c r="I340" t="s"/>
      <c r="J340" t="n">
        <v>-0.5096000000000001</v>
      </c>
      <c r="K340" t="n">
        <v>0.155</v>
      </c>
      <c r="L340" t="n">
        <v>0.845</v>
      </c>
      <c r="M340" t="n">
        <v>0</v>
      </c>
    </row>
    <row r="341" spans="1:13">
      <c r="A341" s="1">
        <f>HYPERLINK("http://www.twitter.com/NathanBLawrence/status/996973487884505088", "996973487884505088")</f>
        <v/>
      </c>
      <c r="B341" s="2" t="n">
        <v>43237.19417824074</v>
      </c>
      <c r="C341" t="n">
        <v>6</v>
      </c>
      <c r="D341" t="n">
        <v>2</v>
      </c>
      <c r="E341" t="s">
        <v>351</v>
      </c>
      <c r="F341" t="s"/>
      <c r="G341" t="s"/>
      <c r="H341" t="s"/>
      <c r="I341" t="s"/>
      <c r="J341" t="n">
        <v>0</v>
      </c>
      <c r="K341" t="n">
        <v>0</v>
      </c>
      <c r="L341" t="n">
        <v>1</v>
      </c>
      <c r="M341" t="n">
        <v>0</v>
      </c>
    </row>
    <row r="342" spans="1:13">
      <c r="A342" s="1">
        <f>HYPERLINK("http://www.twitter.com/NathanBLawrence/status/996970580980174848", "996970580980174848")</f>
        <v/>
      </c>
      <c r="B342" s="2" t="n">
        <v>43237.18614583334</v>
      </c>
      <c r="C342" t="n">
        <v>12</v>
      </c>
      <c r="D342" t="n">
        <v>5</v>
      </c>
      <c r="E342" t="s">
        <v>352</v>
      </c>
      <c r="F342" t="s"/>
      <c r="G342" t="s"/>
      <c r="H342" t="s"/>
      <c r="I342" t="s"/>
      <c r="J342" t="n">
        <v>0</v>
      </c>
      <c r="K342" t="n">
        <v>0</v>
      </c>
      <c r="L342" t="n">
        <v>1</v>
      </c>
      <c r="M342" t="n">
        <v>0</v>
      </c>
    </row>
    <row r="343" spans="1:13">
      <c r="A343" s="1">
        <f>HYPERLINK("http://www.twitter.com/NathanBLawrence/status/996969554378190848", "996969554378190848")</f>
        <v/>
      </c>
      <c r="B343" s="2" t="n">
        <v>43237.18332175926</v>
      </c>
      <c r="C343" t="n">
        <v>0</v>
      </c>
      <c r="D343" t="n">
        <v>15</v>
      </c>
      <c r="E343" t="s">
        <v>353</v>
      </c>
      <c r="F343" t="s"/>
      <c r="G343" t="s"/>
      <c r="H343" t="s"/>
      <c r="I343" t="s"/>
      <c r="J343" t="n">
        <v>0.5707</v>
      </c>
      <c r="K343" t="n">
        <v>0</v>
      </c>
      <c r="L343" t="n">
        <v>0.822</v>
      </c>
      <c r="M343" t="n">
        <v>0.178</v>
      </c>
    </row>
    <row r="344" spans="1:13">
      <c r="A344" s="1">
        <f>HYPERLINK("http://www.twitter.com/NathanBLawrence/status/996961350164283394", "996961350164283394")</f>
        <v/>
      </c>
      <c r="B344" s="2" t="n">
        <v>43237.16068287037</v>
      </c>
      <c r="C344" t="n">
        <v>5</v>
      </c>
      <c r="D344" t="n">
        <v>1</v>
      </c>
      <c r="E344" t="s">
        <v>354</v>
      </c>
      <c r="F344" t="s"/>
      <c r="G344" t="s"/>
      <c r="H344" t="s"/>
      <c r="I344" t="s"/>
      <c r="J344" t="n">
        <v>0.5434</v>
      </c>
      <c r="K344" t="n">
        <v>0.079</v>
      </c>
      <c r="L344" t="n">
        <v>0.699</v>
      </c>
      <c r="M344" t="n">
        <v>0.222</v>
      </c>
    </row>
    <row r="345" spans="1:13">
      <c r="A345" s="1">
        <f>HYPERLINK("http://www.twitter.com/NathanBLawrence/status/996959678570680320", "996959678570680320")</f>
        <v/>
      </c>
      <c r="B345" s="2" t="n">
        <v>43237.15606481482</v>
      </c>
      <c r="C345" t="n">
        <v>0</v>
      </c>
      <c r="D345" t="n">
        <v>37</v>
      </c>
      <c r="E345" t="s">
        <v>355</v>
      </c>
      <c r="F345">
        <f>HYPERLINK("http://pbs.twimg.com/media/DdXNHd7VMAEO5bP.jpg", "http://pbs.twimg.com/media/DdXNHd7VMAEO5bP.jpg")</f>
        <v/>
      </c>
      <c r="G345" t="s"/>
      <c r="H345" t="s"/>
      <c r="I345" t="s"/>
      <c r="J345" t="n">
        <v>0</v>
      </c>
      <c r="K345" t="n">
        <v>0</v>
      </c>
      <c r="L345" t="n">
        <v>1</v>
      </c>
      <c r="M345" t="n">
        <v>0</v>
      </c>
    </row>
    <row r="346" spans="1:13">
      <c r="A346" s="1">
        <f>HYPERLINK("http://www.twitter.com/NathanBLawrence/status/996956543278108674", "996956543278108674")</f>
        <v/>
      </c>
      <c r="B346" s="2" t="n">
        <v>43237.14741898148</v>
      </c>
      <c r="C346" t="n">
        <v>1</v>
      </c>
      <c r="D346" t="n">
        <v>0</v>
      </c>
      <c r="E346" t="s">
        <v>356</v>
      </c>
      <c r="F346" t="s"/>
      <c r="G346" t="s"/>
      <c r="H346" t="s"/>
      <c r="I346" t="s"/>
      <c r="J346" t="n">
        <v>0.4939</v>
      </c>
      <c r="K346" t="n">
        <v>0</v>
      </c>
      <c r="L346" t="n">
        <v>0.8139999999999999</v>
      </c>
      <c r="M346" t="n">
        <v>0.186</v>
      </c>
    </row>
    <row r="347" spans="1:13">
      <c r="A347" s="1">
        <f>HYPERLINK("http://www.twitter.com/NathanBLawrence/status/996955802916282369", "996955802916282369")</f>
        <v/>
      </c>
      <c r="B347" s="2" t="n">
        <v>43237.14537037037</v>
      </c>
      <c r="C347" t="n">
        <v>0</v>
      </c>
      <c r="D347" t="n">
        <v>2</v>
      </c>
      <c r="E347" t="s">
        <v>357</v>
      </c>
      <c r="F347" t="s"/>
      <c r="G347" t="s"/>
      <c r="H347" t="s"/>
      <c r="I347" t="s"/>
      <c r="J347" t="n">
        <v>-0.4862</v>
      </c>
      <c r="K347" t="n">
        <v>0.172</v>
      </c>
      <c r="L347" t="n">
        <v>0.828</v>
      </c>
      <c r="M347" t="n">
        <v>0</v>
      </c>
    </row>
    <row r="348" spans="1:13">
      <c r="A348" s="1">
        <f>HYPERLINK("http://www.twitter.com/NathanBLawrence/status/996955729323085829", "996955729323085829")</f>
        <v/>
      </c>
      <c r="B348" s="2" t="n">
        <v>43237.14517361111</v>
      </c>
      <c r="C348" t="n">
        <v>8</v>
      </c>
      <c r="D348" t="n">
        <v>2</v>
      </c>
      <c r="E348" t="s">
        <v>358</v>
      </c>
      <c r="F348" t="s"/>
      <c r="G348" t="s"/>
      <c r="H348" t="s"/>
      <c r="I348" t="s"/>
      <c r="J348" t="n">
        <v>0</v>
      </c>
      <c r="K348" t="n">
        <v>0</v>
      </c>
      <c r="L348" t="n">
        <v>1</v>
      </c>
      <c r="M348" t="n">
        <v>0</v>
      </c>
    </row>
    <row r="349" spans="1:13">
      <c r="A349" s="1">
        <f>HYPERLINK("http://www.twitter.com/NathanBLawrence/status/996951648789520384", "996951648789520384")</f>
        <v/>
      </c>
      <c r="B349" s="2" t="n">
        <v>43237.13391203704</v>
      </c>
      <c r="C349" t="n">
        <v>0</v>
      </c>
      <c r="D349" t="n">
        <v>0</v>
      </c>
      <c r="E349" t="s">
        <v>359</v>
      </c>
      <c r="F349" t="s"/>
      <c r="G349" t="s"/>
      <c r="H349" t="s"/>
      <c r="I349" t="s"/>
      <c r="J349" t="n">
        <v>0</v>
      </c>
      <c r="K349" t="n">
        <v>0</v>
      </c>
      <c r="L349" t="n">
        <v>1</v>
      </c>
      <c r="M349" t="n">
        <v>0</v>
      </c>
    </row>
    <row r="350" spans="1:13">
      <c r="A350" s="1">
        <f>HYPERLINK("http://www.twitter.com/NathanBLawrence/status/996950844795965440", "996950844795965440")</f>
        <v/>
      </c>
      <c r="B350" s="2" t="n">
        <v>43237.13168981481</v>
      </c>
      <c r="C350" t="n">
        <v>19</v>
      </c>
      <c r="D350" t="n">
        <v>13</v>
      </c>
      <c r="E350" t="s">
        <v>360</v>
      </c>
      <c r="F350" t="s"/>
      <c r="G350" t="s"/>
      <c r="H350" t="s"/>
      <c r="I350" t="s"/>
      <c r="J350" t="n">
        <v>0</v>
      </c>
      <c r="K350" t="n">
        <v>0</v>
      </c>
      <c r="L350" t="n">
        <v>1</v>
      </c>
      <c r="M350" t="n">
        <v>0</v>
      </c>
    </row>
    <row r="351" spans="1:13">
      <c r="A351" s="1">
        <f>HYPERLINK("http://www.twitter.com/NathanBLawrence/status/996942508084137984", "996942508084137984")</f>
        <v/>
      </c>
      <c r="B351" s="2" t="n">
        <v>43237.10868055555</v>
      </c>
      <c r="C351" t="n">
        <v>13</v>
      </c>
      <c r="D351" t="n">
        <v>14</v>
      </c>
      <c r="E351" t="s">
        <v>361</v>
      </c>
      <c r="F351" t="s"/>
      <c r="G351" t="s"/>
      <c r="H351" t="s"/>
      <c r="I351" t="s"/>
      <c r="J351" t="n">
        <v>-0.2481</v>
      </c>
      <c r="K351" t="n">
        <v>0.094</v>
      </c>
      <c r="L351" t="n">
        <v>0.854</v>
      </c>
      <c r="M351" t="n">
        <v>0.052</v>
      </c>
    </row>
    <row r="352" spans="1:13">
      <c r="A352" s="1">
        <f>HYPERLINK("http://www.twitter.com/NathanBLawrence/status/996915028971401216", "996915028971401216")</f>
        <v/>
      </c>
      <c r="B352" s="2" t="n">
        <v>43237.03285879629</v>
      </c>
      <c r="C352" t="n">
        <v>6</v>
      </c>
      <c r="D352" t="n">
        <v>4</v>
      </c>
      <c r="E352" t="s">
        <v>362</v>
      </c>
      <c r="F352" t="s"/>
      <c r="G352" t="s"/>
      <c r="H352" t="s"/>
      <c r="I352" t="s"/>
      <c r="J352" t="n">
        <v>-0.2732</v>
      </c>
      <c r="K352" t="n">
        <v>0.139</v>
      </c>
      <c r="L352" t="n">
        <v>0.785</v>
      </c>
      <c r="M352" t="n">
        <v>0.076</v>
      </c>
    </row>
    <row r="353" spans="1:13">
      <c r="A353" s="1">
        <f>HYPERLINK("http://www.twitter.com/NathanBLawrence/status/996913689738477569", "996913689738477569")</f>
        <v/>
      </c>
      <c r="B353" s="2" t="n">
        <v>43237.02916666667</v>
      </c>
      <c r="C353" t="n">
        <v>6</v>
      </c>
      <c r="D353" t="n">
        <v>4</v>
      </c>
      <c r="E353" t="s">
        <v>363</v>
      </c>
      <c r="F353" t="s"/>
      <c r="G353" t="s"/>
      <c r="H353" t="s"/>
      <c r="I353" t="s"/>
      <c r="J353" t="n">
        <v>-0.7096</v>
      </c>
      <c r="K353" t="n">
        <v>0.185</v>
      </c>
      <c r="L353" t="n">
        <v>0.754</v>
      </c>
      <c r="M353" t="n">
        <v>0.061</v>
      </c>
    </row>
    <row r="354" spans="1:13">
      <c r="A354" s="1">
        <f>HYPERLINK("http://www.twitter.com/NathanBLawrence/status/996907493921042432", "996907493921042432")</f>
        <v/>
      </c>
      <c r="B354" s="2" t="n">
        <v>43237.01206018519</v>
      </c>
      <c r="C354" t="n">
        <v>2</v>
      </c>
      <c r="D354" t="n">
        <v>2</v>
      </c>
      <c r="E354" t="s">
        <v>364</v>
      </c>
      <c r="F354" t="s"/>
      <c r="G354" t="s"/>
      <c r="H354" t="s"/>
      <c r="I354" t="s"/>
      <c r="J354" t="n">
        <v>-0.0516</v>
      </c>
      <c r="K354" t="n">
        <v>0.139</v>
      </c>
      <c r="L354" t="n">
        <v>0.749</v>
      </c>
      <c r="M354" t="n">
        <v>0.112</v>
      </c>
    </row>
    <row r="355" spans="1:13">
      <c r="A355" s="1">
        <f>HYPERLINK("http://www.twitter.com/NathanBLawrence/status/996900221463465986", "996900221463465986")</f>
        <v/>
      </c>
      <c r="B355" s="2" t="n">
        <v>43236.99199074074</v>
      </c>
      <c r="C355" t="n">
        <v>0</v>
      </c>
      <c r="D355" t="n">
        <v>0</v>
      </c>
      <c r="E355" t="s">
        <v>365</v>
      </c>
      <c r="F355" t="s"/>
      <c r="G355" t="s"/>
      <c r="H355" t="s"/>
      <c r="I355" t="s"/>
      <c r="J355" t="n">
        <v>0.1759</v>
      </c>
      <c r="K355" t="n">
        <v>0.206</v>
      </c>
      <c r="L355" t="n">
        <v>0.569</v>
      </c>
      <c r="M355" t="n">
        <v>0.225</v>
      </c>
    </row>
    <row r="356" spans="1:13">
      <c r="A356" s="1">
        <f>HYPERLINK("http://www.twitter.com/NathanBLawrence/status/996898344017547264", "996898344017547264")</f>
        <v/>
      </c>
      <c r="B356" s="2" t="n">
        <v>43236.98681712963</v>
      </c>
      <c r="C356" t="n">
        <v>0</v>
      </c>
      <c r="D356" t="n">
        <v>5</v>
      </c>
      <c r="E356" t="s">
        <v>366</v>
      </c>
      <c r="F356" t="s"/>
      <c r="G356" t="s"/>
      <c r="H356" t="s"/>
      <c r="I356" t="s"/>
      <c r="J356" t="n">
        <v>-0.2263</v>
      </c>
      <c r="K356" t="n">
        <v>0.091</v>
      </c>
      <c r="L356" t="n">
        <v>0.909</v>
      </c>
      <c r="M356" t="n">
        <v>0</v>
      </c>
    </row>
    <row r="357" spans="1:13">
      <c r="A357" s="1">
        <f>HYPERLINK("http://www.twitter.com/NathanBLawrence/status/996893795693285376", "996893795693285376")</f>
        <v/>
      </c>
      <c r="B357" s="2" t="n">
        <v>43236.97425925926</v>
      </c>
      <c r="C357" t="n">
        <v>0</v>
      </c>
      <c r="D357" t="n">
        <v>7</v>
      </c>
      <c r="E357" t="s">
        <v>367</v>
      </c>
      <c r="F357">
        <f>HYPERLINK("http://pbs.twimg.com/media/DdWsfPGVAAIP_iS.jpg", "http://pbs.twimg.com/media/DdWsfPGVAAIP_iS.jpg")</f>
        <v/>
      </c>
      <c r="G357" t="s"/>
      <c r="H357" t="s"/>
      <c r="I357" t="s"/>
      <c r="J357" t="n">
        <v>0.1406</v>
      </c>
      <c r="K357" t="n">
        <v>0</v>
      </c>
      <c r="L357" t="n">
        <v>0.921</v>
      </c>
      <c r="M357" t="n">
        <v>0.079</v>
      </c>
    </row>
    <row r="358" spans="1:13">
      <c r="A358" s="1">
        <f>HYPERLINK("http://www.twitter.com/NathanBLawrence/status/996891209103826944", "996891209103826944")</f>
        <v/>
      </c>
      <c r="B358" s="2" t="n">
        <v>43236.96712962963</v>
      </c>
      <c r="C358" t="n">
        <v>4</v>
      </c>
      <c r="D358" t="n">
        <v>1</v>
      </c>
      <c r="E358" t="s">
        <v>368</v>
      </c>
      <c r="F358" t="s"/>
      <c r="G358" t="s"/>
      <c r="H358" t="s"/>
      <c r="I358" t="s"/>
      <c r="J358" t="n">
        <v>-0.6124000000000001</v>
      </c>
      <c r="K358" t="n">
        <v>0.133</v>
      </c>
      <c r="L358" t="n">
        <v>0.819</v>
      </c>
      <c r="M358" t="n">
        <v>0.048</v>
      </c>
    </row>
    <row r="359" spans="1:13">
      <c r="A359" s="1">
        <f>HYPERLINK("http://www.twitter.com/NathanBLawrence/status/996890051391913990", "996890051391913990")</f>
        <v/>
      </c>
      <c r="B359" s="2" t="n">
        <v>43236.96393518519</v>
      </c>
      <c r="C359" t="n">
        <v>6</v>
      </c>
      <c r="D359" t="n">
        <v>1</v>
      </c>
      <c r="E359" t="s">
        <v>369</v>
      </c>
      <c r="F359" t="s"/>
      <c r="G359" t="s"/>
      <c r="H359" t="s"/>
      <c r="I359" t="s"/>
      <c r="J359" t="n">
        <v>-0.5514</v>
      </c>
      <c r="K359" t="n">
        <v>0.153</v>
      </c>
      <c r="L359" t="n">
        <v>0.753</v>
      </c>
      <c r="M359" t="n">
        <v>0.094</v>
      </c>
    </row>
    <row r="360" spans="1:13">
      <c r="A360" s="1">
        <f>HYPERLINK("http://www.twitter.com/NathanBLawrence/status/996888951754575873", "996888951754575873")</f>
        <v/>
      </c>
      <c r="B360" s="2" t="n">
        <v>43236.96090277778</v>
      </c>
      <c r="C360" t="n">
        <v>18</v>
      </c>
      <c r="D360" t="n">
        <v>12</v>
      </c>
      <c r="E360" t="s">
        <v>370</v>
      </c>
      <c r="F360" t="s"/>
      <c r="G360" t="s"/>
      <c r="H360" t="s"/>
      <c r="I360" t="s"/>
      <c r="J360" t="n">
        <v>-0.3182</v>
      </c>
      <c r="K360" t="n">
        <v>0.144</v>
      </c>
      <c r="L360" t="n">
        <v>0.756</v>
      </c>
      <c r="M360" t="n">
        <v>0.1</v>
      </c>
    </row>
    <row r="361" spans="1:13">
      <c r="A361" s="1">
        <f>HYPERLINK("http://www.twitter.com/NathanBLawrence/status/996887128276684800", "996887128276684800")</f>
        <v/>
      </c>
      <c r="B361" s="2" t="n">
        <v>43236.95586805556</v>
      </c>
      <c r="C361" t="n">
        <v>2</v>
      </c>
      <c r="D361" t="n">
        <v>1</v>
      </c>
      <c r="E361" t="s">
        <v>371</v>
      </c>
      <c r="F361" t="s"/>
      <c r="G361" t="s"/>
      <c r="H361" t="s"/>
      <c r="I361" t="s"/>
      <c r="J361" t="n">
        <v>-0.2732</v>
      </c>
      <c r="K361" t="n">
        <v>0.189</v>
      </c>
      <c r="L361" t="n">
        <v>0.64</v>
      </c>
      <c r="M361" t="n">
        <v>0.171</v>
      </c>
    </row>
    <row r="362" spans="1:13">
      <c r="A362" s="1">
        <f>HYPERLINK("http://www.twitter.com/NathanBLawrence/status/996880355817938945", "996880355817938945")</f>
        <v/>
      </c>
      <c r="B362" s="2" t="n">
        <v>43236.93717592592</v>
      </c>
      <c r="C362" t="n">
        <v>0</v>
      </c>
      <c r="D362" t="n">
        <v>1</v>
      </c>
      <c r="E362" t="s">
        <v>372</v>
      </c>
      <c r="F362" t="s"/>
      <c r="G362" t="s"/>
      <c r="H362" t="s"/>
      <c r="I362" t="s"/>
      <c r="J362" t="n">
        <v>-0.7882</v>
      </c>
      <c r="K362" t="n">
        <v>0.187</v>
      </c>
      <c r="L362" t="n">
        <v>0.767</v>
      </c>
      <c r="M362" t="n">
        <v>0.046</v>
      </c>
    </row>
    <row r="363" spans="1:13">
      <c r="A363" s="1">
        <f>HYPERLINK("http://www.twitter.com/NathanBLawrence/status/996879870591422464", "996879870591422464")</f>
        <v/>
      </c>
      <c r="B363" s="2" t="n">
        <v>43236.93583333334</v>
      </c>
      <c r="C363" t="n">
        <v>4</v>
      </c>
      <c r="D363" t="n">
        <v>1</v>
      </c>
      <c r="E363" t="s">
        <v>373</v>
      </c>
      <c r="F363" t="s"/>
      <c r="G363" t="s"/>
      <c r="H363" t="s"/>
      <c r="I363" t="s"/>
      <c r="J363" t="n">
        <v>-0.2263</v>
      </c>
      <c r="K363" t="n">
        <v>0.275</v>
      </c>
      <c r="L363" t="n">
        <v>0.725</v>
      </c>
      <c r="M363" t="n">
        <v>0</v>
      </c>
    </row>
    <row r="364" spans="1:13">
      <c r="A364" s="1">
        <f>HYPERLINK("http://www.twitter.com/NathanBLawrence/status/996866515818381312", "996866515818381312")</f>
        <v/>
      </c>
      <c r="B364" s="2" t="n">
        <v>43236.89898148148</v>
      </c>
      <c r="C364" t="n">
        <v>5</v>
      </c>
      <c r="D364" t="n">
        <v>1</v>
      </c>
      <c r="E364" t="s">
        <v>374</v>
      </c>
      <c r="F364" t="s"/>
      <c r="G364" t="s"/>
      <c r="H364" t="s"/>
      <c r="I364" t="s"/>
      <c r="J364" t="n">
        <v>-0.6808</v>
      </c>
      <c r="K364" t="n">
        <v>0.211</v>
      </c>
      <c r="L364" t="n">
        <v>0.789</v>
      </c>
      <c r="M364" t="n">
        <v>0</v>
      </c>
    </row>
    <row r="365" spans="1:13">
      <c r="A365" s="1">
        <f>HYPERLINK("http://www.twitter.com/NathanBLawrence/status/996864769108963328", "996864769108963328")</f>
        <v/>
      </c>
      <c r="B365" s="2" t="n">
        <v>43236.89416666667</v>
      </c>
      <c r="C365" t="n">
        <v>5</v>
      </c>
      <c r="D365" t="n">
        <v>1</v>
      </c>
      <c r="E365" t="s">
        <v>375</v>
      </c>
      <c r="F365" t="s"/>
      <c r="G365" t="s"/>
      <c r="H365" t="s"/>
      <c r="I365" t="s"/>
      <c r="J365" t="n">
        <v>-0.2714</v>
      </c>
      <c r="K365" t="n">
        <v>0.055</v>
      </c>
      <c r="L365" t="n">
        <v>0.945</v>
      </c>
      <c r="M365" t="n">
        <v>0</v>
      </c>
    </row>
    <row r="366" spans="1:13">
      <c r="A366" s="1">
        <f>HYPERLINK("http://www.twitter.com/NathanBLawrence/status/996853420756819969", "996853420756819969")</f>
        <v/>
      </c>
      <c r="B366" s="2" t="n">
        <v>43236.86284722222</v>
      </c>
      <c r="C366" t="n">
        <v>4</v>
      </c>
      <c r="D366" t="n">
        <v>0</v>
      </c>
      <c r="E366" t="s">
        <v>376</v>
      </c>
      <c r="F366" t="s"/>
      <c r="G366" t="s"/>
      <c r="H366" t="s"/>
      <c r="I366" t="s"/>
      <c r="J366" t="n">
        <v>0.0258</v>
      </c>
      <c r="K366" t="n">
        <v>0.134</v>
      </c>
      <c r="L366" t="n">
        <v>0.766</v>
      </c>
      <c r="M366" t="n">
        <v>0.1</v>
      </c>
    </row>
    <row r="367" spans="1:13">
      <c r="A367" s="1">
        <f>HYPERLINK("http://www.twitter.com/NathanBLawrence/status/996853085996769281", "996853085996769281")</f>
        <v/>
      </c>
      <c r="B367" s="2" t="n">
        <v>43236.86192129629</v>
      </c>
      <c r="C367" t="n">
        <v>0</v>
      </c>
      <c r="D367" t="n">
        <v>9</v>
      </c>
      <c r="E367" t="s">
        <v>377</v>
      </c>
      <c r="F367" t="s"/>
      <c r="G367" t="s"/>
      <c r="H367" t="s"/>
      <c r="I367" t="s"/>
      <c r="J367" t="n">
        <v>0</v>
      </c>
      <c r="K367" t="n">
        <v>0</v>
      </c>
      <c r="L367" t="n">
        <v>1</v>
      </c>
      <c r="M367" t="n">
        <v>0</v>
      </c>
    </row>
    <row r="368" spans="1:13">
      <c r="A368" s="1">
        <f>HYPERLINK("http://www.twitter.com/NathanBLawrence/status/996852694898921472", "996852694898921472")</f>
        <v/>
      </c>
      <c r="B368" s="2" t="n">
        <v>43236.86084490741</v>
      </c>
      <c r="C368" t="n">
        <v>0</v>
      </c>
      <c r="D368" t="n">
        <v>2</v>
      </c>
      <c r="E368" t="s">
        <v>378</v>
      </c>
      <c r="F368" t="s"/>
      <c r="G368" t="s"/>
      <c r="H368" t="s"/>
      <c r="I368" t="s"/>
      <c r="J368" t="n">
        <v>-0.2732</v>
      </c>
      <c r="K368" t="n">
        <v>0.11</v>
      </c>
      <c r="L368" t="n">
        <v>0.89</v>
      </c>
      <c r="M368" t="n">
        <v>0</v>
      </c>
    </row>
    <row r="369" spans="1:13">
      <c r="A369" s="1">
        <f>HYPERLINK("http://www.twitter.com/NathanBLawrence/status/996852223333359618", "996852223333359618")</f>
        <v/>
      </c>
      <c r="B369" s="2" t="n">
        <v>43236.85954861111</v>
      </c>
      <c r="C369" t="n">
        <v>0</v>
      </c>
      <c r="D369" t="n">
        <v>1</v>
      </c>
      <c r="E369" t="s">
        <v>379</v>
      </c>
      <c r="F369" t="s"/>
      <c r="G369" t="s"/>
      <c r="H369" t="s"/>
      <c r="I369" t="s"/>
      <c r="J369" t="n">
        <v>-0.5229</v>
      </c>
      <c r="K369" t="n">
        <v>0.158</v>
      </c>
      <c r="L369" t="n">
        <v>0.842</v>
      </c>
      <c r="M369" t="n">
        <v>0</v>
      </c>
    </row>
    <row r="370" spans="1:13">
      <c r="A370" s="1">
        <f>HYPERLINK("http://www.twitter.com/NathanBLawrence/status/996852043640909825", "996852043640909825")</f>
        <v/>
      </c>
      <c r="B370" s="2" t="n">
        <v>43236.85905092592</v>
      </c>
      <c r="C370" t="n">
        <v>1</v>
      </c>
      <c r="D370" t="n">
        <v>1</v>
      </c>
      <c r="E370" t="s">
        <v>380</v>
      </c>
      <c r="F370" t="s"/>
      <c r="G370" t="s"/>
      <c r="H370" t="s"/>
      <c r="I370" t="s"/>
      <c r="J370" t="n">
        <v>0.1526</v>
      </c>
      <c r="K370" t="n">
        <v>0.079</v>
      </c>
      <c r="L370" t="n">
        <v>0.83</v>
      </c>
      <c r="M370" t="n">
        <v>0.09</v>
      </c>
    </row>
    <row r="371" spans="1:13">
      <c r="A371" s="1">
        <f>HYPERLINK("http://www.twitter.com/NathanBLawrence/status/996850144309112833", "996850144309112833")</f>
        <v/>
      </c>
      <c r="B371" s="2" t="n">
        <v>43236.85380787037</v>
      </c>
      <c r="C371" t="n">
        <v>0</v>
      </c>
      <c r="D371" t="n">
        <v>0</v>
      </c>
      <c r="E371" t="s">
        <v>381</v>
      </c>
      <c r="F371" t="s"/>
      <c r="G371" t="s"/>
      <c r="H371" t="s"/>
      <c r="I371" t="s"/>
      <c r="J371" t="n">
        <v>-0.6476</v>
      </c>
      <c r="K371" t="n">
        <v>0.186</v>
      </c>
      <c r="L371" t="n">
        <v>0.761</v>
      </c>
      <c r="M371" t="n">
        <v>0.053</v>
      </c>
    </row>
    <row r="372" spans="1:13">
      <c r="A372" s="1">
        <f>HYPERLINK("http://www.twitter.com/NathanBLawrence/status/996849271453487105", "996849271453487105")</f>
        <v/>
      </c>
      <c r="B372" s="2" t="n">
        <v>43236.85140046296</v>
      </c>
      <c r="C372" t="n">
        <v>0</v>
      </c>
      <c r="D372" t="n">
        <v>0</v>
      </c>
      <c r="E372" t="s">
        <v>382</v>
      </c>
      <c r="F372" t="s"/>
      <c r="G372" t="s"/>
      <c r="H372" t="s"/>
      <c r="I372" t="s"/>
      <c r="J372" t="n">
        <v>-0.25</v>
      </c>
      <c r="K372" t="n">
        <v>0.134</v>
      </c>
      <c r="L372" t="n">
        <v>0.762</v>
      </c>
      <c r="M372" t="n">
        <v>0.104</v>
      </c>
    </row>
    <row r="373" spans="1:13">
      <c r="A373" s="1">
        <f>HYPERLINK("http://www.twitter.com/NathanBLawrence/status/996848945870589954", "996848945870589954")</f>
        <v/>
      </c>
      <c r="B373" s="2" t="n">
        <v>43236.85049768518</v>
      </c>
      <c r="C373" t="n">
        <v>0</v>
      </c>
      <c r="D373" t="n">
        <v>0</v>
      </c>
      <c r="E373" t="s">
        <v>383</v>
      </c>
      <c r="F373" t="s"/>
      <c r="G373" t="s"/>
      <c r="H373" t="s"/>
      <c r="I373" t="s"/>
      <c r="J373" t="n">
        <v>0</v>
      </c>
      <c r="K373" t="n">
        <v>0</v>
      </c>
      <c r="L373" t="n">
        <v>1</v>
      </c>
      <c r="M373" t="n">
        <v>0</v>
      </c>
    </row>
    <row r="374" spans="1:13">
      <c r="A374" s="1">
        <f>HYPERLINK("http://www.twitter.com/NathanBLawrence/status/996847705216487425", "996847705216487425")</f>
        <v/>
      </c>
      <c r="B374" s="2" t="n">
        <v>43236.84708333333</v>
      </c>
      <c r="C374" t="n">
        <v>0</v>
      </c>
      <c r="D374" t="n">
        <v>0</v>
      </c>
      <c r="E374" t="s">
        <v>384</v>
      </c>
      <c r="F374" t="s"/>
      <c r="G374" t="s"/>
      <c r="H374" t="s"/>
      <c r="I374" t="s"/>
      <c r="J374" t="n">
        <v>-0.7269</v>
      </c>
      <c r="K374" t="n">
        <v>0.276</v>
      </c>
      <c r="L374" t="n">
        <v>0.724</v>
      </c>
      <c r="M374" t="n">
        <v>0</v>
      </c>
    </row>
    <row r="375" spans="1:13">
      <c r="A375" s="1">
        <f>HYPERLINK("http://www.twitter.com/NathanBLawrence/status/996845999657291776", "996845999657291776")</f>
        <v/>
      </c>
      <c r="B375" s="2" t="n">
        <v>43236.84237268518</v>
      </c>
      <c r="C375" t="n">
        <v>0</v>
      </c>
      <c r="D375" t="n">
        <v>0</v>
      </c>
      <c r="E375" t="s">
        <v>385</v>
      </c>
      <c r="F375" t="s"/>
      <c r="G375" t="s"/>
      <c r="H375" t="s"/>
      <c r="I375" t="s"/>
      <c r="J375" t="n">
        <v>-0.7717000000000001</v>
      </c>
      <c r="K375" t="n">
        <v>0.339</v>
      </c>
      <c r="L375" t="n">
        <v>0.661</v>
      </c>
      <c r="M375" t="n">
        <v>0</v>
      </c>
    </row>
    <row r="376" spans="1:13">
      <c r="A376" s="1">
        <f>HYPERLINK("http://www.twitter.com/NathanBLawrence/status/996845344314011649", "996845344314011649")</f>
        <v/>
      </c>
      <c r="B376" s="2" t="n">
        <v>43236.84056712963</v>
      </c>
      <c r="C376" t="n">
        <v>3</v>
      </c>
      <c r="D376" t="n">
        <v>2</v>
      </c>
      <c r="E376" t="s">
        <v>386</v>
      </c>
      <c r="F376" t="s"/>
      <c r="G376" t="s"/>
      <c r="H376" t="s"/>
      <c r="I376" t="s"/>
      <c r="J376" t="n">
        <v>-0.5707</v>
      </c>
      <c r="K376" t="n">
        <v>0.091</v>
      </c>
      <c r="L376" t="n">
        <v>0.909</v>
      </c>
      <c r="M376" t="n">
        <v>0</v>
      </c>
    </row>
    <row r="377" spans="1:13">
      <c r="A377" s="1">
        <f>HYPERLINK("http://www.twitter.com/NathanBLawrence/status/996818253812027393", "996818253812027393")</f>
        <v/>
      </c>
      <c r="B377" s="2" t="n">
        <v>43236.76581018518</v>
      </c>
      <c r="C377" t="n">
        <v>2</v>
      </c>
      <c r="D377" t="n">
        <v>2</v>
      </c>
      <c r="E377" t="s">
        <v>387</v>
      </c>
      <c r="F377" t="s"/>
      <c r="G377" t="s"/>
      <c r="H377" t="s"/>
      <c r="I377" t="s"/>
      <c r="J377" t="n">
        <v>0.7096</v>
      </c>
      <c r="K377" t="n">
        <v>0</v>
      </c>
      <c r="L377" t="n">
        <v>0.859</v>
      </c>
      <c r="M377" t="n">
        <v>0.141</v>
      </c>
    </row>
    <row r="378" spans="1:13">
      <c r="A378" s="1">
        <f>HYPERLINK("http://www.twitter.com/NathanBLawrence/status/996815937591562240", "996815937591562240")</f>
        <v/>
      </c>
      <c r="B378" s="2" t="n">
        <v>43236.75942129629</v>
      </c>
      <c r="C378" t="n">
        <v>0</v>
      </c>
      <c r="D378" t="n">
        <v>1</v>
      </c>
      <c r="E378" t="s">
        <v>388</v>
      </c>
      <c r="F378">
        <f>HYPERLINK("http://pbs.twimg.com/media/DdVZfo6W4AEf69M.jpg", "http://pbs.twimg.com/media/DdVZfo6W4AEf69M.jpg")</f>
        <v/>
      </c>
      <c r="G378" t="s"/>
      <c r="H378" t="s"/>
      <c r="I378" t="s"/>
      <c r="J378" t="n">
        <v>0.0772</v>
      </c>
      <c r="K378" t="n">
        <v>0</v>
      </c>
      <c r="L378" t="n">
        <v>0.885</v>
      </c>
      <c r="M378" t="n">
        <v>0.115</v>
      </c>
    </row>
    <row r="379" spans="1:13">
      <c r="A379" s="1">
        <f>HYPERLINK("http://www.twitter.com/NathanBLawrence/status/996815875792621571", "996815875792621571")</f>
        <v/>
      </c>
      <c r="B379" s="2" t="n">
        <v>43236.75924768519</v>
      </c>
      <c r="C379" t="n">
        <v>3</v>
      </c>
      <c r="D379" t="n">
        <v>2</v>
      </c>
      <c r="E379" t="s">
        <v>389</v>
      </c>
      <c r="F379" t="s"/>
      <c r="G379" t="s"/>
      <c r="H379" t="s"/>
      <c r="I379" t="s"/>
      <c r="J379" t="n">
        <v>0.1027</v>
      </c>
      <c r="K379" t="n">
        <v>0.097</v>
      </c>
      <c r="L379" t="n">
        <v>0.787</v>
      </c>
      <c r="M379" t="n">
        <v>0.116</v>
      </c>
    </row>
    <row r="380" spans="1:13">
      <c r="A380" s="1">
        <f>HYPERLINK("http://www.twitter.com/NathanBLawrence/status/996814298432360449", "996814298432360449")</f>
        <v/>
      </c>
      <c r="B380" s="2" t="n">
        <v>43236.75489583334</v>
      </c>
      <c r="C380" t="n">
        <v>0</v>
      </c>
      <c r="D380" t="n">
        <v>1</v>
      </c>
      <c r="E380" t="s">
        <v>390</v>
      </c>
      <c r="F380" t="s"/>
      <c r="G380" t="s"/>
      <c r="H380" t="s"/>
      <c r="I380" t="s"/>
      <c r="J380" t="n">
        <v>-0.4404</v>
      </c>
      <c r="K380" t="n">
        <v>0.166</v>
      </c>
      <c r="L380" t="n">
        <v>0.764</v>
      </c>
      <c r="M380" t="n">
        <v>0.07000000000000001</v>
      </c>
    </row>
    <row r="381" spans="1:13">
      <c r="A381" s="1">
        <f>HYPERLINK("http://www.twitter.com/NathanBLawrence/status/996803680765652993", "996803680765652993")</f>
        <v/>
      </c>
      <c r="B381" s="2" t="n">
        <v>43236.72559027778</v>
      </c>
      <c r="C381" t="n">
        <v>0</v>
      </c>
      <c r="D381" t="n">
        <v>9</v>
      </c>
      <c r="E381" t="s">
        <v>391</v>
      </c>
      <c r="F381">
        <f>HYPERLINK("http://pbs.twimg.com/media/DdVBM6jU8AEnQVJ.jpg", "http://pbs.twimg.com/media/DdVBM6jU8AEnQVJ.jpg")</f>
        <v/>
      </c>
      <c r="G381" t="s"/>
      <c r="H381" t="s"/>
      <c r="I381" t="s"/>
      <c r="J381" t="n">
        <v>0</v>
      </c>
      <c r="K381" t="n">
        <v>0</v>
      </c>
      <c r="L381" t="n">
        <v>1</v>
      </c>
      <c r="M381" t="n">
        <v>0</v>
      </c>
    </row>
    <row r="382" spans="1:13">
      <c r="A382" s="1">
        <f>HYPERLINK("http://www.twitter.com/NathanBLawrence/status/996758333846638593", "996758333846638593")</f>
        <v/>
      </c>
      <c r="B382" s="2" t="n">
        <v>43236.60046296296</v>
      </c>
      <c r="C382" t="n">
        <v>1</v>
      </c>
      <c r="D382" t="n">
        <v>0</v>
      </c>
      <c r="E382" t="s">
        <v>392</v>
      </c>
      <c r="F382" t="s"/>
      <c r="G382" t="s"/>
      <c r="H382" t="s"/>
      <c r="I382" t="s"/>
      <c r="J382" t="n">
        <v>0.128</v>
      </c>
      <c r="K382" t="n">
        <v>0.122</v>
      </c>
      <c r="L382" t="n">
        <v>0.743</v>
      </c>
      <c r="M382" t="n">
        <v>0.134</v>
      </c>
    </row>
    <row r="383" spans="1:13">
      <c r="A383" s="1">
        <f>HYPERLINK("http://www.twitter.com/NathanBLawrence/status/996754164746244098", "996754164746244098")</f>
        <v/>
      </c>
      <c r="B383" s="2" t="n">
        <v>43236.58895833333</v>
      </c>
      <c r="C383" t="n">
        <v>0</v>
      </c>
      <c r="D383" t="n">
        <v>0</v>
      </c>
      <c r="E383" t="s">
        <v>393</v>
      </c>
      <c r="F383" t="s"/>
      <c r="G383" t="s"/>
      <c r="H383" t="s"/>
      <c r="I383" t="s"/>
      <c r="J383" t="n">
        <v>0.3612</v>
      </c>
      <c r="K383" t="n">
        <v>0.07199999999999999</v>
      </c>
      <c r="L383" t="n">
        <v>0.794</v>
      </c>
      <c r="M383" t="n">
        <v>0.134</v>
      </c>
    </row>
    <row r="384" spans="1:13">
      <c r="A384" s="1">
        <f>HYPERLINK("http://www.twitter.com/NathanBLawrence/status/996753588364947456", "996753588364947456")</f>
        <v/>
      </c>
      <c r="B384" s="2" t="n">
        <v>43236.58736111111</v>
      </c>
      <c r="C384" t="n">
        <v>0</v>
      </c>
      <c r="D384" t="n">
        <v>0</v>
      </c>
      <c r="E384" t="s">
        <v>394</v>
      </c>
      <c r="F384" t="s"/>
      <c r="G384" t="s"/>
      <c r="H384" t="s"/>
      <c r="I384" t="s"/>
      <c r="J384" t="n">
        <v>0.6525</v>
      </c>
      <c r="K384" t="n">
        <v>0</v>
      </c>
      <c r="L384" t="n">
        <v>0.781</v>
      </c>
      <c r="M384" t="n">
        <v>0.219</v>
      </c>
    </row>
    <row r="385" spans="1:13">
      <c r="A385" s="1">
        <f>HYPERLINK("http://www.twitter.com/NathanBLawrence/status/996751577900830720", "996751577900830720")</f>
        <v/>
      </c>
      <c r="B385" s="2" t="n">
        <v>43236.58181712963</v>
      </c>
      <c r="C385" t="n">
        <v>1</v>
      </c>
      <c r="D385" t="n">
        <v>0</v>
      </c>
      <c r="E385" t="s">
        <v>395</v>
      </c>
      <c r="F385" t="s"/>
      <c r="G385" t="s"/>
      <c r="H385" t="s"/>
      <c r="I385" t="s"/>
      <c r="J385" t="n">
        <v>0.945</v>
      </c>
      <c r="K385" t="n">
        <v>0</v>
      </c>
      <c r="L385" t="n">
        <v>0.636</v>
      </c>
      <c r="M385" t="n">
        <v>0.364</v>
      </c>
    </row>
    <row r="386" spans="1:13">
      <c r="A386" s="1">
        <f>HYPERLINK("http://www.twitter.com/NathanBLawrence/status/996741695785054208", "996741695785054208")</f>
        <v/>
      </c>
      <c r="B386" s="2" t="n">
        <v>43236.55454861111</v>
      </c>
      <c r="C386" t="n">
        <v>0</v>
      </c>
      <c r="D386" t="n">
        <v>0</v>
      </c>
      <c r="E386" t="s">
        <v>396</v>
      </c>
      <c r="F386" t="s"/>
      <c r="G386" t="s"/>
      <c r="H386" t="s"/>
      <c r="I386" t="s"/>
      <c r="J386" t="n">
        <v>-0.3974</v>
      </c>
      <c r="K386" t="n">
        <v>0.073</v>
      </c>
      <c r="L386" t="n">
        <v>0.883</v>
      </c>
      <c r="M386" t="n">
        <v>0.043</v>
      </c>
    </row>
    <row r="387" spans="1:13">
      <c r="A387" s="1">
        <f>HYPERLINK("http://www.twitter.com/NathanBLawrence/status/996740454753492992", "996740454753492992")</f>
        <v/>
      </c>
      <c r="B387" s="2" t="n">
        <v>43236.55112268519</v>
      </c>
      <c r="C387" t="n">
        <v>0</v>
      </c>
      <c r="D387" t="n">
        <v>28</v>
      </c>
      <c r="E387" t="s">
        <v>397</v>
      </c>
      <c r="F387" t="s"/>
      <c r="G387" t="s"/>
      <c r="H387" t="s"/>
      <c r="I387" t="s"/>
      <c r="J387" t="n">
        <v>-0.3182</v>
      </c>
      <c r="K387" t="n">
        <v>0.141</v>
      </c>
      <c r="L387" t="n">
        <v>0.859</v>
      </c>
      <c r="M387" t="n">
        <v>0</v>
      </c>
    </row>
    <row r="388" spans="1:13">
      <c r="A388" s="1">
        <f>HYPERLINK("http://www.twitter.com/NathanBLawrence/status/996740378211569664", "996740378211569664")</f>
        <v/>
      </c>
      <c r="B388" s="2" t="n">
        <v>43236.55091435185</v>
      </c>
      <c r="C388" t="n">
        <v>1</v>
      </c>
      <c r="D388" t="n">
        <v>1</v>
      </c>
      <c r="E388" t="s">
        <v>398</v>
      </c>
      <c r="F388" t="s"/>
      <c r="G388" t="s"/>
      <c r="H388" t="s"/>
      <c r="I388" t="s"/>
      <c r="J388" t="n">
        <v>-0.8377</v>
      </c>
      <c r="K388" t="n">
        <v>0.207</v>
      </c>
      <c r="L388" t="n">
        <v>0.793</v>
      </c>
      <c r="M388" t="n">
        <v>0</v>
      </c>
    </row>
    <row r="389" spans="1:13">
      <c r="A389" s="1">
        <f>HYPERLINK("http://www.twitter.com/NathanBLawrence/status/996562735990235137", "996562735990235137")</f>
        <v/>
      </c>
      <c r="B389" s="2" t="n">
        <v>43236.06071759259</v>
      </c>
      <c r="C389" t="n">
        <v>3</v>
      </c>
      <c r="D389" t="n">
        <v>1</v>
      </c>
      <c r="E389" t="s">
        <v>399</v>
      </c>
      <c r="F389" t="s"/>
      <c r="G389" t="s"/>
      <c r="H389" t="s"/>
      <c r="I389" t="s"/>
      <c r="J389" t="n">
        <v>-0.6369</v>
      </c>
      <c r="K389" t="n">
        <v>0.167</v>
      </c>
      <c r="L389" t="n">
        <v>0.779</v>
      </c>
      <c r="M389" t="n">
        <v>0.054</v>
      </c>
    </row>
    <row r="390" spans="1:13">
      <c r="A390" s="1">
        <f>HYPERLINK("http://www.twitter.com/NathanBLawrence/status/996560368670474240", "996560368670474240")</f>
        <v/>
      </c>
      <c r="B390" s="2" t="n">
        <v>43236.05417824074</v>
      </c>
      <c r="C390" t="n">
        <v>1</v>
      </c>
      <c r="D390" t="n">
        <v>0</v>
      </c>
      <c r="E390" t="s">
        <v>400</v>
      </c>
      <c r="F390" t="s"/>
      <c r="G390" t="s"/>
      <c r="H390" t="s"/>
      <c r="I390" t="s"/>
      <c r="J390" t="n">
        <v>0.4404</v>
      </c>
      <c r="K390" t="n">
        <v>0</v>
      </c>
      <c r="L390" t="n">
        <v>0.734</v>
      </c>
      <c r="M390" t="n">
        <v>0.266</v>
      </c>
    </row>
    <row r="391" spans="1:13">
      <c r="A391" s="1">
        <f>HYPERLINK("http://www.twitter.com/NathanBLawrence/status/996555618440876037", "996555618440876037")</f>
        <v/>
      </c>
      <c r="B391" s="2" t="n">
        <v>43236.04107638889</v>
      </c>
      <c r="C391" t="n">
        <v>4</v>
      </c>
      <c r="D391" t="n">
        <v>2</v>
      </c>
      <c r="E391" t="s">
        <v>401</v>
      </c>
      <c r="F391" t="s"/>
      <c r="G391" t="s"/>
      <c r="H391" t="s"/>
      <c r="I391" t="s"/>
      <c r="J391" t="n">
        <v>0.3802</v>
      </c>
      <c r="K391" t="n">
        <v>0.149</v>
      </c>
      <c r="L391" t="n">
        <v>0.656</v>
      </c>
      <c r="M391" t="n">
        <v>0.195</v>
      </c>
    </row>
    <row r="392" spans="1:13">
      <c r="A392" s="1">
        <f>HYPERLINK("http://www.twitter.com/NathanBLawrence/status/996552479352541185", "996552479352541185")</f>
        <v/>
      </c>
      <c r="B392" s="2" t="n">
        <v>43236.03240740741</v>
      </c>
      <c r="C392" t="n">
        <v>0</v>
      </c>
      <c r="D392" t="n">
        <v>0</v>
      </c>
      <c r="E392" t="s">
        <v>402</v>
      </c>
      <c r="F392" t="s"/>
      <c r="G392" t="s"/>
      <c r="H392" t="s"/>
      <c r="I392" t="s"/>
      <c r="J392" t="n">
        <v>0.2263</v>
      </c>
      <c r="K392" t="n">
        <v>0.199</v>
      </c>
      <c r="L392" t="n">
        <v>0.542</v>
      </c>
      <c r="M392" t="n">
        <v>0.26</v>
      </c>
    </row>
    <row r="393" spans="1:13">
      <c r="A393" s="1">
        <f>HYPERLINK("http://www.twitter.com/NathanBLawrence/status/996550366719291394", "996550366719291394")</f>
        <v/>
      </c>
      <c r="B393" s="2" t="n">
        <v>43236.02658564815</v>
      </c>
      <c r="C393" t="n">
        <v>2</v>
      </c>
      <c r="D393" t="n">
        <v>1</v>
      </c>
      <c r="E393" t="s">
        <v>403</v>
      </c>
      <c r="F393" t="s"/>
      <c r="G393" t="s"/>
      <c r="H393" t="s"/>
      <c r="I393" t="s"/>
      <c r="J393" t="n">
        <v>0.4939</v>
      </c>
      <c r="K393" t="n">
        <v>0.172</v>
      </c>
      <c r="L393" t="n">
        <v>0.469</v>
      </c>
      <c r="M393" t="n">
        <v>0.359</v>
      </c>
    </row>
    <row r="394" spans="1:13">
      <c r="A394" s="1">
        <f>HYPERLINK("http://www.twitter.com/NathanBLawrence/status/996523414436409347", "996523414436409347")</f>
        <v/>
      </c>
      <c r="B394" s="2" t="n">
        <v>43235.95221064815</v>
      </c>
      <c r="C394" t="n">
        <v>1</v>
      </c>
      <c r="D394" t="n">
        <v>0</v>
      </c>
      <c r="E394" t="s">
        <v>404</v>
      </c>
      <c r="F394" t="s"/>
      <c r="G394" t="s"/>
      <c r="H394" t="s"/>
      <c r="I394" t="s"/>
      <c r="J394" t="n">
        <v>0</v>
      </c>
      <c r="K394" t="n">
        <v>0</v>
      </c>
      <c r="L394" t="n">
        <v>1</v>
      </c>
      <c r="M394" t="n">
        <v>0</v>
      </c>
    </row>
    <row r="395" spans="1:13">
      <c r="A395" s="1">
        <f>HYPERLINK("http://www.twitter.com/NathanBLawrence/status/996513772318740482", "996513772318740482")</f>
        <v/>
      </c>
      <c r="B395" s="2" t="n">
        <v>43235.92560185185</v>
      </c>
      <c r="C395" t="n">
        <v>0</v>
      </c>
      <c r="D395" t="n">
        <v>1</v>
      </c>
      <c r="E395" t="s">
        <v>405</v>
      </c>
      <c r="F395" t="s"/>
      <c r="G395" t="s"/>
      <c r="H395" t="s"/>
      <c r="I395" t="s"/>
      <c r="J395" t="n">
        <v>0.2732</v>
      </c>
      <c r="K395" t="n">
        <v>0</v>
      </c>
      <c r="L395" t="n">
        <v>0.896</v>
      </c>
      <c r="M395" t="n">
        <v>0.104</v>
      </c>
    </row>
    <row r="396" spans="1:13">
      <c r="A396" s="1">
        <f>HYPERLINK("http://www.twitter.com/NathanBLawrence/status/996513725220835328", "996513725220835328")</f>
        <v/>
      </c>
      <c r="B396" s="2" t="n">
        <v>43235.92547453703</v>
      </c>
      <c r="C396" t="n">
        <v>0</v>
      </c>
      <c r="D396" t="n">
        <v>19</v>
      </c>
      <c r="E396" t="s">
        <v>406</v>
      </c>
      <c r="F396">
        <f>HYPERLINK("http://pbs.twimg.com/media/DdRS4JJWsAAuP3O.jpg", "http://pbs.twimg.com/media/DdRS4JJWsAAuP3O.jpg")</f>
        <v/>
      </c>
      <c r="G396" t="s"/>
      <c r="H396" t="s"/>
      <c r="I396" t="s"/>
      <c r="J396" t="n">
        <v>0.6249</v>
      </c>
      <c r="K396" t="n">
        <v>0</v>
      </c>
      <c r="L396" t="n">
        <v>0.854</v>
      </c>
      <c r="M396" t="n">
        <v>0.146</v>
      </c>
    </row>
    <row r="397" spans="1:13">
      <c r="A397" s="1">
        <f>HYPERLINK("http://www.twitter.com/NathanBLawrence/status/996510083931688960", "996510083931688960")</f>
        <v/>
      </c>
      <c r="B397" s="2" t="n">
        <v>43235.91541666666</v>
      </c>
      <c r="C397" t="n">
        <v>2</v>
      </c>
      <c r="D397" t="n">
        <v>0</v>
      </c>
      <c r="E397" t="s">
        <v>407</v>
      </c>
      <c r="F397" t="s"/>
      <c r="G397" t="s"/>
      <c r="H397" t="s"/>
      <c r="I397" t="s"/>
      <c r="J397" t="n">
        <v>0.5106000000000001</v>
      </c>
      <c r="K397" t="n">
        <v>0</v>
      </c>
      <c r="L397" t="n">
        <v>0.895</v>
      </c>
      <c r="M397" t="n">
        <v>0.105</v>
      </c>
    </row>
    <row r="398" spans="1:13">
      <c r="A398" s="1">
        <f>HYPERLINK("http://www.twitter.com/NathanBLawrence/status/996509372506431490", "996509372506431490")</f>
        <v/>
      </c>
      <c r="B398" s="2" t="n">
        <v>43235.91346064815</v>
      </c>
      <c r="C398" t="n">
        <v>0</v>
      </c>
      <c r="D398" t="n">
        <v>60</v>
      </c>
      <c r="E398" t="s">
        <v>408</v>
      </c>
      <c r="F398" t="s"/>
      <c r="G398" t="s"/>
      <c r="H398" t="s"/>
      <c r="I398" t="s"/>
      <c r="J398" t="n">
        <v>0.6369</v>
      </c>
      <c r="K398" t="n">
        <v>0.092</v>
      </c>
      <c r="L398" t="n">
        <v>0.662</v>
      </c>
      <c r="M398" t="n">
        <v>0.246</v>
      </c>
    </row>
    <row r="399" spans="1:13">
      <c r="A399" s="1">
        <f>HYPERLINK("http://www.twitter.com/NathanBLawrence/status/996505423300759552", "996505423300759552")</f>
        <v/>
      </c>
      <c r="B399" s="2" t="n">
        <v>43235.90255787037</v>
      </c>
      <c r="C399" t="n">
        <v>6</v>
      </c>
      <c r="D399" t="n">
        <v>3</v>
      </c>
      <c r="E399" t="s">
        <v>409</v>
      </c>
      <c r="F399" t="s"/>
      <c r="G399" t="s"/>
      <c r="H399" t="s"/>
      <c r="I399" t="s"/>
      <c r="J399" t="n">
        <v>0</v>
      </c>
      <c r="K399" t="n">
        <v>0</v>
      </c>
      <c r="L399" t="n">
        <v>1</v>
      </c>
      <c r="M399" t="n">
        <v>0</v>
      </c>
    </row>
    <row r="400" spans="1:13">
      <c r="A400" s="1">
        <f>HYPERLINK("http://www.twitter.com/NathanBLawrence/status/996501572245958657", "996501572245958657")</f>
        <v/>
      </c>
      <c r="B400" s="2" t="n">
        <v>43235.89193287037</v>
      </c>
      <c r="C400" t="n">
        <v>6</v>
      </c>
      <c r="D400" t="n">
        <v>3</v>
      </c>
      <c r="E400" t="s">
        <v>410</v>
      </c>
      <c r="F400" t="s"/>
      <c r="G400" t="s"/>
      <c r="H400" t="s"/>
      <c r="I400" t="s"/>
      <c r="J400" t="n">
        <v>0.3818</v>
      </c>
      <c r="K400" t="n">
        <v>0.113</v>
      </c>
      <c r="L400" t="n">
        <v>0.741</v>
      </c>
      <c r="M400" t="n">
        <v>0.146</v>
      </c>
    </row>
    <row r="401" spans="1:13">
      <c r="A401" s="1">
        <f>HYPERLINK("http://www.twitter.com/NathanBLawrence/status/996498451193049088", "996498451193049088")</f>
        <v/>
      </c>
      <c r="B401" s="2" t="n">
        <v>43235.88332175926</v>
      </c>
      <c r="C401" t="n">
        <v>6</v>
      </c>
      <c r="D401" t="n">
        <v>4</v>
      </c>
      <c r="E401" t="s">
        <v>411</v>
      </c>
      <c r="F401" t="s"/>
      <c r="G401" t="s"/>
      <c r="H401" t="s"/>
      <c r="I401" t="s"/>
      <c r="J401" t="n">
        <v>-0.8552999999999999</v>
      </c>
      <c r="K401" t="n">
        <v>0.177</v>
      </c>
      <c r="L401" t="n">
        <v>0.796</v>
      </c>
      <c r="M401" t="n">
        <v>0.027</v>
      </c>
    </row>
    <row r="402" spans="1:13">
      <c r="A402" s="1">
        <f>HYPERLINK("http://www.twitter.com/NathanBLawrence/status/996493221252485122", "996493221252485122")</f>
        <v/>
      </c>
      <c r="B402" s="2" t="n">
        <v>43235.86888888889</v>
      </c>
      <c r="C402" t="n">
        <v>0</v>
      </c>
      <c r="D402" t="n">
        <v>11</v>
      </c>
      <c r="E402" t="s">
        <v>412</v>
      </c>
      <c r="F402" t="s"/>
      <c r="G402" t="s"/>
      <c r="H402" t="s"/>
      <c r="I402" t="s"/>
      <c r="J402" t="n">
        <v>0.4939</v>
      </c>
      <c r="K402" t="n">
        <v>0</v>
      </c>
      <c r="L402" t="n">
        <v>0.824</v>
      </c>
      <c r="M402" t="n">
        <v>0.176</v>
      </c>
    </row>
    <row r="403" spans="1:13">
      <c r="A403" s="1">
        <f>HYPERLINK("http://www.twitter.com/NathanBLawrence/status/996492560469315584", "996492560469315584")</f>
        <v/>
      </c>
      <c r="B403" s="2" t="n">
        <v>43235.86707175926</v>
      </c>
      <c r="C403" t="n">
        <v>0</v>
      </c>
      <c r="D403" t="n">
        <v>33</v>
      </c>
      <c r="E403" t="s">
        <v>413</v>
      </c>
      <c r="F403" t="s"/>
      <c r="G403" t="s"/>
      <c r="H403" t="s"/>
      <c r="I403" t="s"/>
      <c r="J403" t="n">
        <v>-0.25</v>
      </c>
      <c r="K403" t="n">
        <v>0.178</v>
      </c>
      <c r="L403" t="n">
        <v>0.72</v>
      </c>
      <c r="M403" t="n">
        <v>0.102</v>
      </c>
    </row>
    <row r="404" spans="1:13">
      <c r="A404" s="1">
        <f>HYPERLINK("http://www.twitter.com/NathanBLawrence/status/996492500390031360", "996492500390031360")</f>
        <v/>
      </c>
      <c r="B404" s="2" t="n">
        <v>43235.86689814815</v>
      </c>
      <c r="C404" t="n">
        <v>0</v>
      </c>
      <c r="D404" t="n">
        <v>51</v>
      </c>
      <c r="E404" t="s">
        <v>414</v>
      </c>
      <c r="F404" t="s"/>
      <c r="G404" t="s"/>
      <c r="H404" t="s"/>
      <c r="I404" t="s"/>
      <c r="J404" t="n">
        <v>-0.7003</v>
      </c>
      <c r="K404" t="n">
        <v>0.286</v>
      </c>
      <c r="L404" t="n">
        <v>0.714</v>
      </c>
      <c r="M404" t="n">
        <v>0</v>
      </c>
    </row>
    <row r="405" spans="1:13">
      <c r="A405" s="1">
        <f>HYPERLINK("http://www.twitter.com/NathanBLawrence/status/996486922536148993", "996486922536148993")</f>
        <v/>
      </c>
      <c r="B405" s="2" t="n">
        <v>43235.85150462963</v>
      </c>
      <c r="C405" t="n">
        <v>0</v>
      </c>
      <c r="D405" t="n">
        <v>15</v>
      </c>
      <c r="E405" t="s">
        <v>415</v>
      </c>
      <c r="F405" t="s"/>
      <c r="G405" t="s"/>
      <c r="H405" t="s"/>
      <c r="I405" t="s"/>
      <c r="J405" t="n">
        <v>-0.4404</v>
      </c>
      <c r="K405" t="n">
        <v>0.132</v>
      </c>
      <c r="L405" t="n">
        <v>0.868</v>
      </c>
      <c r="M405" t="n">
        <v>0</v>
      </c>
    </row>
    <row r="406" spans="1:13">
      <c r="A406" s="1">
        <f>HYPERLINK("http://www.twitter.com/NathanBLawrence/status/996485389518065664", "996485389518065664")</f>
        <v/>
      </c>
      <c r="B406" s="2" t="n">
        <v>43235.8472800926</v>
      </c>
      <c r="C406" t="n">
        <v>1</v>
      </c>
      <c r="D406" t="n">
        <v>1</v>
      </c>
      <c r="E406" t="s">
        <v>416</v>
      </c>
      <c r="F406" t="s"/>
      <c r="G406" t="s"/>
      <c r="H406" t="s"/>
      <c r="I406" t="s"/>
      <c r="J406" t="n">
        <v>-0.1935</v>
      </c>
      <c r="K406" t="n">
        <v>0.097</v>
      </c>
      <c r="L406" t="n">
        <v>0.82</v>
      </c>
      <c r="M406" t="n">
        <v>0.083</v>
      </c>
    </row>
    <row r="407" spans="1:13">
      <c r="A407" s="1">
        <f>HYPERLINK("http://www.twitter.com/NathanBLawrence/status/996482617338941440", "996482617338941440")</f>
        <v/>
      </c>
      <c r="B407" s="2" t="n">
        <v>43235.83962962963</v>
      </c>
      <c r="C407" t="n">
        <v>3</v>
      </c>
      <c r="D407" t="n">
        <v>2</v>
      </c>
      <c r="E407" t="s">
        <v>417</v>
      </c>
      <c r="F407" t="s"/>
      <c r="G407" t="s"/>
      <c r="H407" t="s"/>
      <c r="I407" t="s"/>
      <c r="J407" t="n">
        <v>0.128</v>
      </c>
      <c r="K407" t="n">
        <v>0.165</v>
      </c>
      <c r="L407" t="n">
        <v>0.63</v>
      </c>
      <c r="M407" t="n">
        <v>0.205</v>
      </c>
    </row>
    <row r="408" spans="1:13">
      <c r="A408" s="1">
        <f>HYPERLINK("http://www.twitter.com/NathanBLawrence/status/996481884984143872", "996481884984143872")</f>
        <v/>
      </c>
      <c r="B408" s="2" t="n">
        <v>43235.83760416666</v>
      </c>
      <c r="C408" t="n">
        <v>0</v>
      </c>
      <c r="D408" t="n">
        <v>7</v>
      </c>
      <c r="E408" t="s">
        <v>418</v>
      </c>
      <c r="F408" t="s"/>
      <c r="G408" t="s"/>
      <c r="H408" t="s"/>
      <c r="I408" t="s"/>
      <c r="J408" t="n">
        <v>-0.4767</v>
      </c>
      <c r="K408" t="n">
        <v>0.129</v>
      </c>
      <c r="L408" t="n">
        <v>0.871</v>
      </c>
      <c r="M408" t="n">
        <v>0</v>
      </c>
    </row>
    <row r="409" spans="1:13">
      <c r="A409" s="1">
        <f>HYPERLINK("http://www.twitter.com/NathanBLawrence/status/996481299505467394", "996481299505467394")</f>
        <v/>
      </c>
      <c r="B409" s="2" t="n">
        <v>43235.83599537037</v>
      </c>
      <c r="C409" t="n">
        <v>0</v>
      </c>
      <c r="D409" t="n">
        <v>9</v>
      </c>
      <c r="E409" t="s">
        <v>419</v>
      </c>
      <c r="F409" t="s"/>
      <c r="G409" t="s"/>
      <c r="H409" t="s"/>
      <c r="I409" t="s"/>
      <c r="J409" t="n">
        <v>-0.296</v>
      </c>
      <c r="K409" t="n">
        <v>0.104</v>
      </c>
      <c r="L409" t="n">
        <v>0.896</v>
      </c>
      <c r="M409" t="n">
        <v>0</v>
      </c>
    </row>
    <row r="410" spans="1:13">
      <c r="A410" s="1">
        <f>HYPERLINK("http://www.twitter.com/NathanBLawrence/status/996469765442097152", "996469765442097152")</f>
        <v/>
      </c>
      <c r="B410" s="2" t="n">
        <v>43235.80416666667</v>
      </c>
      <c r="C410" t="n">
        <v>0</v>
      </c>
      <c r="D410" t="n">
        <v>0</v>
      </c>
      <c r="E410" t="s">
        <v>420</v>
      </c>
      <c r="F410" t="s"/>
      <c r="G410" t="s"/>
      <c r="H410" t="s"/>
      <c r="I410" t="s"/>
      <c r="J410" t="n">
        <v>0</v>
      </c>
      <c r="K410" t="n">
        <v>0</v>
      </c>
      <c r="L410" t="n">
        <v>1</v>
      </c>
      <c r="M410" t="n">
        <v>0</v>
      </c>
    </row>
    <row r="411" spans="1:13">
      <c r="A411" s="1">
        <f>HYPERLINK("http://www.twitter.com/NathanBLawrence/status/996455737823039494", "996455737823039494")</f>
        <v/>
      </c>
      <c r="B411" s="2" t="n">
        <v>43235.76545138889</v>
      </c>
      <c r="C411" t="n">
        <v>0</v>
      </c>
      <c r="D411" t="n">
        <v>14</v>
      </c>
      <c r="E411" t="s">
        <v>421</v>
      </c>
      <c r="F411" t="s"/>
      <c r="G411" t="s"/>
      <c r="H411" t="s"/>
      <c r="I411" t="s"/>
      <c r="J411" t="n">
        <v>0</v>
      </c>
      <c r="K411" t="n">
        <v>0</v>
      </c>
      <c r="L411" t="n">
        <v>1</v>
      </c>
      <c r="M411" t="n">
        <v>0</v>
      </c>
    </row>
    <row r="412" spans="1:13">
      <c r="A412" s="1">
        <f>HYPERLINK("http://www.twitter.com/NathanBLawrence/status/996450940134805505", "996450940134805505")</f>
        <v/>
      </c>
      <c r="B412" s="2" t="n">
        <v>43235.75221064815</v>
      </c>
      <c r="C412" t="n">
        <v>3</v>
      </c>
      <c r="D412" t="n">
        <v>1</v>
      </c>
      <c r="E412" t="s">
        <v>422</v>
      </c>
      <c r="F412">
        <f>HYPERLINK("http://pbs.twimg.com/media/DdQa1-zV0AAkCvm.jpg", "http://pbs.twimg.com/media/DdQa1-zV0AAkCvm.jpg")</f>
        <v/>
      </c>
      <c r="G412" t="s"/>
      <c r="H412" t="s"/>
      <c r="I412" t="s"/>
      <c r="J412" t="n">
        <v>0</v>
      </c>
      <c r="K412" t="n">
        <v>0</v>
      </c>
      <c r="L412" t="n">
        <v>1</v>
      </c>
      <c r="M412" t="n">
        <v>0</v>
      </c>
    </row>
    <row r="413" spans="1:13">
      <c r="A413" s="1">
        <f>HYPERLINK("http://www.twitter.com/NathanBLawrence/status/996450300629307394", "996450300629307394")</f>
        <v/>
      </c>
      <c r="B413" s="2" t="n">
        <v>43235.75045138889</v>
      </c>
      <c r="C413" t="n">
        <v>1</v>
      </c>
      <c r="D413" t="n">
        <v>0</v>
      </c>
      <c r="E413" t="s">
        <v>423</v>
      </c>
      <c r="F413" t="s"/>
      <c r="G413" t="s"/>
      <c r="H413" t="s"/>
      <c r="I413" t="s"/>
      <c r="J413" t="n">
        <v>0</v>
      </c>
      <c r="K413" t="n">
        <v>0</v>
      </c>
      <c r="L413" t="n">
        <v>1</v>
      </c>
      <c r="M413" t="n">
        <v>0</v>
      </c>
    </row>
    <row r="414" spans="1:13">
      <c r="A414" s="1">
        <f>HYPERLINK("http://www.twitter.com/NathanBLawrence/status/996449535294656512", "996449535294656512")</f>
        <v/>
      </c>
      <c r="B414" s="2" t="n">
        <v>43235.74834490741</v>
      </c>
      <c r="C414" t="n">
        <v>2</v>
      </c>
      <c r="D414" t="n">
        <v>1</v>
      </c>
      <c r="E414" t="s">
        <v>424</v>
      </c>
      <c r="F414" t="s"/>
      <c r="G414" t="s"/>
      <c r="H414" t="s"/>
      <c r="I414" t="s"/>
      <c r="J414" t="n">
        <v>0.6588000000000001</v>
      </c>
      <c r="K414" t="n">
        <v>0.092</v>
      </c>
      <c r="L414" t="n">
        <v>0.63</v>
      </c>
      <c r="M414" t="n">
        <v>0.277</v>
      </c>
    </row>
    <row r="415" spans="1:13">
      <c r="A415" s="1">
        <f>HYPERLINK("http://www.twitter.com/NathanBLawrence/status/996448000263192576", "996448000263192576")</f>
        <v/>
      </c>
      <c r="B415" s="2" t="n">
        <v>43235.74410879629</v>
      </c>
      <c r="C415" t="n">
        <v>9</v>
      </c>
      <c r="D415" t="n">
        <v>2</v>
      </c>
      <c r="E415" t="s">
        <v>425</v>
      </c>
      <c r="F415" t="s"/>
      <c r="G415" t="s"/>
      <c r="H415" t="s"/>
      <c r="I415" t="s"/>
      <c r="J415" t="n">
        <v>-0.2732</v>
      </c>
      <c r="K415" t="n">
        <v>0.123</v>
      </c>
      <c r="L415" t="n">
        <v>0.877</v>
      </c>
      <c r="M415" t="n">
        <v>0</v>
      </c>
    </row>
    <row r="416" spans="1:13">
      <c r="A416" s="1">
        <f>HYPERLINK("http://www.twitter.com/NathanBLawrence/status/996447401794789376", "996447401794789376")</f>
        <v/>
      </c>
      <c r="B416" s="2" t="n">
        <v>43235.7424537037</v>
      </c>
      <c r="C416" t="n">
        <v>0</v>
      </c>
      <c r="D416" t="n">
        <v>0</v>
      </c>
      <c r="E416" t="s">
        <v>426</v>
      </c>
      <c r="F416" t="s"/>
      <c r="G416" t="s"/>
      <c r="H416" t="s"/>
      <c r="I416" t="s"/>
      <c r="J416" t="n">
        <v>0.8109</v>
      </c>
      <c r="K416" t="n">
        <v>0.097</v>
      </c>
      <c r="L416" t="n">
        <v>0.483</v>
      </c>
      <c r="M416" t="n">
        <v>0.42</v>
      </c>
    </row>
    <row r="417" spans="1:13">
      <c r="A417" s="1">
        <f>HYPERLINK("http://www.twitter.com/NathanBLawrence/status/996437888211570689", "996437888211570689")</f>
        <v/>
      </c>
      <c r="B417" s="2" t="n">
        <v>43235.71620370371</v>
      </c>
      <c r="C417" t="n">
        <v>11</v>
      </c>
      <c r="D417" t="n">
        <v>7</v>
      </c>
      <c r="E417" t="s">
        <v>427</v>
      </c>
      <c r="F417" t="s"/>
      <c r="G417" t="s"/>
      <c r="H417" t="s"/>
      <c r="I417" t="s"/>
      <c r="J417" t="n">
        <v>-0.4374</v>
      </c>
      <c r="K417" t="n">
        <v>0.202</v>
      </c>
      <c r="L417" t="n">
        <v>0.65</v>
      </c>
      <c r="M417" t="n">
        <v>0.147</v>
      </c>
    </row>
    <row r="418" spans="1:13">
      <c r="A418" s="1">
        <f>HYPERLINK("http://www.twitter.com/NathanBLawrence/status/996436342627282946", "996436342627282946")</f>
        <v/>
      </c>
      <c r="B418" s="2" t="n">
        <v>43235.71193287037</v>
      </c>
      <c r="C418" t="n">
        <v>0</v>
      </c>
      <c r="D418" t="n">
        <v>14</v>
      </c>
      <c r="E418" t="s">
        <v>428</v>
      </c>
      <c r="F418">
        <f>HYPERLINK("http://pbs.twimg.com/media/DdQMA5lV4AAMNfv.jpg", "http://pbs.twimg.com/media/DdQMA5lV4AAMNfv.jpg")</f>
        <v/>
      </c>
      <c r="G418" t="s"/>
      <c r="H418" t="s"/>
      <c r="I418" t="s"/>
      <c r="J418" t="n">
        <v>0</v>
      </c>
      <c r="K418" t="n">
        <v>0</v>
      </c>
      <c r="L418" t="n">
        <v>1</v>
      </c>
      <c r="M418" t="n">
        <v>0</v>
      </c>
    </row>
    <row r="419" spans="1:13">
      <c r="A419" s="1">
        <f>HYPERLINK("http://www.twitter.com/NathanBLawrence/status/996434917708959745", "996434917708959745")</f>
        <v/>
      </c>
      <c r="B419" s="2" t="n">
        <v>43235.70799768518</v>
      </c>
      <c r="C419" t="n">
        <v>0</v>
      </c>
      <c r="D419" t="n">
        <v>5</v>
      </c>
      <c r="E419" t="s">
        <v>429</v>
      </c>
      <c r="F419" t="s"/>
      <c r="G419" t="s"/>
      <c r="H419" t="s"/>
      <c r="I419" t="s"/>
      <c r="J419" t="n">
        <v>-0.7887</v>
      </c>
      <c r="K419" t="n">
        <v>0.291</v>
      </c>
      <c r="L419" t="n">
        <v>0.709</v>
      </c>
      <c r="M419" t="n">
        <v>0</v>
      </c>
    </row>
    <row r="420" spans="1:13">
      <c r="A420" s="1">
        <f>HYPERLINK("http://www.twitter.com/NathanBLawrence/status/996417415679500288", "996417415679500288")</f>
        <v/>
      </c>
      <c r="B420" s="2" t="n">
        <v>43235.65971064815</v>
      </c>
      <c r="C420" t="n">
        <v>7</v>
      </c>
      <c r="D420" t="n">
        <v>4</v>
      </c>
      <c r="E420" t="s">
        <v>430</v>
      </c>
      <c r="F420" t="s"/>
      <c r="G420" t="s"/>
      <c r="H420" t="s"/>
      <c r="I420" t="s"/>
      <c r="J420" t="n">
        <v>0.2621</v>
      </c>
      <c r="K420" t="n">
        <v>0.162</v>
      </c>
      <c r="L420" t="n">
        <v>0.697</v>
      </c>
      <c r="M420" t="n">
        <v>0.141</v>
      </c>
    </row>
    <row r="421" spans="1:13">
      <c r="A421" s="1">
        <f>HYPERLINK("http://www.twitter.com/NathanBLawrence/status/996414557437427713", "996414557437427713")</f>
        <v/>
      </c>
      <c r="B421" s="2" t="n">
        <v>43235.65181712963</v>
      </c>
      <c r="C421" t="n">
        <v>1</v>
      </c>
      <c r="D421" t="n">
        <v>1</v>
      </c>
      <c r="E421" t="s">
        <v>431</v>
      </c>
      <c r="F421" t="s"/>
      <c r="G421" t="s"/>
      <c r="H421" t="s"/>
      <c r="I421" t="s"/>
      <c r="J421" t="n">
        <v>0.7118</v>
      </c>
      <c r="K421" t="n">
        <v>0.214</v>
      </c>
      <c r="L421" t="n">
        <v>0.495</v>
      </c>
      <c r="M421" t="n">
        <v>0.29</v>
      </c>
    </row>
    <row r="422" spans="1:13">
      <c r="A422" s="1">
        <f>HYPERLINK("http://www.twitter.com/NathanBLawrence/status/996411798399213571", "996411798399213571")</f>
        <v/>
      </c>
      <c r="B422" s="2" t="n">
        <v>43235.64420138889</v>
      </c>
      <c r="C422" t="n">
        <v>2</v>
      </c>
      <c r="D422" t="n">
        <v>1</v>
      </c>
      <c r="E422" t="s">
        <v>432</v>
      </c>
      <c r="F422" t="s"/>
      <c r="G422" t="s"/>
      <c r="H422" t="s"/>
      <c r="I422" t="s"/>
      <c r="J422" t="n">
        <v>0.2263</v>
      </c>
      <c r="K422" t="n">
        <v>0.186</v>
      </c>
      <c r="L422" t="n">
        <v>0.571</v>
      </c>
      <c r="M422" t="n">
        <v>0.243</v>
      </c>
    </row>
    <row r="423" spans="1:13">
      <c r="A423" s="1">
        <f>HYPERLINK("http://www.twitter.com/NathanBLawrence/status/996410549922615297", "996410549922615297")</f>
        <v/>
      </c>
      <c r="B423" s="2" t="n">
        <v>43235.64076388889</v>
      </c>
      <c r="C423" t="n">
        <v>0</v>
      </c>
      <c r="D423" t="n">
        <v>0</v>
      </c>
      <c r="E423" t="s">
        <v>433</v>
      </c>
      <c r="F423" t="s"/>
      <c r="G423" t="s"/>
      <c r="H423" t="s"/>
      <c r="I423" t="s"/>
      <c r="J423" t="n">
        <v>-0.4329</v>
      </c>
      <c r="K423" t="n">
        <v>0.131</v>
      </c>
      <c r="L423" t="n">
        <v>0.869</v>
      </c>
      <c r="M423" t="n">
        <v>0</v>
      </c>
    </row>
    <row r="424" spans="1:13">
      <c r="A424" s="1">
        <f>HYPERLINK("http://www.twitter.com/NathanBLawrence/status/996409534737469440", "996409534737469440")</f>
        <v/>
      </c>
      <c r="B424" s="2" t="n">
        <v>43235.63796296297</v>
      </c>
      <c r="C424" t="n">
        <v>0</v>
      </c>
      <c r="D424" t="n">
        <v>16</v>
      </c>
      <c r="E424" t="s">
        <v>434</v>
      </c>
      <c r="F424">
        <f>HYPERLINK("http://pbs.twimg.com/media/DdPzh3yVAAAdR--.jpg", "http://pbs.twimg.com/media/DdPzh3yVAAAdR--.jpg")</f>
        <v/>
      </c>
      <c r="G424" t="s"/>
      <c r="H424" t="s"/>
      <c r="I424" t="s"/>
      <c r="J424" t="n">
        <v>0.4019</v>
      </c>
      <c r="K424" t="n">
        <v>0</v>
      </c>
      <c r="L424" t="n">
        <v>0.87</v>
      </c>
      <c r="M424" t="n">
        <v>0.13</v>
      </c>
    </row>
    <row r="425" spans="1:13">
      <c r="A425" s="1">
        <f>HYPERLINK("http://www.twitter.com/NathanBLawrence/status/996408747621789696", "996408747621789696")</f>
        <v/>
      </c>
      <c r="B425" s="2" t="n">
        <v>43235.63578703703</v>
      </c>
      <c r="C425" t="n">
        <v>1</v>
      </c>
      <c r="D425" t="n">
        <v>0</v>
      </c>
      <c r="E425" t="s">
        <v>435</v>
      </c>
      <c r="F425" t="s"/>
      <c r="G425" t="s"/>
      <c r="H425" t="s"/>
      <c r="I425" t="s"/>
      <c r="J425" t="n">
        <v>0.3182</v>
      </c>
      <c r="K425" t="n">
        <v>0.073</v>
      </c>
      <c r="L425" t="n">
        <v>0.758</v>
      </c>
      <c r="M425" t="n">
        <v>0.169</v>
      </c>
    </row>
    <row r="426" spans="1:13">
      <c r="A426" s="1">
        <f>HYPERLINK("http://www.twitter.com/NathanBLawrence/status/996403620173221890", "996403620173221890")</f>
        <v/>
      </c>
      <c r="B426" s="2" t="n">
        <v>43235.62163194444</v>
      </c>
      <c r="C426" t="n">
        <v>1</v>
      </c>
      <c r="D426" t="n">
        <v>0</v>
      </c>
      <c r="E426" t="s">
        <v>436</v>
      </c>
      <c r="F426" t="s"/>
      <c r="G426" t="s"/>
      <c r="H426" t="s"/>
      <c r="I426" t="s"/>
      <c r="J426" t="n">
        <v>0.6833</v>
      </c>
      <c r="K426" t="n">
        <v>0.12</v>
      </c>
      <c r="L426" t="n">
        <v>0.572</v>
      </c>
      <c r="M426" t="n">
        <v>0.309</v>
      </c>
    </row>
    <row r="427" spans="1:13">
      <c r="A427" s="1">
        <f>HYPERLINK("http://www.twitter.com/NathanBLawrence/status/996402699037040640", "996402699037040640")</f>
        <v/>
      </c>
      <c r="B427" s="2" t="n">
        <v>43235.61909722222</v>
      </c>
      <c r="C427" t="n">
        <v>7</v>
      </c>
      <c r="D427" t="n">
        <v>3</v>
      </c>
      <c r="E427" t="s">
        <v>437</v>
      </c>
      <c r="F427" t="s"/>
      <c r="G427" t="s"/>
      <c r="H427" t="s"/>
      <c r="I427" t="s"/>
      <c r="J427" t="n">
        <v>0.5411</v>
      </c>
      <c r="K427" t="n">
        <v>0.138</v>
      </c>
      <c r="L427" t="n">
        <v>0.503</v>
      </c>
      <c r="M427" t="n">
        <v>0.358</v>
      </c>
    </row>
    <row r="428" spans="1:13">
      <c r="A428" s="1">
        <f>HYPERLINK("http://www.twitter.com/NathanBLawrence/status/996402361651343360", "996402361651343360")</f>
        <v/>
      </c>
      <c r="B428" s="2" t="n">
        <v>43235.61815972222</v>
      </c>
      <c r="C428" t="n">
        <v>7</v>
      </c>
      <c r="D428" t="n">
        <v>3</v>
      </c>
      <c r="E428" t="s">
        <v>438</v>
      </c>
      <c r="F428" t="s"/>
      <c r="G428" t="s"/>
      <c r="H428" t="s"/>
      <c r="I428" t="s"/>
      <c r="J428" t="n">
        <v>0.4939</v>
      </c>
      <c r="K428" t="n">
        <v>0.141</v>
      </c>
      <c r="L428" t="n">
        <v>0.513</v>
      </c>
      <c r="M428" t="n">
        <v>0.346</v>
      </c>
    </row>
    <row r="429" spans="1:13">
      <c r="A429" s="1">
        <f>HYPERLINK("http://www.twitter.com/NathanBLawrence/status/996401549411864576", "996401549411864576")</f>
        <v/>
      </c>
      <c r="B429" s="2" t="n">
        <v>43235.61592592593</v>
      </c>
      <c r="C429" t="n">
        <v>2</v>
      </c>
      <c r="D429" t="n">
        <v>1</v>
      </c>
      <c r="E429" t="s">
        <v>439</v>
      </c>
      <c r="F429" t="s"/>
      <c r="G429" t="s"/>
      <c r="H429" t="s"/>
      <c r="I429" t="s"/>
      <c r="J429" t="n">
        <v>0.2263</v>
      </c>
      <c r="K429" t="n">
        <v>0.186</v>
      </c>
      <c r="L429" t="n">
        <v>0.571</v>
      </c>
      <c r="M429" t="n">
        <v>0.243</v>
      </c>
    </row>
    <row r="430" spans="1:13">
      <c r="A430" s="1">
        <f>HYPERLINK("http://www.twitter.com/NathanBLawrence/status/996399863414820864", "996399863414820864")</f>
        <v/>
      </c>
      <c r="B430" s="2" t="n">
        <v>43235.61127314815</v>
      </c>
      <c r="C430" t="n">
        <v>3</v>
      </c>
      <c r="D430" t="n">
        <v>2</v>
      </c>
      <c r="E430" t="s">
        <v>440</v>
      </c>
      <c r="F430" t="s"/>
      <c r="G430" t="s"/>
      <c r="H430" t="s"/>
      <c r="I430" t="s"/>
      <c r="J430" t="n">
        <v>0.2263</v>
      </c>
      <c r="K430" t="n">
        <v>0.186</v>
      </c>
      <c r="L430" t="n">
        <v>0.571</v>
      </c>
      <c r="M430" t="n">
        <v>0.243</v>
      </c>
    </row>
    <row r="431" spans="1:13">
      <c r="A431" s="1">
        <f>HYPERLINK("http://www.twitter.com/NathanBLawrence/status/996399315307384834", "996399315307384834")</f>
        <v/>
      </c>
      <c r="B431" s="2" t="n">
        <v>43235.60975694445</v>
      </c>
      <c r="C431" t="n">
        <v>0</v>
      </c>
      <c r="D431" t="n">
        <v>0</v>
      </c>
      <c r="E431" t="s">
        <v>441</v>
      </c>
      <c r="F431" t="s"/>
      <c r="G431" t="s"/>
      <c r="H431" t="s"/>
      <c r="I431" t="s"/>
      <c r="J431" t="n">
        <v>-0.4215</v>
      </c>
      <c r="K431" t="n">
        <v>0.177</v>
      </c>
      <c r="L431" t="n">
        <v>0.823</v>
      </c>
      <c r="M431" t="n">
        <v>0</v>
      </c>
    </row>
    <row r="432" spans="1:13">
      <c r="A432" s="1">
        <f>HYPERLINK("http://www.twitter.com/NathanBLawrence/status/996399011698499584", "996399011698499584")</f>
        <v/>
      </c>
      <c r="B432" s="2" t="n">
        <v>43235.60892361111</v>
      </c>
      <c r="C432" t="n">
        <v>0</v>
      </c>
      <c r="D432" t="n">
        <v>2</v>
      </c>
      <c r="E432" t="s">
        <v>442</v>
      </c>
      <c r="F432" t="s"/>
      <c r="G432" t="s"/>
      <c r="H432" t="s"/>
      <c r="I432" t="s"/>
      <c r="J432" t="n">
        <v>0.128</v>
      </c>
      <c r="K432" t="n">
        <v>0</v>
      </c>
      <c r="L432" t="n">
        <v>0.927</v>
      </c>
      <c r="M432" t="n">
        <v>0.073</v>
      </c>
    </row>
    <row r="433" spans="1:13">
      <c r="A433" s="1">
        <f>HYPERLINK("http://www.twitter.com/NathanBLawrence/status/996397981803995136", "996397981803995136")</f>
        <v/>
      </c>
      <c r="B433" s="2" t="n">
        <v>43235.60607638889</v>
      </c>
      <c r="C433" t="n">
        <v>8</v>
      </c>
      <c r="D433" t="n">
        <v>5</v>
      </c>
      <c r="E433" t="s">
        <v>443</v>
      </c>
      <c r="F433" t="s"/>
      <c r="G433" t="s"/>
      <c r="H433" t="s"/>
      <c r="I433" t="s"/>
      <c r="J433" t="n">
        <v>0.5904</v>
      </c>
      <c r="K433" t="n">
        <v>0</v>
      </c>
      <c r="L433" t="n">
        <v>0.701</v>
      </c>
      <c r="M433" t="n">
        <v>0.299</v>
      </c>
    </row>
    <row r="434" spans="1:13">
      <c r="A434" s="1">
        <f>HYPERLINK("http://www.twitter.com/NathanBLawrence/status/996394361234644993", "996394361234644993")</f>
        <v/>
      </c>
      <c r="B434" s="2" t="n">
        <v>43235.59608796296</v>
      </c>
      <c r="C434" t="n">
        <v>0</v>
      </c>
      <c r="D434" t="n">
        <v>0</v>
      </c>
      <c r="E434" t="s">
        <v>444</v>
      </c>
      <c r="F434" t="s"/>
      <c r="G434" t="s"/>
      <c r="H434" t="s"/>
      <c r="I434" t="s"/>
      <c r="J434" t="n">
        <v>-0.5848</v>
      </c>
      <c r="K434" t="n">
        <v>0.146</v>
      </c>
      <c r="L434" t="n">
        <v>0.801</v>
      </c>
      <c r="M434" t="n">
        <v>0.053</v>
      </c>
    </row>
    <row r="435" spans="1:13">
      <c r="A435" s="1">
        <f>HYPERLINK("http://www.twitter.com/NathanBLawrence/status/996384753489195008", "996384753489195008")</f>
        <v/>
      </c>
      <c r="B435" s="2" t="n">
        <v>43235.56957175926</v>
      </c>
      <c r="C435" t="n">
        <v>0</v>
      </c>
      <c r="D435" t="n">
        <v>0</v>
      </c>
      <c r="E435" t="s">
        <v>445</v>
      </c>
      <c r="F435">
        <f>HYPERLINK("http://pbs.twimg.com/media/DdPepfCVMAAxwBe.jpg", "http://pbs.twimg.com/media/DdPepfCVMAAxwBe.jpg")</f>
        <v/>
      </c>
      <c r="G435" t="s"/>
      <c r="H435" t="s"/>
      <c r="I435" t="s"/>
      <c r="J435" t="n">
        <v>0.3182</v>
      </c>
      <c r="K435" t="n">
        <v>0</v>
      </c>
      <c r="L435" t="n">
        <v>0.909</v>
      </c>
      <c r="M435" t="n">
        <v>0.091</v>
      </c>
    </row>
    <row r="436" spans="1:13">
      <c r="A436" s="1">
        <f>HYPERLINK("http://www.twitter.com/NathanBLawrence/status/996384461464965120", "996384461464965120")</f>
        <v/>
      </c>
      <c r="B436" s="2" t="n">
        <v>43235.56877314814</v>
      </c>
      <c r="C436" t="n">
        <v>0</v>
      </c>
      <c r="D436" t="n">
        <v>0</v>
      </c>
      <c r="E436" t="s">
        <v>446</v>
      </c>
      <c r="F436" t="s"/>
      <c r="G436" t="s"/>
      <c r="H436" t="s"/>
      <c r="I436" t="s"/>
      <c r="J436" t="n">
        <v>-0.5562</v>
      </c>
      <c r="K436" t="n">
        <v>0.152</v>
      </c>
      <c r="L436" t="n">
        <v>0.8080000000000001</v>
      </c>
      <c r="M436" t="n">
        <v>0.04</v>
      </c>
    </row>
    <row r="437" spans="1:13">
      <c r="A437" s="1">
        <f>HYPERLINK("http://www.twitter.com/NathanBLawrence/status/996383460850847744", "996383460850847744")</f>
        <v/>
      </c>
      <c r="B437" s="2" t="n">
        <v>43235.56600694444</v>
      </c>
      <c r="C437" t="n">
        <v>0</v>
      </c>
      <c r="D437" t="n">
        <v>1</v>
      </c>
      <c r="E437" t="s">
        <v>447</v>
      </c>
      <c r="F437" t="s"/>
      <c r="G437" t="s"/>
      <c r="H437" t="s"/>
      <c r="I437" t="s"/>
      <c r="J437" t="n">
        <v>0.8176</v>
      </c>
      <c r="K437" t="n">
        <v>0</v>
      </c>
      <c r="L437" t="n">
        <v>0.667</v>
      </c>
      <c r="M437" t="n">
        <v>0.333</v>
      </c>
    </row>
    <row r="438" spans="1:13">
      <c r="A438" s="1">
        <f>HYPERLINK("http://www.twitter.com/NathanBLawrence/status/996382885912379392", "996382885912379392")</f>
        <v/>
      </c>
      <c r="B438" s="2" t="n">
        <v>43235.56442129629</v>
      </c>
      <c r="C438" t="n">
        <v>0</v>
      </c>
      <c r="D438" t="n">
        <v>32</v>
      </c>
      <c r="E438" t="s">
        <v>448</v>
      </c>
      <c r="F438">
        <f>HYPERLINK("http://pbs.twimg.com/media/DdPbtMgV0AEH44-.jpg", "http://pbs.twimg.com/media/DdPbtMgV0AEH44-.jpg")</f>
        <v/>
      </c>
      <c r="G438" t="s"/>
      <c r="H438" t="s"/>
      <c r="I438" t="s"/>
      <c r="J438" t="n">
        <v>-0.7783</v>
      </c>
      <c r="K438" t="n">
        <v>0.315</v>
      </c>
      <c r="L438" t="n">
        <v>0.6850000000000001</v>
      </c>
      <c r="M438" t="n">
        <v>0</v>
      </c>
    </row>
    <row r="439" spans="1:13">
      <c r="A439" s="1">
        <f>HYPERLINK("http://www.twitter.com/NathanBLawrence/status/996382530369662977", "996382530369662977")</f>
        <v/>
      </c>
      <c r="B439" s="2" t="n">
        <v>43235.5634375</v>
      </c>
      <c r="C439" t="n">
        <v>0</v>
      </c>
      <c r="D439" t="n">
        <v>0</v>
      </c>
      <c r="E439" t="s">
        <v>449</v>
      </c>
      <c r="F439" t="s"/>
      <c r="G439" t="s"/>
      <c r="H439" t="s"/>
      <c r="I439" t="s"/>
      <c r="J439" t="n">
        <v>0</v>
      </c>
      <c r="K439" t="n">
        <v>0</v>
      </c>
      <c r="L439" t="n">
        <v>1</v>
      </c>
      <c r="M439" t="n">
        <v>0</v>
      </c>
    </row>
    <row r="440" spans="1:13">
      <c r="A440" s="1">
        <f>HYPERLINK("http://www.twitter.com/NathanBLawrence/status/996382171597361152", "996382171597361152")</f>
        <v/>
      </c>
      <c r="B440" s="2" t="n">
        <v>43235.5624537037</v>
      </c>
      <c r="C440" t="n">
        <v>0</v>
      </c>
      <c r="D440" t="n">
        <v>0</v>
      </c>
      <c r="E440" t="s">
        <v>450</v>
      </c>
      <c r="F440" t="s"/>
      <c r="G440" t="s"/>
      <c r="H440" t="s"/>
      <c r="I440" t="s"/>
      <c r="J440" t="n">
        <v>0.4215</v>
      </c>
      <c r="K440" t="n">
        <v>0</v>
      </c>
      <c r="L440" t="n">
        <v>0.781</v>
      </c>
      <c r="M440" t="n">
        <v>0.219</v>
      </c>
    </row>
    <row r="441" spans="1:13">
      <c r="A441" s="1">
        <f>HYPERLINK("http://www.twitter.com/NathanBLawrence/status/996381487166558209", "996381487166558209")</f>
        <v/>
      </c>
      <c r="B441" s="2" t="n">
        <v>43235.56056712963</v>
      </c>
      <c r="C441" t="n">
        <v>0</v>
      </c>
      <c r="D441" t="n">
        <v>0</v>
      </c>
      <c r="E441" t="s">
        <v>451</v>
      </c>
      <c r="F441" t="s"/>
      <c r="G441" t="s"/>
      <c r="H441" t="s"/>
      <c r="I441" t="s"/>
      <c r="J441" t="n">
        <v>0.5754</v>
      </c>
      <c r="K441" t="n">
        <v>0</v>
      </c>
      <c r="L441" t="n">
        <v>0.777</v>
      </c>
      <c r="M441" t="n">
        <v>0.223</v>
      </c>
    </row>
    <row r="442" spans="1:13">
      <c r="A442" s="1">
        <f>HYPERLINK("http://www.twitter.com/NathanBLawrence/status/996381055652450306", "996381055652450306")</f>
        <v/>
      </c>
      <c r="B442" s="2" t="n">
        <v>43235.559375</v>
      </c>
      <c r="C442" t="n">
        <v>3</v>
      </c>
      <c r="D442" t="n">
        <v>1</v>
      </c>
      <c r="E442" t="s">
        <v>452</v>
      </c>
      <c r="F442" t="s"/>
      <c r="G442" t="s"/>
      <c r="H442" t="s"/>
      <c r="I442" t="s"/>
      <c r="J442" t="n">
        <v>0</v>
      </c>
      <c r="K442" t="n">
        <v>0</v>
      </c>
      <c r="L442" t="n">
        <v>1</v>
      </c>
      <c r="M442" t="n">
        <v>0</v>
      </c>
    </row>
    <row r="443" spans="1:13">
      <c r="A443" s="1">
        <f>HYPERLINK("http://www.twitter.com/NathanBLawrence/status/996378477824749569", "996378477824749569")</f>
        <v/>
      </c>
      <c r="B443" s="2" t="n">
        <v>43235.55225694444</v>
      </c>
      <c r="C443" t="n">
        <v>0</v>
      </c>
      <c r="D443" t="n">
        <v>4</v>
      </c>
      <c r="E443" t="s">
        <v>453</v>
      </c>
      <c r="F443" t="s"/>
      <c r="G443" t="s"/>
      <c r="H443" t="s"/>
      <c r="I443" t="s"/>
      <c r="J443" t="n">
        <v>0.3818</v>
      </c>
      <c r="K443" t="n">
        <v>0</v>
      </c>
      <c r="L443" t="n">
        <v>0.833</v>
      </c>
      <c r="M443" t="n">
        <v>0.167</v>
      </c>
    </row>
    <row r="444" spans="1:13">
      <c r="A444" s="1">
        <f>HYPERLINK("http://www.twitter.com/NathanBLawrence/status/996375470827626497", "996375470827626497")</f>
        <v/>
      </c>
      <c r="B444" s="2" t="n">
        <v>43235.54395833334</v>
      </c>
      <c r="C444" t="n">
        <v>0</v>
      </c>
      <c r="D444" t="n">
        <v>5</v>
      </c>
      <c r="E444" t="s">
        <v>454</v>
      </c>
      <c r="F444" t="s"/>
      <c r="G444" t="s"/>
      <c r="H444" t="s"/>
      <c r="I444" t="s"/>
      <c r="J444" t="n">
        <v>0</v>
      </c>
      <c r="K444" t="n">
        <v>0</v>
      </c>
      <c r="L444" t="n">
        <v>1</v>
      </c>
      <c r="M444" t="n">
        <v>0</v>
      </c>
    </row>
    <row r="445" spans="1:13">
      <c r="A445" s="1">
        <f>HYPERLINK("http://www.twitter.com/NathanBLawrence/status/996375139926401024", "996375139926401024")</f>
        <v/>
      </c>
      <c r="B445" s="2" t="n">
        <v>43235.54304398148</v>
      </c>
      <c r="C445" t="n">
        <v>5</v>
      </c>
      <c r="D445" t="n">
        <v>1</v>
      </c>
      <c r="E445" t="s">
        <v>455</v>
      </c>
      <c r="F445" t="s"/>
      <c r="G445" t="s"/>
      <c r="H445" t="s"/>
      <c r="I445" t="s"/>
      <c r="J445" t="n">
        <v>-0.4019</v>
      </c>
      <c r="K445" t="n">
        <v>0.233</v>
      </c>
      <c r="L445" t="n">
        <v>0.609</v>
      </c>
      <c r="M445" t="n">
        <v>0.158</v>
      </c>
    </row>
    <row r="446" spans="1:13">
      <c r="A446" s="1">
        <f>HYPERLINK("http://www.twitter.com/NathanBLawrence/status/996374570851536897", "996374570851536897")</f>
        <v/>
      </c>
      <c r="B446" s="2" t="n">
        <v>43235.54148148148</v>
      </c>
      <c r="C446" t="n">
        <v>0</v>
      </c>
      <c r="D446" t="n">
        <v>26</v>
      </c>
      <c r="E446" t="s">
        <v>456</v>
      </c>
      <c r="F446" t="s"/>
      <c r="G446" t="s"/>
      <c r="H446" t="s"/>
      <c r="I446" t="s"/>
      <c r="J446" t="n">
        <v>-0.5803</v>
      </c>
      <c r="K446" t="n">
        <v>0.19</v>
      </c>
      <c r="L446" t="n">
        <v>0.8100000000000001</v>
      </c>
      <c r="M446" t="n">
        <v>0</v>
      </c>
    </row>
    <row r="447" spans="1:13">
      <c r="A447" s="1">
        <f>HYPERLINK("http://www.twitter.com/NathanBLawrence/status/996374406984359936", "996374406984359936")</f>
        <v/>
      </c>
      <c r="B447" s="2" t="n">
        <v>43235.54103009259</v>
      </c>
      <c r="C447" t="n">
        <v>0</v>
      </c>
      <c r="D447" t="n">
        <v>16</v>
      </c>
      <c r="E447" t="s">
        <v>457</v>
      </c>
      <c r="F447" t="s"/>
      <c r="G447" t="s"/>
      <c r="H447" t="s"/>
      <c r="I447" t="s"/>
      <c r="J447" t="n">
        <v>0</v>
      </c>
      <c r="K447" t="n">
        <v>0</v>
      </c>
      <c r="L447" t="n">
        <v>1</v>
      </c>
      <c r="M447" t="n">
        <v>0</v>
      </c>
    </row>
    <row r="448" spans="1:13">
      <c r="A448" s="1">
        <f>HYPERLINK("http://www.twitter.com/NathanBLawrence/status/996368319019134976", "996368319019134976")</f>
        <v/>
      </c>
      <c r="B448" s="2" t="n">
        <v>43235.52422453704</v>
      </c>
      <c r="C448" t="n">
        <v>0</v>
      </c>
      <c r="D448" t="n">
        <v>0</v>
      </c>
      <c r="E448" t="s">
        <v>458</v>
      </c>
      <c r="F448" t="s"/>
      <c r="G448" t="s"/>
      <c r="H448" t="s"/>
      <c r="I448" t="s"/>
      <c r="J448" t="n">
        <v>0</v>
      </c>
      <c r="K448" t="n">
        <v>0</v>
      </c>
      <c r="L448" t="n">
        <v>1</v>
      </c>
      <c r="M448" t="n">
        <v>0</v>
      </c>
    </row>
    <row r="449" spans="1:13">
      <c r="A449" s="1">
        <f>HYPERLINK("http://www.twitter.com/NathanBLawrence/status/996367936418996230", "996367936418996230")</f>
        <v/>
      </c>
      <c r="B449" s="2" t="n">
        <v>43235.5231712963</v>
      </c>
      <c r="C449" t="n">
        <v>0</v>
      </c>
      <c r="D449" t="n">
        <v>0</v>
      </c>
      <c r="E449" t="s">
        <v>459</v>
      </c>
      <c r="F449" t="s"/>
      <c r="G449" t="s"/>
      <c r="H449" t="s"/>
      <c r="I449" t="s"/>
      <c r="J449" t="n">
        <v>-0.3612</v>
      </c>
      <c r="K449" t="n">
        <v>0.102</v>
      </c>
      <c r="L449" t="n">
        <v>0.898</v>
      </c>
      <c r="M449" t="n">
        <v>0</v>
      </c>
    </row>
    <row r="450" spans="1:13">
      <c r="A450" s="1">
        <f>HYPERLINK("http://www.twitter.com/NathanBLawrence/status/996367469089566720", "996367469089566720")</f>
        <v/>
      </c>
      <c r="B450" s="2" t="n">
        <v>43235.521875</v>
      </c>
      <c r="C450" t="n">
        <v>1</v>
      </c>
      <c r="D450" t="n">
        <v>0</v>
      </c>
      <c r="E450" t="s">
        <v>460</v>
      </c>
      <c r="F450" t="s"/>
      <c r="G450" t="s"/>
      <c r="H450" t="s"/>
      <c r="I450" t="s"/>
      <c r="J450" t="n">
        <v>-0.25</v>
      </c>
      <c r="K450" t="n">
        <v>0.147</v>
      </c>
      <c r="L450" t="n">
        <v>0.769</v>
      </c>
      <c r="M450" t="n">
        <v>0.083</v>
      </c>
    </row>
    <row r="451" spans="1:13">
      <c r="A451" s="1">
        <f>HYPERLINK("http://www.twitter.com/NathanBLawrence/status/996366818775306240", "996366818775306240")</f>
        <v/>
      </c>
      <c r="B451" s="2" t="n">
        <v>43235.52008101852</v>
      </c>
      <c r="C451" t="n">
        <v>0</v>
      </c>
      <c r="D451" t="n">
        <v>0</v>
      </c>
      <c r="E451" t="s">
        <v>461</v>
      </c>
      <c r="F451" t="s"/>
      <c r="G451" t="s"/>
      <c r="H451" t="s"/>
      <c r="I451" t="s"/>
      <c r="J451" t="n">
        <v>0</v>
      </c>
      <c r="K451" t="n">
        <v>0</v>
      </c>
      <c r="L451" t="n">
        <v>1</v>
      </c>
      <c r="M451" t="n">
        <v>0</v>
      </c>
    </row>
    <row r="452" spans="1:13">
      <c r="A452" s="1">
        <f>HYPERLINK("http://www.twitter.com/NathanBLawrence/status/996366360400801792", "996366360400801792")</f>
        <v/>
      </c>
      <c r="B452" s="2" t="n">
        <v>43235.51881944444</v>
      </c>
      <c r="C452" t="n">
        <v>0</v>
      </c>
      <c r="D452" t="n">
        <v>0</v>
      </c>
      <c r="E452" t="s">
        <v>462</v>
      </c>
      <c r="F452" t="s"/>
      <c r="G452" t="s"/>
      <c r="H452" t="s"/>
      <c r="I452" t="s"/>
      <c r="J452" t="n">
        <v>-0.6808</v>
      </c>
      <c r="K452" t="n">
        <v>0.215</v>
      </c>
      <c r="L452" t="n">
        <v>0.695</v>
      </c>
      <c r="M452" t="n">
        <v>0.089</v>
      </c>
    </row>
    <row r="453" spans="1:13">
      <c r="A453" s="1">
        <f>HYPERLINK("http://www.twitter.com/NathanBLawrence/status/996365757066960897", "996365757066960897")</f>
        <v/>
      </c>
      <c r="B453" s="2" t="n">
        <v>43235.51715277778</v>
      </c>
      <c r="C453" t="n">
        <v>0</v>
      </c>
      <c r="D453" t="n">
        <v>0</v>
      </c>
      <c r="E453" t="s">
        <v>463</v>
      </c>
      <c r="F453" t="s"/>
      <c r="G453" t="s"/>
      <c r="H453" t="s"/>
      <c r="I453" t="s"/>
      <c r="J453" t="n">
        <v>0</v>
      </c>
      <c r="K453" t="n">
        <v>0</v>
      </c>
      <c r="L453" t="n">
        <v>1</v>
      </c>
      <c r="M453" t="n">
        <v>0</v>
      </c>
    </row>
    <row r="454" spans="1:13">
      <c r="A454" s="1">
        <f>HYPERLINK("http://www.twitter.com/NathanBLawrence/status/996365416669876224", "996365416669876224")</f>
        <v/>
      </c>
      <c r="B454" s="2" t="n">
        <v>43235.51621527778</v>
      </c>
      <c r="C454" t="n">
        <v>0</v>
      </c>
      <c r="D454" t="n">
        <v>1</v>
      </c>
      <c r="E454" t="s">
        <v>464</v>
      </c>
      <c r="F454" t="s"/>
      <c r="G454" t="s"/>
      <c r="H454" t="s"/>
      <c r="I454" t="s"/>
      <c r="J454" t="n">
        <v>0</v>
      </c>
      <c r="K454" t="n">
        <v>0</v>
      </c>
      <c r="L454" t="n">
        <v>1</v>
      </c>
      <c r="M454" t="n">
        <v>0</v>
      </c>
    </row>
    <row r="455" spans="1:13">
      <c r="A455" s="1">
        <f>HYPERLINK("http://www.twitter.com/NathanBLawrence/status/996365267600052224", "996365267600052224")</f>
        <v/>
      </c>
      <c r="B455" s="2" t="n">
        <v>43235.51581018518</v>
      </c>
      <c r="C455" t="n">
        <v>0</v>
      </c>
      <c r="D455" t="n">
        <v>1</v>
      </c>
      <c r="E455" t="s">
        <v>465</v>
      </c>
      <c r="F455" t="s"/>
      <c r="G455" t="s"/>
      <c r="H455" t="s"/>
      <c r="I455" t="s"/>
      <c r="J455" t="n">
        <v>0.4019</v>
      </c>
      <c r="K455" t="n">
        <v>0</v>
      </c>
      <c r="L455" t="n">
        <v>0.863</v>
      </c>
      <c r="M455" t="n">
        <v>0.137</v>
      </c>
    </row>
    <row r="456" spans="1:13">
      <c r="A456" s="1">
        <f>HYPERLINK("http://www.twitter.com/NathanBLawrence/status/996365055737368576", "996365055737368576")</f>
        <v/>
      </c>
      <c r="B456" s="2" t="n">
        <v>43235.51521990741</v>
      </c>
      <c r="C456" t="n">
        <v>0</v>
      </c>
      <c r="D456" t="n">
        <v>0</v>
      </c>
      <c r="E456" t="s">
        <v>466</v>
      </c>
      <c r="F456" t="s"/>
      <c r="G456" t="s"/>
      <c r="H456" t="s"/>
      <c r="I456" t="s"/>
      <c r="J456" t="n">
        <v>0</v>
      </c>
      <c r="K456" t="n">
        <v>0</v>
      </c>
      <c r="L456" t="n">
        <v>1</v>
      </c>
      <c r="M456" t="n">
        <v>0</v>
      </c>
    </row>
    <row r="457" spans="1:13">
      <c r="A457" s="1">
        <f>HYPERLINK("http://www.twitter.com/NathanBLawrence/status/996364772483452928", "996364772483452928")</f>
        <v/>
      </c>
      <c r="B457" s="2" t="n">
        <v>43235.51443287037</v>
      </c>
      <c r="C457" t="n">
        <v>0</v>
      </c>
      <c r="D457" t="n">
        <v>0</v>
      </c>
      <c r="E457" t="s">
        <v>467</v>
      </c>
      <c r="F457" t="s"/>
      <c r="G457" t="s"/>
      <c r="H457" t="s"/>
      <c r="I457" t="s"/>
      <c r="J457" t="n">
        <v>-0.6065</v>
      </c>
      <c r="K457" t="n">
        <v>0.175</v>
      </c>
      <c r="L457" t="n">
        <v>0.765</v>
      </c>
      <c r="M457" t="n">
        <v>0.06</v>
      </c>
    </row>
    <row r="458" spans="1:13">
      <c r="A458" s="1">
        <f>HYPERLINK("http://www.twitter.com/NathanBLawrence/status/996363584186863616", "996363584186863616")</f>
        <v/>
      </c>
      <c r="B458" s="2" t="n">
        <v>43235.51115740741</v>
      </c>
      <c r="C458" t="n">
        <v>0</v>
      </c>
      <c r="D458" t="n">
        <v>0</v>
      </c>
      <c r="E458" t="s">
        <v>468</v>
      </c>
      <c r="F458" t="s"/>
      <c r="G458" t="s"/>
      <c r="H458" t="s"/>
      <c r="I458" t="s"/>
      <c r="J458" t="n">
        <v>0</v>
      </c>
      <c r="K458" t="n">
        <v>0</v>
      </c>
      <c r="L458" t="n">
        <v>1</v>
      </c>
      <c r="M458" t="n">
        <v>0</v>
      </c>
    </row>
    <row r="459" spans="1:13">
      <c r="A459" s="1">
        <f>HYPERLINK("http://www.twitter.com/NathanBLawrence/status/996362409307770880", "996362409307770880")</f>
        <v/>
      </c>
      <c r="B459" s="2" t="n">
        <v>43235.50791666667</v>
      </c>
      <c r="C459" t="n">
        <v>0</v>
      </c>
      <c r="D459" t="n">
        <v>0</v>
      </c>
      <c r="E459" t="s">
        <v>469</v>
      </c>
      <c r="F459" t="s"/>
      <c r="G459" t="s"/>
      <c r="H459" t="s"/>
      <c r="I459" t="s"/>
      <c r="J459" t="n">
        <v>-0.8070000000000001</v>
      </c>
      <c r="K459" t="n">
        <v>0.224</v>
      </c>
      <c r="L459" t="n">
        <v>0.712</v>
      </c>
      <c r="M459" t="n">
        <v>0.064</v>
      </c>
    </row>
    <row r="460" spans="1:13">
      <c r="A460" s="1">
        <f>HYPERLINK("http://www.twitter.com/NathanBLawrence/status/996361146348294144", "996361146348294144")</f>
        <v/>
      </c>
      <c r="B460" s="2" t="n">
        <v>43235.50443287037</v>
      </c>
      <c r="C460" t="n">
        <v>0</v>
      </c>
      <c r="D460" t="n">
        <v>0</v>
      </c>
      <c r="E460" t="s">
        <v>470</v>
      </c>
      <c r="F460" t="s"/>
      <c r="G460" t="s"/>
      <c r="H460" t="s"/>
      <c r="I460" t="s"/>
      <c r="J460" t="n">
        <v>-0.34</v>
      </c>
      <c r="K460" t="n">
        <v>0.138</v>
      </c>
      <c r="L460" t="n">
        <v>0.862</v>
      </c>
      <c r="M460" t="n">
        <v>0</v>
      </c>
    </row>
    <row r="461" spans="1:13">
      <c r="A461" s="1">
        <f>HYPERLINK("http://www.twitter.com/NathanBLawrence/status/996360863534800896", "996360863534800896")</f>
        <v/>
      </c>
      <c r="B461" s="2" t="n">
        <v>43235.5036574074</v>
      </c>
      <c r="C461" t="n">
        <v>0</v>
      </c>
      <c r="D461" t="n">
        <v>0</v>
      </c>
      <c r="E461" t="s">
        <v>471</v>
      </c>
      <c r="F461" t="s"/>
      <c r="G461" t="s"/>
      <c r="H461" t="s"/>
      <c r="I461" t="s"/>
      <c r="J461" t="n">
        <v>0.2003</v>
      </c>
      <c r="K461" t="n">
        <v>0.15</v>
      </c>
      <c r="L461" t="n">
        <v>0.6850000000000001</v>
      </c>
      <c r="M461" t="n">
        <v>0.165</v>
      </c>
    </row>
    <row r="462" spans="1:13">
      <c r="A462" s="1">
        <f>HYPERLINK("http://www.twitter.com/NathanBLawrence/status/996360277565296640", "996360277565296640")</f>
        <v/>
      </c>
      <c r="B462" s="2" t="n">
        <v>43235.50203703704</v>
      </c>
      <c r="C462" t="n">
        <v>0</v>
      </c>
      <c r="D462" t="n">
        <v>0</v>
      </c>
      <c r="E462" t="s">
        <v>472</v>
      </c>
      <c r="F462" t="s"/>
      <c r="G462" t="s"/>
      <c r="H462" t="s"/>
      <c r="I462" t="s"/>
      <c r="J462" t="n">
        <v>0</v>
      </c>
      <c r="K462" t="n">
        <v>0</v>
      </c>
      <c r="L462" t="n">
        <v>1</v>
      </c>
      <c r="M462" t="n">
        <v>0</v>
      </c>
    </row>
    <row r="463" spans="1:13">
      <c r="A463" s="1">
        <f>HYPERLINK("http://www.twitter.com/NathanBLawrence/status/996359838648143872", "996359838648143872")</f>
        <v/>
      </c>
      <c r="B463" s="2" t="n">
        <v>43235.50082175926</v>
      </c>
      <c r="C463" t="n">
        <v>0</v>
      </c>
      <c r="D463" t="n">
        <v>7</v>
      </c>
      <c r="E463" t="s">
        <v>473</v>
      </c>
      <c r="F463" t="s"/>
      <c r="G463" t="s"/>
      <c r="H463" t="s"/>
      <c r="I463" t="s"/>
      <c r="J463" t="n">
        <v>0.0772</v>
      </c>
      <c r="K463" t="n">
        <v>0</v>
      </c>
      <c r="L463" t="n">
        <v>0.947</v>
      </c>
      <c r="M463" t="n">
        <v>0.053</v>
      </c>
    </row>
    <row r="464" spans="1:13">
      <c r="A464" s="1">
        <f>HYPERLINK("http://www.twitter.com/NathanBLawrence/status/996357577108836354", "996357577108836354")</f>
        <v/>
      </c>
      <c r="B464" s="2" t="n">
        <v>43235.49458333333</v>
      </c>
      <c r="C464" t="n">
        <v>0</v>
      </c>
      <c r="D464" t="n">
        <v>0</v>
      </c>
      <c r="E464" t="s">
        <v>474</v>
      </c>
      <c r="F464" t="s"/>
      <c r="G464" t="s"/>
      <c r="H464" t="s"/>
      <c r="I464" t="s"/>
      <c r="J464" t="n">
        <v>0.1027</v>
      </c>
      <c r="K464" t="n">
        <v>0.08500000000000001</v>
      </c>
      <c r="L464" t="n">
        <v>0.8129999999999999</v>
      </c>
      <c r="M464" t="n">
        <v>0.102</v>
      </c>
    </row>
    <row r="465" spans="1:13">
      <c r="A465" s="1">
        <f>HYPERLINK("http://www.twitter.com/NathanBLawrence/status/996356793344421888", "996356793344421888")</f>
        <v/>
      </c>
      <c r="B465" s="2" t="n">
        <v>43235.49241898148</v>
      </c>
      <c r="C465" t="n">
        <v>1</v>
      </c>
      <c r="D465" t="n">
        <v>0</v>
      </c>
      <c r="E465" t="s">
        <v>475</v>
      </c>
      <c r="F465" t="s"/>
      <c r="G465" t="s"/>
      <c r="H465" t="s"/>
      <c r="I465" t="s"/>
      <c r="J465" t="n">
        <v>0.2621</v>
      </c>
      <c r="K465" t="n">
        <v>0.046</v>
      </c>
      <c r="L465" t="n">
        <v>0.884</v>
      </c>
      <c r="M465" t="n">
        <v>0.07000000000000001</v>
      </c>
    </row>
    <row r="466" spans="1:13">
      <c r="A466" s="1">
        <f>HYPERLINK("http://www.twitter.com/NathanBLawrence/status/996356101003268096", "996356101003268096")</f>
        <v/>
      </c>
      <c r="B466" s="2" t="n">
        <v>43235.49050925926</v>
      </c>
      <c r="C466" t="n">
        <v>0</v>
      </c>
      <c r="D466" t="n">
        <v>0</v>
      </c>
      <c r="E466" t="s">
        <v>476</v>
      </c>
      <c r="F466" t="s"/>
      <c r="G466" t="s"/>
      <c r="H466" t="s"/>
      <c r="I466" t="s"/>
      <c r="J466" t="n">
        <v>0.2695</v>
      </c>
      <c r="K466" t="n">
        <v>0.121</v>
      </c>
      <c r="L466" t="n">
        <v>0.694</v>
      </c>
      <c r="M466" t="n">
        <v>0.184</v>
      </c>
    </row>
    <row r="467" spans="1:13">
      <c r="A467" s="1">
        <f>HYPERLINK("http://www.twitter.com/NathanBLawrence/status/996353797164294144", "996353797164294144")</f>
        <v/>
      </c>
      <c r="B467" s="2" t="n">
        <v>43235.48415509259</v>
      </c>
      <c r="C467" t="n">
        <v>0</v>
      </c>
      <c r="D467" t="n">
        <v>2</v>
      </c>
      <c r="E467" t="s">
        <v>477</v>
      </c>
      <c r="F467" t="s"/>
      <c r="G467" t="s"/>
      <c r="H467" t="s"/>
      <c r="I467" t="s"/>
      <c r="J467" t="n">
        <v>0.25</v>
      </c>
      <c r="K467" t="n">
        <v>0</v>
      </c>
      <c r="L467" t="n">
        <v>0.913</v>
      </c>
      <c r="M467" t="n">
        <v>0.08699999999999999</v>
      </c>
    </row>
    <row r="468" spans="1:13">
      <c r="A468" s="1">
        <f>HYPERLINK("http://www.twitter.com/NathanBLawrence/status/996350650756812800", "996350650756812800")</f>
        <v/>
      </c>
      <c r="B468" s="2" t="n">
        <v>43235.47547453704</v>
      </c>
      <c r="C468" t="n">
        <v>0</v>
      </c>
      <c r="D468" t="n">
        <v>19</v>
      </c>
      <c r="E468" t="s">
        <v>478</v>
      </c>
      <c r="F468">
        <f>HYPERLINK("http://pbs.twimg.com/media/DdM1vjkX0AAhzgz.jpg", "http://pbs.twimg.com/media/DdM1vjkX0AAhzgz.jpg")</f>
        <v/>
      </c>
      <c r="G468" t="s"/>
      <c r="H468" t="s"/>
      <c r="I468" t="s"/>
      <c r="J468" t="n">
        <v>-0.296</v>
      </c>
      <c r="K468" t="n">
        <v>0.095</v>
      </c>
      <c r="L468" t="n">
        <v>0.905</v>
      </c>
      <c r="M468" t="n">
        <v>0</v>
      </c>
    </row>
    <row r="469" spans="1:13">
      <c r="A469" s="1">
        <f>HYPERLINK("http://www.twitter.com/NathanBLawrence/status/996349325616865280", "996349325616865280")</f>
        <v/>
      </c>
      <c r="B469" s="2" t="n">
        <v>43235.47181712963</v>
      </c>
      <c r="C469" t="n">
        <v>0</v>
      </c>
      <c r="D469" t="n">
        <v>0</v>
      </c>
      <c r="E469" t="s">
        <v>479</v>
      </c>
      <c r="F469" t="s"/>
      <c r="G469" t="s"/>
      <c r="H469" t="s"/>
      <c r="I469" t="s"/>
      <c r="J469" t="n">
        <v>-0.2323</v>
      </c>
      <c r="K469" t="n">
        <v>0.267</v>
      </c>
      <c r="L469" t="n">
        <v>0.546</v>
      </c>
      <c r="M469" t="n">
        <v>0.186</v>
      </c>
    </row>
    <row r="470" spans="1:13">
      <c r="A470" s="1">
        <f>HYPERLINK("http://www.twitter.com/NathanBLawrence/status/996348323035525120", "996348323035525120")</f>
        <v/>
      </c>
      <c r="B470" s="2" t="n">
        <v>43235.46905092592</v>
      </c>
      <c r="C470" t="n">
        <v>2</v>
      </c>
      <c r="D470" t="n">
        <v>0</v>
      </c>
      <c r="E470" t="s">
        <v>480</v>
      </c>
      <c r="F470">
        <f>HYPERLINK("http://pbs.twimg.com/media/DdO9g3BVAAA7HNu.jpg", "http://pbs.twimg.com/media/DdO9g3BVAAA7HNu.jpg")</f>
        <v/>
      </c>
      <c r="G470" t="s"/>
      <c r="H470" t="s"/>
      <c r="I470" t="s"/>
      <c r="J470" t="n">
        <v>0.308</v>
      </c>
      <c r="K470" t="n">
        <v>0</v>
      </c>
      <c r="L470" t="n">
        <v>0.8159999999999999</v>
      </c>
      <c r="M470" t="n">
        <v>0.184</v>
      </c>
    </row>
    <row r="471" spans="1:13">
      <c r="A471" s="1">
        <f>HYPERLINK("http://www.twitter.com/NathanBLawrence/status/996347999856025602", "996347999856025602")</f>
        <v/>
      </c>
      <c r="B471" s="2" t="n">
        <v>43235.46815972222</v>
      </c>
      <c r="C471" t="n">
        <v>0</v>
      </c>
      <c r="D471" t="n">
        <v>4</v>
      </c>
      <c r="E471" t="s">
        <v>481</v>
      </c>
      <c r="F471" t="s"/>
      <c r="G471" t="s"/>
      <c r="H471" t="s"/>
      <c r="I471" t="s"/>
      <c r="J471" t="n">
        <v>-0.5106000000000001</v>
      </c>
      <c r="K471" t="n">
        <v>0.17</v>
      </c>
      <c r="L471" t="n">
        <v>0.83</v>
      </c>
      <c r="M471" t="n">
        <v>0</v>
      </c>
    </row>
    <row r="472" spans="1:13">
      <c r="A472" s="1">
        <f>HYPERLINK("http://www.twitter.com/NathanBLawrence/status/996347873854939136", "996347873854939136")</f>
        <v/>
      </c>
      <c r="B472" s="2" t="n">
        <v>43235.4678125</v>
      </c>
      <c r="C472" t="n">
        <v>0</v>
      </c>
      <c r="D472" t="n">
        <v>6</v>
      </c>
      <c r="E472" t="s">
        <v>482</v>
      </c>
      <c r="F472" t="s"/>
      <c r="G472" t="s"/>
      <c r="H472" t="s"/>
      <c r="I472" t="s"/>
      <c r="J472" t="n">
        <v>-0.6124000000000001</v>
      </c>
      <c r="K472" t="n">
        <v>0.2</v>
      </c>
      <c r="L472" t="n">
        <v>0.8</v>
      </c>
      <c r="M472" t="n">
        <v>0</v>
      </c>
    </row>
    <row r="473" spans="1:13">
      <c r="A473" s="1">
        <f>HYPERLINK("http://www.twitter.com/NathanBLawrence/status/996347428705132546", "996347428705132546")</f>
        <v/>
      </c>
      <c r="B473" s="2" t="n">
        <v>43235.46657407407</v>
      </c>
      <c r="C473" t="n">
        <v>0</v>
      </c>
      <c r="D473" t="n">
        <v>0</v>
      </c>
      <c r="E473" t="s">
        <v>483</v>
      </c>
      <c r="F473" t="s"/>
      <c r="G473" t="s"/>
      <c r="H473" t="s"/>
      <c r="I473" t="s"/>
      <c r="J473" t="n">
        <v>0.2003</v>
      </c>
      <c r="K473" t="n">
        <v>0.185</v>
      </c>
      <c r="L473" t="n">
        <v>0.605</v>
      </c>
      <c r="M473" t="n">
        <v>0.21</v>
      </c>
    </row>
    <row r="474" spans="1:13">
      <c r="A474" s="1">
        <f>HYPERLINK("http://www.twitter.com/NathanBLawrence/status/996346632454262784", "996346632454262784")</f>
        <v/>
      </c>
      <c r="B474" s="2" t="n">
        <v>43235.46438657407</v>
      </c>
      <c r="C474" t="n">
        <v>0</v>
      </c>
      <c r="D474" t="n">
        <v>2</v>
      </c>
      <c r="E474" t="s">
        <v>484</v>
      </c>
      <c r="F474" t="s"/>
      <c r="G474" t="s"/>
      <c r="H474" t="s"/>
      <c r="I474" t="s"/>
      <c r="J474" t="n">
        <v>-0.5266999999999999</v>
      </c>
      <c r="K474" t="n">
        <v>0.124</v>
      </c>
      <c r="L474" t="n">
        <v>0.876</v>
      </c>
      <c r="M474" t="n">
        <v>0</v>
      </c>
    </row>
    <row r="475" spans="1:13">
      <c r="A475" s="1">
        <f>HYPERLINK("http://www.twitter.com/NathanBLawrence/status/996346478800011266", "996346478800011266")</f>
        <v/>
      </c>
      <c r="B475" s="2" t="n">
        <v>43235.46395833333</v>
      </c>
      <c r="C475" t="n">
        <v>0</v>
      </c>
      <c r="D475" t="n">
        <v>1</v>
      </c>
      <c r="E475" t="s">
        <v>485</v>
      </c>
      <c r="F475" t="s"/>
      <c r="G475" t="s"/>
      <c r="H475" t="s"/>
      <c r="I475" t="s"/>
      <c r="J475" t="n">
        <v>0</v>
      </c>
      <c r="K475" t="n">
        <v>0</v>
      </c>
      <c r="L475" t="n">
        <v>1</v>
      </c>
      <c r="M475" t="n">
        <v>0</v>
      </c>
    </row>
    <row r="476" spans="1:13">
      <c r="A476" s="1">
        <f>HYPERLINK("http://www.twitter.com/NathanBLawrence/status/996343628678262785", "996343628678262785")</f>
        <v/>
      </c>
      <c r="B476" s="2" t="n">
        <v>43235.45608796296</v>
      </c>
      <c r="C476" t="n">
        <v>0</v>
      </c>
      <c r="D476" t="n">
        <v>0</v>
      </c>
      <c r="E476" t="s">
        <v>486</v>
      </c>
      <c r="F476" t="s"/>
      <c r="G476" t="s"/>
      <c r="H476" t="s"/>
      <c r="I476" t="s"/>
      <c r="J476" t="n">
        <v>-0.8715000000000001</v>
      </c>
      <c r="K476" t="n">
        <v>0.236</v>
      </c>
      <c r="L476" t="n">
        <v>0.713</v>
      </c>
      <c r="M476" t="n">
        <v>0.051</v>
      </c>
    </row>
    <row r="477" spans="1:13">
      <c r="A477" s="1">
        <f>HYPERLINK("http://www.twitter.com/NathanBLawrence/status/996342777309990912", "996342777309990912")</f>
        <v/>
      </c>
      <c r="B477" s="2" t="n">
        <v>43235.45373842592</v>
      </c>
      <c r="C477" t="n">
        <v>2</v>
      </c>
      <c r="D477" t="n">
        <v>2</v>
      </c>
      <c r="E477" t="s">
        <v>487</v>
      </c>
      <c r="F477" t="s"/>
      <c r="G477" t="s"/>
      <c r="H477" t="s"/>
      <c r="I477" t="s"/>
      <c r="J477" t="n">
        <v>-0.8221000000000001</v>
      </c>
      <c r="K477" t="n">
        <v>0.175</v>
      </c>
      <c r="L477" t="n">
        <v>0.791</v>
      </c>
      <c r="M477" t="n">
        <v>0.035</v>
      </c>
    </row>
    <row r="478" spans="1:13">
      <c r="A478" s="1">
        <f>HYPERLINK("http://www.twitter.com/NathanBLawrence/status/996341810309091328", "996341810309091328")</f>
        <v/>
      </c>
      <c r="B478" s="2" t="n">
        <v>43235.45107638889</v>
      </c>
      <c r="C478" t="n">
        <v>0</v>
      </c>
      <c r="D478" t="n">
        <v>14</v>
      </c>
      <c r="E478" t="s">
        <v>488</v>
      </c>
      <c r="F478">
        <f>HYPERLINK("http://pbs.twimg.com/media/DdNQDXWVAAAGhVP.jpg", "http://pbs.twimg.com/media/DdNQDXWVAAAGhVP.jpg")</f>
        <v/>
      </c>
      <c r="G478" t="s"/>
      <c r="H478" t="s"/>
      <c r="I478" t="s"/>
      <c r="J478" t="n">
        <v>-0.7269</v>
      </c>
      <c r="K478" t="n">
        <v>0.276</v>
      </c>
      <c r="L478" t="n">
        <v>0.724</v>
      </c>
      <c r="M478" t="n">
        <v>0</v>
      </c>
    </row>
    <row r="479" spans="1:13">
      <c r="A479" s="1">
        <f>HYPERLINK("http://www.twitter.com/NathanBLawrence/status/996341063441887232", "996341063441887232")</f>
        <v/>
      </c>
      <c r="B479" s="2" t="n">
        <v>43235.4490162037</v>
      </c>
      <c r="C479" t="n">
        <v>0</v>
      </c>
      <c r="D479" t="n">
        <v>0</v>
      </c>
      <c r="E479" t="s">
        <v>489</v>
      </c>
      <c r="F479" t="s"/>
      <c r="G479" t="s"/>
      <c r="H479" t="s"/>
      <c r="I479" t="s"/>
      <c r="J479" t="n">
        <v>0.1177</v>
      </c>
      <c r="K479" t="n">
        <v>0.125</v>
      </c>
      <c r="L479" t="n">
        <v>0.694</v>
      </c>
      <c r="M479" t="n">
        <v>0.181</v>
      </c>
    </row>
    <row r="480" spans="1:13">
      <c r="A480" s="1">
        <f>HYPERLINK("http://www.twitter.com/NathanBLawrence/status/996339511331352576", "996339511331352576")</f>
        <v/>
      </c>
      <c r="B480" s="2" t="n">
        <v>43235.4447337963</v>
      </c>
      <c r="C480" t="n">
        <v>0</v>
      </c>
      <c r="D480" t="n">
        <v>1</v>
      </c>
      <c r="E480" t="s">
        <v>490</v>
      </c>
      <c r="F480" t="s"/>
      <c r="G480" t="s"/>
      <c r="H480" t="s"/>
      <c r="I480" t="s"/>
      <c r="J480" t="n">
        <v>0.2481</v>
      </c>
      <c r="K480" t="n">
        <v>0.125</v>
      </c>
      <c r="L480" t="n">
        <v>0.714</v>
      </c>
      <c r="M480" t="n">
        <v>0.16</v>
      </c>
    </row>
    <row r="481" spans="1:13">
      <c r="A481" s="1">
        <f>HYPERLINK("http://www.twitter.com/NathanBLawrence/status/996331164540526592", "996331164540526592")</f>
        <v/>
      </c>
      <c r="B481" s="2" t="n">
        <v>43235.42170138889</v>
      </c>
      <c r="C481" t="n">
        <v>2</v>
      </c>
      <c r="D481" t="n">
        <v>0</v>
      </c>
      <c r="E481" t="s">
        <v>491</v>
      </c>
      <c r="F481" t="s"/>
      <c r="G481" t="s"/>
      <c r="H481" t="s"/>
      <c r="I481" t="s"/>
      <c r="J481" t="n">
        <v>-0.5266999999999999</v>
      </c>
      <c r="K481" t="n">
        <v>0.059</v>
      </c>
      <c r="L481" t="n">
        <v>0.9409999999999999</v>
      </c>
      <c r="M481" t="n">
        <v>0</v>
      </c>
    </row>
    <row r="482" spans="1:13">
      <c r="A482" s="1">
        <f>HYPERLINK("http://www.twitter.com/NathanBLawrence/status/996329491331940352", "996329491331940352")</f>
        <v/>
      </c>
      <c r="B482" s="2" t="n">
        <v>43235.41708333333</v>
      </c>
      <c r="C482" t="n">
        <v>4</v>
      </c>
      <c r="D482" t="n">
        <v>0</v>
      </c>
      <c r="E482" t="s">
        <v>492</v>
      </c>
      <c r="F482" t="s"/>
      <c r="G482" t="s"/>
      <c r="H482" t="s"/>
      <c r="I482" t="s"/>
      <c r="J482" t="n">
        <v>0.2263</v>
      </c>
      <c r="K482" t="n">
        <v>0</v>
      </c>
      <c r="L482" t="n">
        <v>0.927</v>
      </c>
      <c r="M482" t="n">
        <v>0.073</v>
      </c>
    </row>
    <row r="483" spans="1:13">
      <c r="A483" s="1">
        <f>HYPERLINK("http://www.twitter.com/NathanBLawrence/status/996326684877082624", "996326684877082624")</f>
        <v/>
      </c>
      <c r="B483" s="2" t="n">
        <v>43235.40934027778</v>
      </c>
      <c r="C483" t="n">
        <v>0</v>
      </c>
      <c r="D483" t="n">
        <v>0</v>
      </c>
      <c r="E483" t="s">
        <v>493</v>
      </c>
      <c r="F483" t="s"/>
      <c r="G483" t="s"/>
      <c r="H483" t="s"/>
      <c r="I483" t="s"/>
      <c r="J483" t="n">
        <v>-0.2023</v>
      </c>
      <c r="K483" t="n">
        <v>0.159</v>
      </c>
      <c r="L483" t="n">
        <v>0.721</v>
      </c>
      <c r="M483" t="n">
        <v>0.12</v>
      </c>
    </row>
    <row r="484" spans="1:13">
      <c r="A484" s="1">
        <f>HYPERLINK("http://www.twitter.com/NathanBLawrence/status/996234043317465088", "996234043317465088")</f>
        <v/>
      </c>
      <c r="B484" s="2" t="n">
        <v>43235.15369212963</v>
      </c>
      <c r="C484" t="n">
        <v>3</v>
      </c>
      <c r="D484" t="n">
        <v>1</v>
      </c>
      <c r="E484" t="s">
        <v>494</v>
      </c>
      <c r="F484" t="s"/>
      <c r="G484" t="s"/>
      <c r="H484" t="s"/>
      <c r="I484" t="s"/>
      <c r="J484" t="n">
        <v>0</v>
      </c>
      <c r="K484" t="n">
        <v>0</v>
      </c>
      <c r="L484" t="n">
        <v>1</v>
      </c>
      <c r="M484" t="n">
        <v>0</v>
      </c>
    </row>
    <row r="485" spans="1:13">
      <c r="A485" s="1">
        <f>HYPERLINK("http://www.twitter.com/NathanBLawrence/status/996233828501991425", "996233828501991425")</f>
        <v/>
      </c>
      <c r="B485" s="2" t="n">
        <v>43235.15310185185</v>
      </c>
      <c r="C485" t="n">
        <v>0</v>
      </c>
      <c r="D485" t="n">
        <v>25</v>
      </c>
      <c r="E485" t="s">
        <v>495</v>
      </c>
      <c r="F485" t="s"/>
      <c r="G485" t="s"/>
      <c r="H485" t="s"/>
      <c r="I485" t="s"/>
      <c r="J485" t="n">
        <v>0.0258</v>
      </c>
      <c r="K485" t="n">
        <v>0.114</v>
      </c>
      <c r="L485" t="n">
        <v>0.769</v>
      </c>
      <c r="M485" t="n">
        <v>0.117</v>
      </c>
    </row>
    <row r="486" spans="1:13">
      <c r="A486" s="1">
        <f>HYPERLINK("http://www.twitter.com/NathanBLawrence/status/996233431012073472", "996233431012073472")</f>
        <v/>
      </c>
      <c r="B486" s="2" t="n">
        <v>43235.15200231481</v>
      </c>
      <c r="C486" t="n">
        <v>6</v>
      </c>
      <c r="D486" t="n">
        <v>3</v>
      </c>
      <c r="E486" t="s">
        <v>496</v>
      </c>
      <c r="F486" t="s"/>
      <c r="G486" t="s"/>
      <c r="H486" t="s"/>
      <c r="I486" t="s"/>
      <c r="J486" t="n">
        <v>0</v>
      </c>
      <c r="K486" t="n">
        <v>0</v>
      </c>
      <c r="L486" t="n">
        <v>1</v>
      </c>
      <c r="M486" t="n">
        <v>0</v>
      </c>
    </row>
    <row r="487" spans="1:13">
      <c r="A487" s="1">
        <f>HYPERLINK("http://www.twitter.com/NathanBLawrence/status/996233352536645632", "996233352536645632")</f>
        <v/>
      </c>
      <c r="B487" s="2" t="n">
        <v>43235.15179398148</v>
      </c>
      <c r="C487" t="n">
        <v>6</v>
      </c>
      <c r="D487" t="n">
        <v>2</v>
      </c>
      <c r="E487" t="s">
        <v>497</v>
      </c>
      <c r="F487" t="s"/>
      <c r="G487" t="s"/>
      <c r="H487" t="s"/>
      <c r="I487" t="s"/>
      <c r="J487" t="n">
        <v>0</v>
      </c>
      <c r="K487" t="n">
        <v>0</v>
      </c>
      <c r="L487" t="n">
        <v>1</v>
      </c>
      <c r="M487" t="n">
        <v>0</v>
      </c>
    </row>
    <row r="488" spans="1:13">
      <c r="A488" s="1">
        <f>HYPERLINK("http://www.twitter.com/NathanBLawrence/status/996233157040115712", "996233157040115712")</f>
        <v/>
      </c>
      <c r="B488" s="2" t="n">
        <v>43235.15125</v>
      </c>
      <c r="C488" t="n">
        <v>0</v>
      </c>
      <c r="D488" t="n">
        <v>11</v>
      </c>
      <c r="E488" t="s">
        <v>498</v>
      </c>
      <c r="F488" t="s"/>
      <c r="G488" t="s"/>
      <c r="H488" t="s"/>
      <c r="I488" t="s"/>
      <c r="J488" t="n">
        <v>0</v>
      </c>
      <c r="K488" t="n">
        <v>0</v>
      </c>
      <c r="L488" t="n">
        <v>1</v>
      </c>
      <c r="M488" t="n">
        <v>0</v>
      </c>
    </row>
    <row r="489" spans="1:13">
      <c r="A489" s="1">
        <f>HYPERLINK("http://www.twitter.com/NathanBLawrence/status/996231426096975872", "996231426096975872")</f>
        <v/>
      </c>
      <c r="B489" s="2" t="n">
        <v>43235.14646990741</v>
      </c>
      <c r="C489" t="n">
        <v>0</v>
      </c>
      <c r="D489" t="n">
        <v>8</v>
      </c>
      <c r="E489" t="s">
        <v>499</v>
      </c>
      <c r="F489">
        <f>HYPERLINK("http://pbs.twimg.com/media/DdNB_5QU0AARAsq.jpg", "http://pbs.twimg.com/media/DdNB_5QU0AARAsq.jpg")</f>
        <v/>
      </c>
      <c r="G489" t="s"/>
      <c r="H489" t="s"/>
      <c r="I489" t="s"/>
      <c r="J489" t="n">
        <v>0.4404</v>
      </c>
      <c r="K489" t="n">
        <v>0</v>
      </c>
      <c r="L489" t="n">
        <v>0.873</v>
      </c>
      <c r="M489" t="n">
        <v>0.127</v>
      </c>
    </row>
    <row r="490" spans="1:13">
      <c r="A490" s="1">
        <f>HYPERLINK("http://www.twitter.com/NathanBLawrence/status/996229377917706241", "996229377917706241")</f>
        <v/>
      </c>
      <c r="B490" s="2" t="n">
        <v>43235.14082175926</v>
      </c>
      <c r="C490" t="n">
        <v>4</v>
      </c>
      <c r="D490" t="n">
        <v>2</v>
      </c>
      <c r="E490" t="s">
        <v>500</v>
      </c>
      <c r="F490" t="s"/>
      <c r="G490" t="s"/>
      <c r="H490" t="s"/>
      <c r="I490" t="s"/>
      <c r="J490" t="n">
        <v>-0.0258</v>
      </c>
      <c r="K490" t="n">
        <v>0.153</v>
      </c>
      <c r="L490" t="n">
        <v>0.701</v>
      </c>
      <c r="M490" t="n">
        <v>0.146</v>
      </c>
    </row>
    <row r="491" spans="1:13">
      <c r="A491" s="1">
        <f>HYPERLINK("http://www.twitter.com/NathanBLawrence/status/996223922042556416", "996223922042556416")</f>
        <v/>
      </c>
      <c r="B491" s="2" t="n">
        <v>43235.12576388889</v>
      </c>
      <c r="C491" t="n">
        <v>1</v>
      </c>
      <c r="D491" t="n">
        <v>0</v>
      </c>
      <c r="E491" t="s">
        <v>501</v>
      </c>
      <c r="F491" t="s"/>
      <c r="G491" t="s"/>
      <c r="H491" t="s"/>
      <c r="I491" t="s"/>
      <c r="J491" t="n">
        <v>0</v>
      </c>
      <c r="K491" t="n">
        <v>0</v>
      </c>
      <c r="L491" t="n">
        <v>1</v>
      </c>
      <c r="M491" t="n">
        <v>0</v>
      </c>
    </row>
    <row r="492" spans="1:13">
      <c r="A492" s="1">
        <f>HYPERLINK("http://www.twitter.com/NathanBLawrence/status/996222361891409921", "996222361891409921")</f>
        <v/>
      </c>
      <c r="B492" s="2" t="n">
        <v>43235.12145833333</v>
      </c>
      <c r="C492" t="n">
        <v>0</v>
      </c>
      <c r="D492" t="n">
        <v>0</v>
      </c>
      <c r="E492" t="s">
        <v>502</v>
      </c>
      <c r="F492" t="s"/>
      <c r="G492" t="s"/>
      <c r="H492" t="s"/>
      <c r="I492" t="s"/>
      <c r="J492" t="n">
        <v>-0.2023</v>
      </c>
      <c r="K492" t="n">
        <v>0.236</v>
      </c>
      <c r="L492" t="n">
        <v>0.632</v>
      </c>
      <c r="M492" t="n">
        <v>0.132</v>
      </c>
    </row>
    <row r="493" spans="1:13">
      <c r="A493" s="1">
        <f>HYPERLINK("http://www.twitter.com/NathanBLawrence/status/996201908216975360", "996201908216975360")</f>
        <v/>
      </c>
      <c r="B493" s="2" t="n">
        <v>43235.06502314815</v>
      </c>
      <c r="C493" t="n">
        <v>6</v>
      </c>
      <c r="D493" t="n">
        <v>1</v>
      </c>
      <c r="E493" t="s">
        <v>503</v>
      </c>
      <c r="F493" t="s"/>
      <c r="G493" t="s"/>
      <c r="H493" t="s"/>
      <c r="I493" t="s"/>
      <c r="J493" t="n">
        <v>0.755</v>
      </c>
      <c r="K493" t="n">
        <v>0.062</v>
      </c>
      <c r="L493" t="n">
        <v>0.762</v>
      </c>
      <c r="M493" t="n">
        <v>0.176</v>
      </c>
    </row>
    <row r="494" spans="1:13">
      <c r="A494" s="1">
        <f>HYPERLINK("http://www.twitter.com/NathanBLawrence/status/996200033602109440", "996200033602109440")</f>
        <v/>
      </c>
      <c r="B494" s="2" t="n">
        <v>43235.05984953704</v>
      </c>
      <c r="C494" t="n">
        <v>0</v>
      </c>
      <c r="D494" t="n">
        <v>13</v>
      </c>
      <c r="E494" t="s">
        <v>504</v>
      </c>
      <c r="F494" t="s"/>
      <c r="G494" t="s"/>
      <c r="H494" t="s"/>
      <c r="I494" t="s"/>
      <c r="J494" t="n">
        <v>0.3818</v>
      </c>
      <c r="K494" t="n">
        <v>0</v>
      </c>
      <c r="L494" t="n">
        <v>0.89</v>
      </c>
      <c r="M494" t="n">
        <v>0.11</v>
      </c>
    </row>
    <row r="495" spans="1:13">
      <c r="A495" s="1">
        <f>HYPERLINK("http://www.twitter.com/NathanBLawrence/status/996193372829290496", "996193372829290496")</f>
        <v/>
      </c>
      <c r="B495" s="2" t="n">
        <v>43235.04146990741</v>
      </c>
      <c r="C495" t="n">
        <v>0</v>
      </c>
      <c r="D495" t="n">
        <v>0</v>
      </c>
      <c r="E495" t="s">
        <v>505</v>
      </c>
      <c r="F495" t="s"/>
      <c r="G495" t="s"/>
      <c r="H495" t="s"/>
      <c r="I495" t="s"/>
      <c r="J495" t="n">
        <v>0</v>
      </c>
      <c r="K495" t="n">
        <v>0</v>
      </c>
      <c r="L495" t="n">
        <v>1</v>
      </c>
      <c r="M495" t="n">
        <v>0</v>
      </c>
    </row>
    <row r="496" spans="1:13">
      <c r="A496" s="1">
        <f>HYPERLINK("http://www.twitter.com/NathanBLawrence/status/996193068389978112", "996193068389978112")</f>
        <v/>
      </c>
      <c r="B496" s="2" t="n">
        <v>43235.040625</v>
      </c>
      <c r="C496" t="n">
        <v>2</v>
      </c>
      <c r="D496" t="n">
        <v>0</v>
      </c>
      <c r="E496" t="s">
        <v>506</v>
      </c>
      <c r="F496" t="s"/>
      <c r="G496" t="s"/>
      <c r="H496" t="s"/>
      <c r="I496" t="s"/>
      <c r="J496" t="n">
        <v>-0.7635</v>
      </c>
      <c r="K496" t="n">
        <v>0.213</v>
      </c>
      <c r="L496" t="n">
        <v>0.663</v>
      </c>
      <c r="M496" t="n">
        <v>0.123</v>
      </c>
    </row>
    <row r="497" spans="1:13">
      <c r="A497" s="1">
        <f>HYPERLINK("http://www.twitter.com/NathanBLawrence/status/996192190077526017", "996192190077526017")</f>
        <v/>
      </c>
      <c r="B497" s="2" t="n">
        <v>43235.03820601852</v>
      </c>
      <c r="C497" t="n">
        <v>0</v>
      </c>
      <c r="D497" t="n">
        <v>10</v>
      </c>
      <c r="E497" t="s">
        <v>507</v>
      </c>
      <c r="F497" t="s"/>
      <c r="G497" t="s"/>
      <c r="H497" t="s"/>
      <c r="I497" t="s"/>
      <c r="J497" t="n">
        <v>0</v>
      </c>
      <c r="K497" t="n">
        <v>0</v>
      </c>
      <c r="L497" t="n">
        <v>1</v>
      </c>
      <c r="M497" t="n">
        <v>0</v>
      </c>
    </row>
    <row r="498" spans="1:13">
      <c r="A498" s="1">
        <f>HYPERLINK("http://www.twitter.com/NathanBLawrence/status/996191439443898368", "996191439443898368")</f>
        <v/>
      </c>
      <c r="B498" s="2" t="n">
        <v>43235.03613425926</v>
      </c>
      <c r="C498" t="n">
        <v>9</v>
      </c>
      <c r="D498" t="n">
        <v>2</v>
      </c>
      <c r="E498" t="s">
        <v>508</v>
      </c>
      <c r="F498" t="s"/>
      <c r="G498" t="s"/>
      <c r="H498" t="s"/>
      <c r="I498" t="s"/>
      <c r="J498" t="n">
        <v>0</v>
      </c>
      <c r="K498" t="n">
        <v>0</v>
      </c>
      <c r="L498" t="n">
        <v>1</v>
      </c>
      <c r="M498" t="n">
        <v>0</v>
      </c>
    </row>
    <row r="499" spans="1:13">
      <c r="A499" s="1">
        <f>HYPERLINK("http://www.twitter.com/NathanBLawrence/status/996187031435915264", "996187031435915264")</f>
        <v/>
      </c>
      <c r="B499" s="2" t="n">
        <v>43235.02396990741</v>
      </c>
      <c r="C499" t="n">
        <v>12</v>
      </c>
      <c r="D499" t="n">
        <v>6</v>
      </c>
      <c r="E499" t="s">
        <v>509</v>
      </c>
      <c r="F499" t="s"/>
      <c r="G499" t="s"/>
      <c r="H499" t="s"/>
      <c r="I499" t="s"/>
      <c r="J499" t="n">
        <v>0.5255</v>
      </c>
      <c r="K499" t="n">
        <v>0</v>
      </c>
      <c r="L499" t="n">
        <v>0.8159999999999999</v>
      </c>
      <c r="M499" t="n">
        <v>0.184</v>
      </c>
    </row>
    <row r="500" spans="1:13">
      <c r="A500" s="1">
        <f>HYPERLINK("http://www.twitter.com/NathanBLawrence/status/996186305653592064", "996186305653592064")</f>
        <v/>
      </c>
      <c r="B500" s="2" t="n">
        <v>43235.02196759259</v>
      </c>
      <c r="C500" t="n">
        <v>0</v>
      </c>
      <c r="D500" t="n">
        <v>36</v>
      </c>
      <c r="E500" t="s">
        <v>510</v>
      </c>
      <c r="F500">
        <f>HYPERLINK("http://pbs.twimg.com/media/DdMo_hGWAAA9-6q.jpg", "http://pbs.twimg.com/media/DdMo_hGWAAA9-6q.jpg")</f>
        <v/>
      </c>
      <c r="G500" t="s"/>
      <c r="H500" t="s"/>
      <c r="I500" t="s"/>
      <c r="J500" t="n">
        <v>-0.3578</v>
      </c>
      <c r="K500" t="n">
        <v>0.112</v>
      </c>
      <c r="L500" t="n">
        <v>0.837</v>
      </c>
      <c r="M500" t="n">
        <v>0.05</v>
      </c>
    </row>
    <row r="501" spans="1:13">
      <c r="A501" s="1">
        <f>HYPERLINK("http://www.twitter.com/NathanBLawrence/status/996181637988847617", "996181637988847617")</f>
        <v/>
      </c>
      <c r="B501" s="2" t="n">
        <v>43235.00908564815</v>
      </c>
      <c r="C501" t="n">
        <v>5</v>
      </c>
      <c r="D501" t="n">
        <v>0</v>
      </c>
      <c r="E501" t="s">
        <v>511</v>
      </c>
      <c r="F501" t="s"/>
      <c r="G501" t="s"/>
      <c r="H501" t="s"/>
      <c r="I501" t="s"/>
      <c r="J501" t="n">
        <v>0.6908</v>
      </c>
      <c r="K501" t="n">
        <v>0.137</v>
      </c>
      <c r="L501" t="n">
        <v>0.569</v>
      </c>
      <c r="M501" t="n">
        <v>0.294</v>
      </c>
    </row>
    <row r="502" spans="1:13">
      <c r="A502" s="1">
        <f>HYPERLINK("http://www.twitter.com/NathanBLawrence/status/996178005184655366", "996178005184655366")</f>
        <v/>
      </c>
      <c r="B502" s="2" t="n">
        <v>43234.9990625</v>
      </c>
      <c r="C502" t="n">
        <v>4</v>
      </c>
      <c r="D502" t="n">
        <v>0</v>
      </c>
      <c r="E502" t="s">
        <v>512</v>
      </c>
      <c r="F502" t="s"/>
      <c r="G502" t="s"/>
      <c r="H502" t="s"/>
      <c r="I502" t="s"/>
      <c r="J502" t="n">
        <v>0.2298</v>
      </c>
      <c r="K502" t="n">
        <v>0.155</v>
      </c>
      <c r="L502" t="n">
        <v>0.612</v>
      </c>
      <c r="M502" t="n">
        <v>0.233</v>
      </c>
    </row>
    <row r="503" spans="1:13">
      <c r="A503" s="1">
        <f>HYPERLINK("http://www.twitter.com/NathanBLawrence/status/996177246539968513", "996177246539968513")</f>
        <v/>
      </c>
      <c r="B503" s="2" t="n">
        <v>43234.99696759259</v>
      </c>
      <c r="C503" t="n">
        <v>14</v>
      </c>
      <c r="D503" t="n">
        <v>3</v>
      </c>
      <c r="E503" t="s">
        <v>513</v>
      </c>
      <c r="F503" t="s"/>
      <c r="G503" t="s"/>
      <c r="H503" t="s"/>
      <c r="I503" t="s"/>
      <c r="J503" t="n">
        <v>0.128</v>
      </c>
      <c r="K503" t="n">
        <v>0.082</v>
      </c>
      <c r="L503" t="n">
        <v>0.8179999999999999</v>
      </c>
      <c r="M503" t="n">
        <v>0.1</v>
      </c>
    </row>
    <row r="504" spans="1:13">
      <c r="A504" s="1">
        <f>HYPERLINK("http://www.twitter.com/NathanBLawrence/status/996175149824204801", "996175149824204801")</f>
        <v/>
      </c>
      <c r="B504" s="2" t="n">
        <v>43234.99118055555</v>
      </c>
      <c r="C504" t="n">
        <v>2</v>
      </c>
      <c r="D504" t="n">
        <v>0</v>
      </c>
      <c r="E504" t="s">
        <v>514</v>
      </c>
      <c r="F504" t="s"/>
      <c r="G504" t="s"/>
      <c r="H504" t="s"/>
      <c r="I504" t="s"/>
      <c r="J504" t="n">
        <v>0</v>
      </c>
      <c r="K504" t="n">
        <v>0</v>
      </c>
      <c r="L504" t="n">
        <v>1</v>
      </c>
      <c r="M504" t="n">
        <v>0</v>
      </c>
    </row>
    <row r="505" spans="1:13">
      <c r="A505" s="1">
        <f>HYPERLINK("http://www.twitter.com/NathanBLawrence/status/996174460305764354", "996174460305764354")</f>
        <v/>
      </c>
      <c r="B505" s="2" t="n">
        <v>43234.9892824074</v>
      </c>
      <c r="C505" t="n">
        <v>0</v>
      </c>
      <c r="D505" t="n">
        <v>57</v>
      </c>
      <c r="E505" t="s">
        <v>515</v>
      </c>
      <c r="F505" t="s"/>
      <c r="G505" t="s"/>
      <c r="H505" t="s"/>
      <c r="I505" t="s"/>
      <c r="J505" t="n">
        <v>-0.128</v>
      </c>
      <c r="K505" t="n">
        <v>0.155</v>
      </c>
      <c r="L505" t="n">
        <v>0.741</v>
      </c>
      <c r="M505" t="n">
        <v>0.104</v>
      </c>
    </row>
    <row r="506" spans="1:13">
      <c r="A506" s="1">
        <f>HYPERLINK("http://www.twitter.com/NathanBLawrence/status/996174230495596544", "996174230495596544")</f>
        <v/>
      </c>
      <c r="B506" s="2" t="n">
        <v>43234.98864583333</v>
      </c>
      <c r="C506" t="n">
        <v>0</v>
      </c>
      <c r="D506" t="n">
        <v>482</v>
      </c>
      <c r="E506" t="s">
        <v>516</v>
      </c>
      <c r="F506" t="s"/>
      <c r="G506" t="s"/>
      <c r="H506" t="s"/>
      <c r="I506" t="s"/>
      <c r="J506" t="n">
        <v>0.4588</v>
      </c>
      <c r="K506" t="n">
        <v>0.08</v>
      </c>
      <c r="L506" t="n">
        <v>0.763</v>
      </c>
      <c r="M506" t="n">
        <v>0.156</v>
      </c>
    </row>
    <row r="507" spans="1:13">
      <c r="A507" s="1">
        <f>HYPERLINK("http://www.twitter.com/NathanBLawrence/status/996173999938981894", "996173999938981894")</f>
        <v/>
      </c>
      <c r="B507" s="2" t="n">
        <v>43234.98800925926</v>
      </c>
      <c r="C507" t="n">
        <v>1</v>
      </c>
      <c r="D507" t="n">
        <v>1</v>
      </c>
      <c r="E507" t="s">
        <v>517</v>
      </c>
      <c r="F507" t="s"/>
      <c r="G507" t="s"/>
      <c r="H507" t="s"/>
      <c r="I507" t="s"/>
      <c r="J507" t="n">
        <v>0.5319</v>
      </c>
      <c r="K507" t="n">
        <v>0.076</v>
      </c>
      <c r="L507" t="n">
        <v>0.728</v>
      </c>
      <c r="M507" t="n">
        <v>0.195</v>
      </c>
    </row>
    <row r="508" spans="1:13">
      <c r="A508" s="1">
        <f>HYPERLINK("http://www.twitter.com/NathanBLawrence/status/996173350333566976", "996173350333566976")</f>
        <v/>
      </c>
      <c r="B508" s="2" t="n">
        <v>43234.98621527778</v>
      </c>
      <c r="C508" t="n">
        <v>6</v>
      </c>
      <c r="D508" t="n">
        <v>4</v>
      </c>
      <c r="E508" t="s">
        <v>518</v>
      </c>
      <c r="F508" t="s"/>
      <c r="G508" t="s"/>
      <c r="H508" t="s"/>
      <c r="I508" t="s"/>
      <c r="J508" t="n">
        <v>0.128</v>
      </c>
      <c r="K508" t="n">
        <v>0.143</v>
      </c>
      <c r="L508" t="n">
        <v>0.68</v>
      </c>
      <c r="M508" t="n">
        <v>0.177</v>
      </c>
    </row>
    <row r="509" spans="1:13">
      <c r="A509" s="1">
        <f>HYPERLINK("http://www.twitter.com/NathanBLawrence/status/996172967263563776", "996172967263563776")</f>
        <v/>
      </c>
      <c r="B509" s="2" t="n">
        <v>43234.98516203704</v>
      </c>
      <c r="C509" t="n">
        <v>0</v>
      </c>
      <c r="D509" t="n">
        <v>32</v>
      </c>
      <c r="E509" t="s">
        <v>519</v>
      </c>
      <c r="F509" t="s"/>
      <c r="G509" t="s"/>
      <c r="H509" t="s"/>
      <c r="I509" t="s"/>
      <c r="J509" t="n">
        <v>-0.6486</v>
      </c>
      <c r="K509" t="n">
        <v>0.202</v>
      </c>
      <c r="L509" t="n">
        <v>0.798</v>
      </c>
      <c r="M509" t="n">
        <v>0</v>
      </c>
    </row>
    <row r="510" spans="1:13">
      <c r="A510" s="1">
        <f>HYPERLINK("http://www.twitter.com/NathanBLawrence/status/996169310484779008", "996169310484779008")</f>
        <v/>
      </c>
      <c r="B510" s="2" t="n">
        <v>43234.97506944444</v>
      </c>
      <c r="C510" t="n">
        <v>22</v>
      </c>
      <c r="D510" t="n">
        <v>14</v>
      </c>
      <c r="E510" t="s">
        <v>520</v>
      </c>
      <c r="F510" t="s"/>
      <c r="G510" t="s"/>
      <c r="H510" t="s"/>
      <c r="I510" t="s"/>
      <c r="J510" t="n">
        <v>0.7262999999999999</v>
      </c>
      <c r="K510" t="n">
        <v>0.074</v>
      </c>
      <c r="L510" t="n">
        <v>0.722</v>
      </c>
      <c r="M510" t="n">
        <v>0.204</v>
      </c>
    </row>
    <row r="511" spans="1:13">
      <c r="A511" s="1">
        <f>HYPERLINK("http://www.twitter.com/NathanBLawrence/status/996154545284755456", "996154545284755456")</f>
        <v/>
      </c>
      <c r="B511" s="2" t="n">
        <v>43234.93431712963</v>
      </c>
      <c r="C511" t="n">
        <v>0</v>
      </c>
      <c r="D511" t="n">
        <v>32</v>
      </c>
      <c r="E511" t="s">
        <v>521</v>
      </c>
      <c r="F511" t="s"/>
      <c r="G511" t="s"/>
      <c r="H511" t="s"/>
      <c r="I511" t="s"/>
      <c r="J511" t="n">
        <v>0</v>
      </c>
      <c r="K511" t="n">
        <v>0</v>
      </c>
      <c r="L511" t="n">
        <v>1</v>
      </c>
      <c r="M511" t="n">
        <v>0</v>
      </c>
    </row>
    <row r="512" spans="1:13">
      <c r="A512" s="1">
        <f>HYPERLINK("http://www.twitter.com/NathanBLawrence/status/996154427554791425", "996154427554791425")</f>
        <v/>
      </c>
      <c r="B512" s="2" t="n">
        <v>43234.93399305556</v>
      </c>
      <c r="C512" t="n">
        <v>0</v>
      </c>
      <c r="D512" t="n">
        <v>17</v>
      </c>
      <c r="E512" t="s">
        <v>522</v>
      </c>
      <c r="F512" t="s"/>
      <c r="G512" t="s"/>
      <c r="H512" t="s"/>
      <c r="I512" t="s"/>
      <c r="J512" t="n">
        <v>0</v>
      </c>
      <c r="K512" t="n">
        <v>0</v>
      </c>
      <c r="L512" t="n">
        <v>1</v>
      </c>
      <c r="M512" t="n">
        <v>0</v>
      </c>
    </row>
    <row r="513" spans="1:13">
      <c r="A513" s="1">
        <f>HYPERLINK("http://www.twitter.com/NathanBLawrence/status/996153386113355782", "996153386113355782")</f>
        <v/>
      </c>
      <c r="B513" s="2" t="n">
        <v>43234.93112268519</v>
      </c>
      <c r="C513" t="n">
        <v>3</v>
      </c>
      <c r="D513" t="n">
        <v>0</v>
      </c>
      <c r="E513" t="s">
        <v>523</v>
      </c>
      <c r="F513" t="s"/>
      <c r="G513" t="s"/>
      <c r="H513" t="s"/>
      <c r="I513" t="s"/>
      <c r="J513" t="n">
        <v>-0.7712</v>
      </c>
      <c r="K513" t="n">
        <v>0.242</v>
      </c>
      <c r="L513" t="n">
        <v>0.758</v>
      </c>
      <c r="M513" t="n">
        <v>0</v>
      </c>
    </row>
    <row r="514" spans="1:13">
      <c r="A514" s="1">
        <f>HYPERLINK("http://www.twitter.com/NathanBLawrence/status/996147450481168385", "996147450481168385")</f>
        <v/>
      </c>
      <c r="B514" s="2" t="n">
        <v>43234.91474537037</v>
      </c>
      <c r="C514" t="n">
        <v>5</v>
      </c>
      <c r="D514" t="n">
        <v>1</v>
      </c>
      <c r="E514" t="s">
        <v>524</v>
      </c>
      <c r="F514" t="s"/>
      <c r="G514" t="s"/>
      <c r="H514" t="s"/>
      <c r="I514" t="s"/>
      <c r="J514" t="n">
        <v>-0.8001</v>
      </c>
      <c r="K514" t="n">
        <v>0.254</v>
      </c>
      <c r="L514" t="n">
        <v>0.746</v>
      </c>
      <c r="M514" t="n">
        <v>0</v>
      </c>
    </row>
    <row r="515" spans="1:13">
      <c r="A515" s="1">
        <f>HYPERLINK("http://www.twitter.com/NathanBLawrence/status/996146462881931267", "996146462881931267")</f>
        <v/>
      </c>
      <c r="B515" s="2" t="n">
        <v>43234.91201388889</v>
      </c>
      <c r="C515" t="n">
        <v>2</v>
      </c>
      <c r="D515" t="n">
        <v>2</v>
      </c>
      <c r="E515" t="s">
        <v>525</v>
      </c>
      <c r="F515" t="s"/>
      <c r="G515" t="s"/>
      <c r="H515" t="s"/>
      <c r="I515" t="s"/>
      <c r="J515" t="n">
        <v>0.6124000000000001</v>
      </c>
      <c r="K515" t="n">
        <v>0</v>
      </c>
      <c r="L515" t="n">
        <v>0.2</v>
      </c>
      <c r="M515" t="n">
        <v>0.8</v>
      </c>
    </row>
    <row r="516" spans="1:13">
      <c r="A516" s="1">
        <f>HYPERLINK("http://www.twitter.com/NathanBLawrence/status/996145973238943744", "996145973238943744")</f>
        <v/>
      </c>
      <c r="B516" s="2" t="n">
        <v>43234.9106712963</v>
      </c>
      <c r="C516" t="n">
        <v>0</v>
      </c>
      <c r="D516" t="n">
        <v>0</v>
      </c>
      <c r="E516" t="s">
        <v>526</v>
      </c>
      <c r="F516">
        <f>HYPERLINK("http://pbs.twimg.com/media/DdMFeRPVQAAUYaC.jpg", "http://pbs.twimg.com/media/DdMFeRPVQAAUYaC.jpg")</f>
        <v/>
      </c>
      <c r="G516" t="s"/>
      <c r="H516" t="s"/>
      <c r="I516" t="s"/>
      <c r="J516" t="n">
        <v>-0.9391</v>
      </c>
      <c r="K516" t="n">
        <v>0.289</v>
      </c>
      <c r="L516" t="n">
        <v>0.681</v>
      </c>
      <c r="M516" t="n">
        <v>0.03</v>
      </c>
    </row>
    <row r="517" spans="1:13">
      <c r="A517" s="1">
        <f>HYPERLINK("http://www.twitter.com/NathanBLawrence/status/996143780062466049", "996143780062466049")</f>
        <v/>
      </c>
      <c r="B517" s="2" t="n">
        <v>43234.90461805555</v>
      </c>
      <c r="C517" t="n">
        <v>0</v>
      </c>
      <c r="D517" t="n">
        <v>12</v>
      </c>
      <c r="E517" t="s">
        <v>527</v>
      </c>
      <c r="F517" t="s"/>
      <c r="G517" t="s"/>
      <c r="H517" t="s"/>
      <c r="I517" t="s"/>
      <c r="J517" t="n">
        <v>0</v>
      </c>
      <c r="K517" t="n">
        <v>0</v>
      </c>
      <c r="L517" t="n">
        <v>1</v>
      </c>
      <c r="M517" t="n">
        <v>0</v>
      </c>
    </row>
    <row r="518" spans="1:13">
      <c r="A518" s="1">
        <f>HYPERLINK("http://www.twitter.com/NathanBLawrence/status/996142334629810176", "996142334629810176")</f>
        <v/>
      </c>
      <c r="B518" s="2" t="n">
        <v>43234.900625</v>
      </c>
      <c r="C518" t="n">
        <v>1</v>
      </c>
      <c r="D518" t="n">
        <v>0</v>
      </c>
      <c r="E518" t="s">
        <v>528</v>
      </c>
      <c r="F518" t="s"/>
      <c r="G518" t="s"/>
      <c r="H518" t="s"/>
      <c r="I518" t="s"/>
      <c r="J518" t="n">
        <v>0</v>
      </c>
      <c r="K518" t="n">
        <v>0</v>
      </c>
      <c r="L518" t="n">
        <v>1</v>
      </c>
      <c r="M518" t="n">
        <v>0</v>
      </c>
    </row>
    <row r="519" spans="1:13">
      <c r="A519" s="1">
        <f>HYPERLINK("http://www.twitter.com/NathanBLawrence/status/996140306675445765", "996140306675445765")</f>
        <v/>
      </c>
      <c r="B519" s="2" t="n">
        <v>43234.89503472222</v>
      </c>
      <c r="C519" t="n">
        <v>0</v>
      </c>
      <c r="D519" t="n">
        <v>2</v>
      </c>
      <c r="E519" t="s">
        <v>529</v>
      </c>
      <c r="F519" t="s"/>
      <c r="G519" t="s"/>
      <c r="H519" t="s"/>
      <c r="I519" t="s"/>
      <c r="J519" t="n">
        <v>0</v>
      </c>
      <c r="K519" t="n">
        <v>0</v>
      </c>
      <c r="L519" t="n">
        <v>1</v>
      </c>
      <c r="M519" t="n">
        <v>0</v>
      </c>
    </row>
    <row r="520" spans="1:13">
      <c r="A520" s="1">
        <f>HYPERLINK("http://www.twitter.com/NathanBLawrence/status/996140271757905925", "996140271757905925")</f>
        <v/>
      </c>
      <c r="B520" s="2" t="n">
        <v>43234.89493055556</v>
      </c>
      <c r="C520" t="n">
        <v>0</v>
      </c>
      <c r="D520" t="n">
        <v>3</v>
      </c>
      <c r="E520" t="s">
        <v>530</v>
      </c>
      <c r="F520" t="s"/>
      <c r="G520" t="s"/>
      <c r="H520" t="s"/>
      <c r="I520" t="s"/>
      <c r="J520" t="n">
        <v>0</v>
      </c>
      <c r="K520" t="n">
        <v>0</v>
      </c>
      <c r="L520" t="n">
        <v>1</v>
      </c>
      <c r="M520" t="n">
        <v>0</v>
      </c>
    </row>
    <row r="521" spans="1:13">
      <c r="A521" s="1">
        <f>HYPERLINK("http://www.twitter.com/NathanBLawrence/status/996139616901259264", "996139616901259264")</f>
        <v/>
      </c>
      <c r="B521" s="2" t="n">
        <v>43234.893125</v>
      </c>
      <c r="C521" t="n">
        <v>0</v>
      </c>
      <c r="D521" t="n">
        <v>25</v>
      </c>
      <c r="E521" t="s">
        <v>531</v>
      </c>
      <c r="F521">
        <f>HYPERLINK("http://pbs.twimg.com/media/DdL_Qf5WkAAFmlm.jpg", "http://pbs.twimg.com/media/DdL_Qf5WkAAFmlm.jpg")</f>
        <v/>
      </c>
      <c r="G521" t="s"/>
      <c r="H521" t="s"/>
      <c r="I521" t="s"/>
      <c r="J521" t="n">
        <v>-0.4184</v>
      </c>
      <c r="K521" t="n">
        <v>0.108</v>
      </c>
      <c r="L521" t="n">
        <v>0.892</v>
      </c>
      <c r="M521" t="n">
        <v>0</v>
      </c>
    </row>
    <row r="522" spans="1:13">
      <c r="A522" s="1">
        <f>HYPERLINK("http://www.twitter.com/NathanBLawrence/status/996131869790998528", "996131869790998528")</f>
        <v/>
      </c>
      <c r="B522" s="2" t="n">
        <v>43234.87174768518</v>
      </c>
      <c r="C522" t="n">
        <v>0</v>
      </c>
      <c r="D522" t="n">
        <v>6</v>
      </c>
      <c r="E522" t="s">
        <v>532</v>
      </c>
      <c r="F522" t="s"/>
      <c r="G522" t="s"/>
      <c r="H522" t="s"/>
      <c r="I522" t="s"/>
      <c r="J522" t="n">
        <v>0</v>
      </c>
      <c r="K522" t="n">
        <v>0</v>
      </c>
      <c r="L522" t="n">
        <v>1</v>
      </c>
      <c r="M522" t="n">
        <v>0</v>
      </c>
    </row>
    <row r="523" spans="1:13">
      <c r="A523" s="1">
        <f>HYPERLINK("http://www.twitter.com/NathanBLawrence/status/996131467322363909", "996131467322363909")</f>
        <v/>
      </c>
      <c r="B523" s="2" t="n">
        <v>43234.87063657407</v>
      </c>
      <c r="C523" t="n">
        <v>1</v>
      </c>
      <c r="D523" t="n">
        <v>0</v>
      </c>
      <c r="E523" t="s">
        <v>533</v>
      </c>
      <c r="F523">
        <f>HYPERLINK("http://pbs.twimg.com/media/DdL4SOGVQAA8FaR.jpg", "http://pbs.twimg.com/media/DdL4SOGVQAA8FaR.jpg")</f>
        <v/>
      </c>
      <c r="G523" t="s"/>
      <c r="H523" t="s"/>
      <c r="I523" t="s"/>
      <c r="J523" t="n">
        <v>-0.368</v>
      </c>
      <c r="K523" t="n">
        <v>0.155</v>
      </c>
      <c r="L523" t="n">
        <v>0.768</v>
      </c>
      <c r="M523" t="n">
        <v>0.077</v>
      </c>
    </row>
    <row r="524" spans="1:13">
      <c r="A524" s="1">
        <f>HYPERLINK("http://www.twitter.com/NathanBLawrence/status/996128976409124865", "996128976409124865")</f>
        <v/>
      </c>
      <c r="B524" s="2" t="n">
        <v>43234.86376157407</v>
      </c>
      <c r="C524" t="n">
        <v>4</v>
      </c>
      <c r="D524" t="n">
        <v>1</v>
      </c>
      <c r="E524" t="s">
        <v>534</v>
      </c>
      <c r="F524" t="s"/>
      <c r="G524" t="s"/>
      <c r="H524" t="s"/>
      <c r="I524" t="s"/>
      <c r="J524" t="n">
        <v>0</v>
      </c>
      <c r="K524" t="n">
        <v>0</v>
      </c>
      <c r="L524" t="n">
        <v>1</v>
      </c>
      <c r="M524" t="n">
        <v>0</v>
      </c>
    </row>
    <row r="525" spans="1:13">
      <c r="A525" s="1">
        <f>HYPERLINK("http://www.twitter.com/NathanBLawrence/status/996128656115322880", "996128656115322880")</f>
        <v/>
      </c>
      <c r="B525" s="2" t="n">
        <v>43234.86288194444</v>
      </c>
      <c r="C525" t="n">
        <v>1</v>
      </c>
      <c r="D525" t="n">
        <v>0</v>
      </c>
      <c r="E525" t="s">
        <v>535</v>
      </c>
      <c r="F525" t="s"/>
      <c r="G525" t="s"/>
      <c r="H525" t="s"/>
      <c r="I525" t="s"/>
      <c r="J525" t="n">
        <v>-0.7096</v>
      </c>
      <c r="K525" t="n">
        <v>0.159</v>
      </c>
      <c r="L525" t="n">
        <v>0.794</v>
      </c>
      <c r="M525" t="n">
        <v>0.047</v>
      </c>
    </row>
    <row r="526" spans="1:13">
      <c r="A526" s="1">
        <f>HYPERLINK("http://www.twitter.com/NathanBLawrence/status/996127841485033472", "996127841485033472")</f>
        <v/>
      </c>
      <c r="B526" s="2" t="n">
        <v>43234.86063657407</v>
      </c>
      <c r="C526" t="n">
        <v>0</v>
      </c>
      <c r="D526" t="n">
        <v>0</v>
      </c>
      <c r="E526" t="s">
        <v>536</v>
      </c>
      <c r="F526" t="s"/>
      <c r="G526" t="s"/>
      <c r="H526" t="s"/>
      <c r="I526" t="s"/>
      <c r="J526" t="n">
        <v>-0.4926</v>
      </c>
      <c r="K526" t="n">
        <v>0.262</v>
      </c>
      <c r="L526" t="n">
        <v>0.738</v>
      </c>
      <c r="M526" t="n">
        <v>0</v>
      </c>
    </row>
    <row r="527" spans="1:13">
      <c r="A527" s="1">
        <f>HYPERLINK("http://www.twitter.com/NathanBLawrence/status/996127187324624896", "996127187324624896")</f>
        <v/>
      </c>
      <c r="B527" s="2" t="n">
        <v>43234.85883101852</v>
      </c>
      <c r="C527" t="n">
        <v>3</v>
      </c>
      <c r="D527" t="n">
        <v>1</v>
      </c>
      <c r="E527" t="s">
        <v>537</v>
      </c>
      <c r="F527" t="s"/>
      <c r="G527" t="s"/>
      <c r="H527" t="s"/>
      <c r="I527" t="s"/>
      <c r="J527" t="n">
        <v>-0.6012</v>
      </c>
      <c r="K527" t="n">
        <v>0.222</v>
      </c>
      <c r="L527" t="n">
        <v>0.674</v>
      </c>
      <c r="M527" t="n">
        <v>0.105</v>
      </c>
    </row>
    <row r="528" spans="1:13">
      <c r="A528" s="1">
        <f>HYPERLINK("http://www.twitter.com/NathanBLawrence/status/996112409323556865", "996112409323556865")</f>
        <v/>
      </c>
      <c r="B528" s="2" t="n">
        <v>43234.81804398148</v>
      </c>
      <c r="C528" t="n">
        <v>23</v>
      </c>
      <c r="D528" t="n">
        <v>14</v>
      </c>
      <c r="E528" t="s">
        <v>538</v>
      </c>
      <c r="F528" t="s"/>
      <c r="G528" t="s"/>
      <c r="H528" t="s"/>
      <c r="I528" t="s"/>
      <c r="J528" t="n">
        <v>-0.296</v>
      </c>
      <c r="K528" t="n">
        <v>0.08400000000000001</v>
      </c>
      <c r="L528" t="n">
        <v>0.916</v>
      </c>
      <c r="M528" t="n">
        <v>0</v>
      </c>
    </row>
    <row r="529" spans="1:13">
      <c r="A529" s="1">
        <f>HYPERLINK("http://www.twitter.com/NathanBLawrence/status/996110237701681152", "996110237701681152")</f>
        <v/>
      </c>
      <c r="B529" s="2" t="n">
        <v>43234.81206018518</v>
      </c>
      <c r="C529" t="n">
        <v>0</v>
      </c>
      <c r="D529" t="n">
        <v>3</v>
      </c>
      <c r="E529" t="s">
        <v>539</v>
      </c>
      <c r="F529" t="s"/>
      <c r="G529" t="s"/>
      <c r="H529" t="s"/>
      <c r="I529" t="s"/>
      <c r="J529" t="n">
        <v>0.4019</v>
      </c>
      <c r="K529" t="n">
        <v>0</v>
      </c>
      <c r="L529" t="n">
        <v>0.847</v>
      </c>
      <c r="M529" t="n">
        <v>0.153</v>
      </c>
    </row>
    <row r="530" spans="1:13">
      <c r="A530" s="1">
        <f>HYPERLINK("http://www.twitter.com/NathanBLawrence/status/996109438628003846", "996109438628003846")</f>
        <v/>
      </c>
      <c r="B530" s="2" t="n">
        <v>43234.80984953704</v>
      </c>
      <c r="C530" t="n">
        <v>0</v>
      </c>
      <c r="D530" t="n">
        <v>0</v>
      </c>
      <c r="E530" t="s">
        <v>540</v>
      </c>
      <c r="F530" t="s"/>
      <c r="G530" t="s"/>
      <c r="H530" t="s"/>
      <c r="I530" t="s"/>
      <c r="J530" t="n">
        <v>0</v>
      </c>
      <c r="K530" t="n">
        <v>0</v>
      </c>
      <c r="L530" t="n">
        <v>1</v>
      </c>
      <c r="M530" t="n">
        <v>0</v>
      </c>
    </row>
    <row r="531" spans="1:13">
      <c r="A531" s="1">
        <f>HYPERLINK("http://www.twitter.com/NathanBLawrence/status/996108975904051200", "996108975904051200")</f>
        <v/>
      </c>
      <c r="B531" s="2" t="n">
        <v>43234.80857638889</v>
      </c>
      <c r="C531" t="n">
        <v>4</v>
      </c>
      <c r="D531" t="n">
        <v>4</v>
      </c>
      <c r="E531" t="s">
        <v>541</v>
      </c>
      <c r="F531" t="s"/>
      <c r="G531" t="s"/>
      <c r="H531" t="s"/>
      <c r="I531" t="s"/>
      <c r="J531" t="n">
        <v>-0.3595</v>
      </c>
      <c r="K531" t="n">
        <v>0.098</v>
      </c>
      <c r="L531" t="n">
        <v>0.902</v>
      </c>
      <c r="M531" t="n">
        <v>0</v>
      </c>
    </row>
    <row r="532" spans="1:13">
      <c r="A532" s="1">
        <f>HYPERLINK("http://www.twitter.com/NathanBLawrence/status/996101960808980480", "996101960808980480")</f>
        <v/>
      </c>
      <c r="B532" s="2" t="n">
        <v>43234.78921296296</v>
      </c>
      <c r="C532" t="n">
        <v>0</v>
      </c>
      <c r="D532" t="n">
        <v>16</v>
      </c>
      <c r="E532" t="s">
        <v>542</v>
      </c>
      <c r="F532" t="s"/>
      <c r="G532" t="s"/>
      <c r="H532" t="s"/>
      <c r="I532" t="s"/>
      <c r="J532" t="n">
        <v>0.128</v>
      </c>
      <c r="K532" t="n">
        <v>0.089</v>
      </c>
      <c r="L532" t="n">
        <v>0.802</v>
      </c>
      <c r="M532" t="n">
        <v>0.11</v>
      </c>
    </row>
    <row r="533" spans="1:13">
      <c r="A533" s="1">
        <f>HYPERLINK("http://www.twitter.com/NathanBLawrence/status/996095773610856448", "996095773610856448")</f>
        <v/>
      </c>
      <c r="B533" s="2" t="n">
        <v>43234.77214120371</v>
      </c>
      <c r="C533" t="n">
        <v>0</v>
      </c>
      <c r="D533" t="n">
        <v>55</v>
      </c>
      <c r="E533" t="s">
        <v>543</v>
      </c>
      <c r="F533" t="s"/>
      <c r="G533" t="s"/>
      <c r="H533" t="s"/>
      <c r="I533" t="s"/>
      <c r="J533" t="n">
        <v>0</v>
      </c>
      <c r="K533" t="n">
        <v>0</v>
      </c>
      <c r="L533" t="n">
        <v>1</v>
      </c>
      <c r="M533" t="n">
        <v>0</v>
      </c>
    </row>
    <row r="534" spans="1:13">
      <c r="A534" s="1">
        <f>HYPERLINK("http://www.twitter.com/NathanBLawrence/status/996093790774538240", "996093790774538240")</f>
        <v/>
      </c>
      <c r="B534" s="2" t="n">
        <v>43234.76666666667</v>
      </c>
      <c r="C534" t="n">
        <v>2</v>
      </c>
      <c r="D534" t="n">
        <v>0</v>
      </c>
      <c r="E534" t="s">
        <v>544</v>
      </c>
      <c r="F534" t="s"/>
      <c r="G534" t="s"/>
      <c r="H534" t="s"/>
      <c r="I534" t="s"/>
      <c r="J534" t="n">
        <v>0</v>
      </c>
      <c r="K534" t="n">
        <v>0</v>
      </c>
      <c r="L534" t="n">
        <v>1</v>
      </c>
      <c r="M534" t="n">
        <v>0</v>
      </c>
    </row>
    <row r="535" spans="1:13">
      <c r="A535" s="1">
        <f>HYPERLINK("http://www.twitter.com/NathanBLawrence/status/996091913626357760", "996091913626357760")</f>
        <v/>
      </c>
      <c r="B535" s="2" t="n">
        <v>43234.76149305556</v>
      </c>
      <c r="C535" t="n">
        <v>0</v>
      </c>
      <c r="D535" t="n">
        <v>12</v>
      </c>
      <c r="E535" t="s">
        <v>545</v>
      </c>
      <c r="F535">
        <f>HYPERLINK("http://pbs.twimg.com/media/DdLMleGVMAANN6D.jpg", "http://pbs.twimg.com/media/DdLMleGVMAANN6D.jpg")</f>
        <v/>
      </c>
      <c r="G535" t="s"/>
      <c r="H535" t="s"/>
      <c r="I535" t="s"/>
      <c r="J535" t="n">
        <v>0</v>
      </c>
      <c r="K535" t="n">
        <v>0</v>
      </c>
      <c r="L535" t="n">
        <v>1</v>
      </c>
      <c r="M535" t="n">
        <v>0</v>
      </c>
    </row>
    <row r="536" spans="1:13">
      <c r="A536" s="1">
        <f>HYPERLINK("http://www.twitter.com/NathanBLawrence/status/996090571839197185", "996090571839197185")</f>
        <v/>
      </c>
      <c r="B536" s="2" t="n">
        <v>43234.75778935185</v>
      </c>
      <c r="C536" t="n">
        <v>0</v>
      </c>
      <c r="D536" t="n">
        <v>22</v>
      </c>
      <c r="E536" t="s">
        <v>546</v>
      </c>
      <c r="F536" t="s"/>
      <c r="G536" t="s"/>
      <c r="H536" t="s"/>
      <c r="I536" t="s"/>
      <c r="J536" t="n">
        <v>0.5859</v>
      </c>
      <c r="K536" t="n">
        <v>0</v>
      </c>
      <c r="L536" t="n">
        <v>0.821</v>
      </c>
      <c r="M536" t="n">
        <v>0.179</v>
      </c>
    </row>
    <row r="537" spans="1:13">
      <c r="A537" s="1">
        <f>HYPERLINK("http://www.twitter.com/NathanBLawrence/status/996086741315485697", "996086741315485697")</f>
        <v/>
      </c>
      <c r="B537" s="2" t="n">
        <v>43234.74722222222</v>
      </c>
      <c r="C537" t="n">
        <v>1</v>
      </c>
      <c r="D537" t="n">
        <v>0</v>
      </c>
      <c r="E537" t="s">
        <v>547</v>
      </c>
      <c r="F537" t="s"/>
      <c r="G537" t="s"/>
      <c r="H537" t="s"/>
      <c r="I537" t="s"/>
      <c r="J537" t="n">
        <v>0.4404</v>
      </c>
      <c r="K537" t="n">
        <v>0</v>
      </c>
      <c r="L537" t="n">
        <v>0.917</v>
      </c>
      <c r="M537" t="n">
        <v>0.083</v>
      </c>
    </row>
    <row r="538" spans="1:13">
      <c r="A538" s="1">
        <f>HYPERLINK("http://www.twitter.com/NathanBLawrence/status/996075205108912133", "996075205108912133")</f>
        <v/>
      </c>
      <c r="B538" s="2" t="n">
        <v>43234.71538194444</v>
      </c>
      <c r="C538" t="n">
        <v>0</v>
      </c>
      <c r="D538" t="n">
        <v>79</v>
      </c>
      <c r="E538" t="s">
        <v>548</v>
      </c>
      <c r="F538" t="s"/>
      <c r="G538" t="s"/>
      <c r="H538" t="s"/>
      <c r="I538" t="s"/>
      <c r="J538" t="n">
        <v>0</v>
      </c>
      <c r="K538" t="n">
        <v>0</v>
      </c>
      <c r="L538" t="n">
        <v>1</v>
      </c>
      <c r="M538" t="n">
        <v>0</v>
      </c>
    </row>
    <row r="539" spans="1:13">
      <c r="A539" s="1">
        <f>HYPERLINK("http://www.twitter.com/NathanBLawrence/status/996075179322331138", "996075179322331138")</f>
        <v/>
      </c>
      <c r="B539" s="2" t="n">
        <v>43234.7153125</v>
      </c>
      <c r="C539" t="n">
        <v>5</v>
      </c>
      <c r="D539" t="n">
        <v>1</v>
      </c>
      <c r="E539" t="s">
        <v>549</v>
      </c>
      <c r="F539" t="s"/>
      <c r="G539" t="s"/>
      <c r="H539" t="s"/>
      <c r="I539" t="s"/>
      <c r="J539" t="n">
        <v>0.3382</v>
      </c>
      <c r="K539" t="n">
        <v>0.131</v>
      </c>
      <c r="L539" t="n">
        <v>0.655</v>
      </c>
      <c r="M539" t="n">
        <v>0.214</v>
      </c>
    </row>
    <row r="540" spans="1:13">
      <c r="A540" s="1">
        <f>HYPERLINK("http://www.twitter.com/NathanBLawrence/status/996070642649792513", "996070642649792513")</f>
        <v/>
      </c>
      <c r="B540" s="2" t="n">
        <v>43234.70278935185</v>
      </c>
      <c r="C540" t="n">
        <v>3</v>
      </c>
      <c r="D540" t="n">
        <v>2</v>
      </c>
      <c r="E540" t="s">
        <v>550</v>
      </c>
      <c r="F540">
        <f>HYPERLINK("http://pbs.twimg.com/media/DdLA9keW0AwA8Dh.jpg", "http://pbs.twimg.com/media/DdLA9keW0AwA8Dh.jpg")</f>
        <v/>
      </c>
      <c r="G540" t="s"/>
      <c r="H540" t="s"/>
      <c r="I540" t="s"/>
      <c r="J540" t="n">
        <v>-0.296</v>
      </c>
      <c r="K540" t="n">
        <v>0.073</v>
      </c>
      <c r="L540" t="n">
        <v>0.927</v>
      </c>
      <c r="M540" t="n">
        <v>0</v>
      </c>
    </row>
    <row r="541" spans="1:13">
      <c r="A541" s="1">
        <f>HYPERLINK("http://www.twitter.com/NathanBLawrence/status/996069923511263232", "996069923511263232")</f>
        <v/>
      </c>
      <c r="B541" s="2" t="n">
        <v>43234.70081018518</v>
      </c>
      <c r="C541" t="n">
        <v>20</v>
      </c>
      <c r="D541" t="n">
        <v>14</v>
      </c>
      <c r="E541" t="s">
        <v>551</v>
      </c>
      <c r="F541" t="s"/>
      <c r="G541" t="s"/>
      <c r="H541" t="s"/>
      <c r="I541" t="s"/>
      <c r="J541" t="n">
        <v>0.0772</v>
      </c>
      <c r="K541" t="n">
        <v>0</v>
      </c>
      <c r="L541" t="n">
        <v>0.964</v>
      </c>
      <c r="M541" t="n">
        <v>0.036</v>
      </c>
    </row>
    <row r="542" spans="1:13">
      <c r="A542" s="1">
        <f>HYPERLINK("http://www.twitter.com/NathanBLawrence/status/996056189413855233", "996056189413855233")</f>
        <v/>
      </c>
      <c r="B542" s="2" t="n">
        <v>43234.66291666667</v>
      </c>
      <c r="C542" t="n">
        <v>0</v>
      </c>
      <c r="D542" t="n">
        <v>11</v>
      </c>
      <c r="E542" t="s">
        <v>552</v>
      </c>
      <c r="F542" t="s"/>
      <c r="G542" t="s"/>
      <c r="H542" t="s"/>
      <c r="I542" t="s"/>
      <c r="J542" t="n">
        <v>0</v>
      </c>
      <c r="K542" t="n">
        <v>0</v>
      </c>
      <c r="L542" t="n">
        <v>1</v>
      </c>
      <c r="M542" t="n">
        <v>0</v>
      </c>
    </row>
    <row r="543" spans="1:13">
      <c r="A543" s="1">
        <f>HYPERLINK("http://www.twitter.com/NathanBLawrence/status/996055610167910400", "996055610167910400")</f>
        <v/>
      </c>
      <c r="B543" s="2" t="n">
        <v>43234.66130787037</v>
      </c>
      <c r="C543" t="n">
        <v>0</v>
      </c>
      <c r="D543" t="n">
        <v>2</v>
      </c>
      <c r="E543" t="s">
        <v>553</v>
      </c>
      <c r="F543" t="s"/>
      <c r="G543" t="s"/>
      <c r="H543" t="s"/>
      <c r="I543" t="s"/>
      <c r="J543" t="n">
        <v>0</v>
      </c>
      <c r="K543" t="n">
        <v>0</v>
      </c>
      <c r="L543" t="n">
        <v>1</v>
      </c>
      <c r="M543" t="n">
        <v>0</v>
      </c>
    </row>
    <row r="544" spans="1:13">
      <c r="A544" s="1">
        <f>HYPERLINK("http://www.twitter.com/NathanBLawrence/status/996036201915322368", "996036201915322368")</f>
        <v/>
      </c>
      <c r="B544" s="2" t="n">
        <v>43234.60775462963</v>
      </c>
      <c r="C544" t="n">
        <v>0</v>
      </c>
      <c r="D544" t="n">
        <v>3</v>
      </c>
      <c r="E544" t="s">
        <v>554</v>
      </c>
      <c r="F544" t="s"/>
      <c r="G544" t="s"/>
      <c r="H544" t="s"/>
      <c r="I544" t="s"/>
      <c r="J544" t="n">
        <v>-0.0516</v>
      </c>
      <c r="K544" t="n">
        <v>0.111</v>
      </c>
      <c r="L544" t="n">
        <v>0.786</v>
      </c>
      <c r="M544" t="n">
        <v>0.104</v>
      </c>
    </row>
    <row r="545" spans="1:13">
      <c r="A545" s="1">
        <f>HYPERLINK("http://www.twitter.com/NathanBLawrence/status/996036076778205185", "996036076778205185")</f>
        <v/>
      </c>
      <c r="B545" s="2" t="n">
        <v>43234.60740740741</v>
      </c>
      <c r="C545" t="n">
        <v>4</v>
      </c>
      <c r="D545" t="n">
        <v>1</v>
      </c>
      <c r="E545" t="s">
        <v>555</v>
      </c>
      <c r="F545" t="s"/>
      <c r="G545" t="s"/>
      <c r="H545" t="s"/>
      <c r="I545" t="s"/>
      <c r="J545" t="n">
        <v>-0.8555</v>
      </c>
      <c r="K545" t="n">
        <v>0.359</v>
      </c>
      <c r="L545" t="n">
        <v>0.641</v>
      </c>
      <c r="M545" t="n">
        <v>0</v>
      </c>
    </row>
    <row r="546" spans="1:13">
      <c r="A546" s="1">
        <f>HYPERLINK("http://www.twitter.com/NathanBLawrence/status/996030279788716032", "996030279788716032")</f>
        <v/>
      </c>
      <c r="B546" s="2" t="n">
        <v>43234.59141203704</v>
      </c>
      <c r="C546" t="n">
        <v>1</v>
      </c>
      <c r="D546" t="n">
        <v>1</v>
      </c>
      <c r="E546" t="s">
        <v>556</v>
      </c>
      <c r="F546" t="s"/>
      <c r="G546" t="s"/>
      <c r="H546" t="s"/>
      <c r="I546" t="s"/>
      <c r="J546" t="n">
        <v>-0.9781</v>
      </c>
      <c r="K546" t="n">
        <v>0.458</v>
      </c>
      <c r="L546" t="n">
        <v>0.542</v>
      </c>
      <c r="M546" t="n">
        <v>0</v>
      </c>
    </row>
    <row r="547" spans="1:13">
      <c r="A547" s="1">
        <f>HYPERLINK("http://www.twitter.com/NathanBLawrence/status/996027263744430080", "996027263744430080")</f>
        <v/>
      </c>
      <c r="B547" s="2" t="n">
        <v>43234.58309027777</v>
      </c>
      <c r="C547" t="n">
        <v>0</v>
      </c>
      <c r="D547" t="n">
        <v>3</v>
      </c>
      <c r="E547" t="s">
        <v>557</v>
      </c>
      <c r="F547">
        <f>HYPERLINK("http://pbs.twimg.com/media/DdKRsBpWsAEmCjP.jpg", "http://pbs.twimg.com/media/DdKRsBpWsAEmCjP.jpg")</f>
        <v/>
      </c>
      <c r="G547" t="s"/>
      <c r="H547" t="s"/>
      <c r="I547" t="s"/>
      <c r="J547" t="n">
        <v>0.0772</v>
      </c>
      <c r="K547" t="n">
        <v>0.073</v>
      </c>
      <c r="L547" t="n">
        <v>0.843</v>
      </c>
      <c r="M547" t="n">
        <v>0.08400000000000001</v>
      </c>
    </row>
    <row r="548" spans="1:13">
      <c r="A548" s="1">
        <f>HYPERLINK("http://www.twitter.com/NathanBLawrence/status/996027243557281792", "996027243557281792")</f>
        <v/>
      </c>
      <c r="B548" s="2" t="n">
        <v>43234.5830324074</v>
      </c>
      <c r="C548" t="n">
        <v>0</v>
      </c>
      <c r="D548" t="n">
        <v>3</v>
      </c>
      <c r="E548" t="s">
        <v>558</v>
      </c>
      <c r="F548" t="s"/>
      <c r="G548" t="s"/>
      <c r="H548" t="s"/>
      <c r="I548" t="s"/>
      <c r="J548" t="n">
        <v>0</v>
      </c>
      <c r="K548" t="n">
        <v>0</v>
      </c>
      <c r="L548" t="n">
        <v>1</v>
      </c>
      <c r="M548" t="n">
        <v>0</v>
      </c>
    </row>
    <row r="549" spans="1:13">
      <c r="A549" s="1">
        <f>HYPERLINK("http://www.twitter.com/NathanBLawrence/status/996017506245644289", "996017506245644289")</f>
        <v/>
      </c>
      <c r="B549" s="2" t="n">
        <v>43234.55616898148</v>
      </c>
      <c r="C549" t="n">
        <v>4</v>
      </c>
      <c r="D549" t="n">
        <v>1</v>
      </c>
      <c r="E549" t="s">
        <v>559</v>
      </c>
      <c r="F549" t="s"/>
      <c r="G549" t="s"/>
      <c r="H549" t="s"/>
      <c r="I549" t="s"/>
      <c r="J549" t="n">
        <v>-0.4357</v>
      </c>
      <c r="K549" t="n">
        <v>0.207</v>
      </c>
      <c r="L549" t="n">
        <v>0.793</v>
      </c>
      <c r="M549" t="n">
        <v>0</v>
      </c>
    </row>
    <row r="550" spans="1:13">
      <c r="A550" s="1">
        <f>HYPERLINK("http://www.twitter.com/NathanBLawrence/status/996014983338176517", "996014983338176517")</f>
        <v/>
      </c>
      <c r="B550" s="2" t="n">
        <v>43234.54920138889</v>
      </c>
      <c r="C550" t="n">
        <v>21</v>
      </c>
      <c r="D550" t="n">
        <v>18</v>
      </c>
      <c r="E550" t="s">
        <v>560</v>
      </c>
      <c r="F550" t="s"/>
      <c r="G550" t="s"/>
      <c r="H550" t="s"/>
      <c r="I550" t="s"/>
      <c r="J550" t="n">
        <v>-0.4926</v>
      </c>
      <c r="K550" t="n">
        <v>0.255</v>
      </c>
      <c r="L550" t="n">
        <v>0.526</v>
      </c>
      <c r="M550" t="n">
        <v>0.219</v>
      </c>
    </row>
    <row r="551" spans="1:13">
      <c r="A551" s="1">
        <f>HYPERLINK("http://www.twitter.com/NathanBLawrence/status/995988680736235520", "995988680736235520")</f>
        <v/>
      </c>
      <c r="B551" s="2" t="n">
        <v>43234.47662037037</v>
      </c>
      <c r="C551" t="n">
        <v>2</v>
      </c>
      <c r="D551" t="n">
        <v>0</v>
      </c>
      <c r="E551" t="s">
        <v>561</v>
      </c>
      <c r="F551" t="s"/>
      <c r="G551" t="s"/>
      <c r="H551" t="s"/>
      <c r="I551" t="s"/>
      <c r="J551" t="n">
        <v>0</v>
      </c>
      <c r="K551" t="n">
        <v>0</v>
      </c>
      <c r="L551" t="n">
        <v>1</v>
      </c>
      <c r="M551" t="n">
        <v>0</v>
      </c>
    </row>
    <row r="552" spans="1:13">
      <c r="A552" s="1">
        <f>HYPERLINK("http://www.twitter.com/NathanBLawrence/status/995872162446823424", "995872162446823424")</f>
        <v/>
      </c>
      <c r="B552" s="2" t="n">
        <v>43234.15509259259</v>
      </c>
      <c r="C552" t="n">
        <v>0</v>
      </c>
      <c r="D552" t="n">
        <v>12</v>
      </c>
      <c r="E552" t="s">
        <v>562</v>
      </c>
      <c r="F552" t="s"/>
      <c r="G552" t="s"/>
      <c r="H552" t="s"/>
      <c r="I552" t="s"/>
      <c r="J552" t="n">
        <v>-0.6249</v>
      </c>
      <c r="K552" t="n">
        <v>0.178</v>
      </c>
      <c r="L552" t="n">
        <v>0.769</v>
      </c>
      <c r="M552" t="n">
        <v>0.053</v>
      </c>
    </row>
    <row r="553" spans="1:13">
      <c r="A553" s="1">
        <f>HYPERLINK("http://www.twitter.com/NathanBLawrence/status/995865678379921409", "995865678379921409")</f>
        <v/>
      </c>
      <c r="B553" s="2" t="n">
        <v>43234.13719907407</v>
      </c>
      <c r="C553" t="n">
        <v>0</v>
      </c>
      <c r="D553" t="n">
        <v>0</v>
      </c>
      <c r="E553" t="s">
        <v>563</v>
      </c>
      <c r="F553" t="s"/>
      <c r="G553" t="s"/>
      <c r="H553" t="s"/>
      <c r="I553" t="s"/>
      <c r="J553" t="n">
        <v>-0.368</v>
      </c>
      <c r="K553" t="n">
        <v>0.205</v>
      </c>
      <c r="L553" t="n">
        <v>0.662</v>
      </c>
      <c r="M553" t="n">
        <v>0.132</v>
      </c>
    </row>
    <row r="554" spans="1:13">
      <c r="A554" s="1">
        <f>HYPERLINK("http://www.twitter.com/NathanBLawrence/status/995830284003282944", "995830284003282944")</f>
        <v/>
      </c>
      <c r="B554" s="2" t="n">
        <v>43234.03952546296</v>
      </c>
      <c r="C554" t="n">
        <v>0</v>
      </c>
      <c r="D554" t="n">
        <v>14</v>
      </c>
      <c r="E554" t="s">
        <v>564</v>
      </c>
      <c r="F554">
        <f>HYPERLINK("http://pbs.twimg.com/media/DdHgHhPVMAA-zIf.jpg", "http://pbs.twimg.com/media/DdHgHhPVMAA-zIf.jpg")</f>
        <v/>
      </c>
      <c r="G554" t="s"/>
      <c r="H554" t="s"/>
      <c r="I554" t="s"/>
      <c r="J554" t="n">
        <v>0.4548</v>
      </c>
      <c r="K554" t="n">
        <v>0.055</v>
      </c>
      <c r="L554" t="n">
        <v>0.803</v>
      </c>
      <c r="M554" t="n">
        <v>0.143</v>
      </c>
    </row>
    <row r="555" spans="1:13">
      <c r="A555" s="1">
        <f>HYPERLINK("http://www.twitter.com/NathanBLawrence/status/995830233667383302", "995830233667383302")</f>
        <v/>
      </c>
      <c r="B555" s="2" t="n">
        <v>43234.03938657408</v>
      </c>
      <c r="C555" t="n">
        <v>0</v>
      </c>
      <c r="D555" t="n">
        <v>6</v>
      </c>
      <c r="E555" t="s">
        <v>565</v>
      </c>
      <c r="F555" t="s"/>
      <c r="G555" t="s"/>
      <c r="H555" t="s"/>
      <c r="I555" t="s"/>
      <c r="J555" t="n">
        <v>0</v>
      </c>
      <c r="K555" t="n">
        <v>0</v>
      </c>
      <c r="L555" t="n">
        <v>1</v>
      </c>
      <c r="M555" t="n">
        <v>0</v>
      </c>
    </row>
    <row r="556" spans="1:13">
      <c r="A556" s="1">
        <f>HYPERLINK("http://www.twitter.com/NathanBLawrence/status/995787352822943744", "995787352822943744")</f>
        <v/>
      </c>
      <c r="B556" s="2" t="n">
        <v>43233.92106481481</v>
      </c>
      <c r="C556" t="n">
        <v>0</v>
      </c>
      <c r="D556" t="n">
        <v>4</v>
      </c>
      <c r="E556" t="s">
        <v>566</v>
      </c>
      <c r="F556" t="s"/>
      <c r="G556" t="s"/>
      <c r="H556" t="s"/>
      <c r="I556" t="s"/>
      <c r="J556" t="n">
        <v>0.4939</v>
      </c>
      <c r="K556" t="n">
        <v>0</v>
      </c>
      <c r="L556" t="n">
        <v>0.862</v>
      </c>
      <c r="M556" t="n">
        <v>0.138</v>
      </c>
    </row>
    <row r="557" spans="1:13">
      <c r="A557" s="1">
        <f>HYPERLINK("http://www.twitter.com/NathanBLawrence/status/995786789909561348", "995786789909561348")</f>
        <v/>
      </c>
      <c r="B557" s="2" t="n">
        <v>43233.91951388889</v>
      </c>
      <c r="C557" t="n">
        <v>0</v>
      </c>
      <c r="D557" t="n">
        <v>2</v>
      </c>
      <c r="E557" t="s">
        <v>567</v>
      </c>
      <c r="F557" t="s"/>
      <c r="G557" t="s"/>
      <c r="H557" t="s"/>
      <c r="I557" t="s"/>
      <c r="J557" t="n">
        <v>0</v>
      </c>
      <c r="K557" t="n">
        <v>0</v>
      </c>
      <c r="L557" t="n">
        <v>1</v>
      </c>
      <c r="M557" t="n">
        <v>0</v>
      </c>
    </row>
    <row r="558" spans="1:13">
      <c r="A558" s="1">
        <f>HYPERLINK("http://www.twitter.com/NathanBLawrence/status/995785946497994753", "995785946497994753")</f>
        <v/>
      </c>
      <c r="B558" s="2" t="n">
        <v>43233.9171875</v>
      </c>
      <c r="C558" t="n">
        <v>0</v>
      </c>
      <c r="D558" t="n">
        <v>5</v>
      </c>
      <c r="E558" t="s">
        <v>568</v>
      </c>
      <c r="F558" t="s"/>
      <c r="G558" t="s"/>
      <c r="H558" t="s"/>
      <c r="I558" t="s"/>
      <c r="J558" t="n">
        <v>0</v>
      </c>
      <c r="K558" t="n">
        <v>0</v>
      </c>
      <c r="L558" t="n">
        <v>1</v>
      </c>
      <c r="M558" t="n">
        <v>0</v>
      </c>
    </row>
    <row r="559" spans="1:13">
      <c r="A559" s="1">
        <f>HYPERLINK("http://www.twitter.com/NathanBLawrence/status/995785026687131649", "995785026687131649")</f>
        <v/>
      </c>
      <c r="B559" s="2" t="n">
        <v>43233.9146412037</v>
      </c>
      <c r="C559" t="n">
        <v>0</v>
      </c>
      <c r="D559" t="n">
        <v>0</v>
      </c>
      <c r="E559" t="s">
        <v>569</v>
      </c>
      <c r="F559" t="s"/>
      <c r="G559" t="s"/>
      <c r="H559" t="s"/>
      <c r="I559" t="s"/>
      <c r="J559" t="n">
        <v>0.4019</v>
      </c>
      <c r="K559" t="n">
        <v>0</v>
      </c>
      <c r="L559" t="n">
        <v>0.9429999999999999</v>
      </c>
      <c r="M559" t="n">
        <v>0.057</v>
      </c>
    </row>
    <row r="560" spans="1:13">
      <c r="A560" s="1">
        <f>HYPERLINK("http://www.twitter.com/NathanBLawrence/status/995783485347463168", "995783485347463168")</f>
        <v/>
      </c>
      <c r="B560" s="2" t="n">
        <v>43233.91039351852</v>
      </c>
      <c r="C560" t="n">
        <v>0</v>
      </c>
      <c r="D560" t="n">
        <v>16</v>
      </c>
      <c r="E560" t="s">
        <v>570</v>
      </c>
      <c r="F560">
        <f>HYPERLINK("http://pbs.twimg.com/media/DdGvxHHX4AI00no.jpg", "http://pbs.twimg.com/media/DdGvxHHX4AI00no.jpg")</f>
        <v/>
      </c>
      <c r="G560" t="s"/>
      <c r="H560" t="s"/>
      <c r="I560" t="s"/>
      <c r="J560" t="n">
        <v>0</v>
      </c>
      <c r="K560" t="n">
        <v>0</v>
      </c>
      <c r="L560" t="n">
        <v>1</v>
      </c>
      <c r="M560" t="n">
        <v>0</v>
      </c>
    </row>
    <row r="561" spans="1:13">
      <c r="A561" s="1">
        <f>HYPERLINK("http://www.twitter.com/NathanBLawrence/status/995782250154225664", "995782250154225664")</f>
        <v/>
      </c>
      <c r="B561" s="2" t="n">
        <v>43233.90697916667</v>
      </c>
      <c r="C561" t="n">
        <v>0</v>
      </c>
      <c r="D561" t="n">
        <v>1</v>
      </c>
      <c r="E561" t="s">
        <v>571</v>
      </c>
      <c r="F561" t="s"/>
      <c r="G561" t="s"/>
      <c r="H561" t="s"/>
      <c r="I561" t="s"/>
      <c r="J561" t="n">
        <v>0</v>
      </c>
      <c r="K561" t="n">
        <v>0</v>
      </c>
      <c r="L561" t="n">
        <v>1</v>
      </c>
      <c r="M561" t="n">
        <v>0</v>
      </c>
    </row>
    <row r="562" spans="1:13">
      <c r="A562" s="1">
        <f>HYPERLINK("http://www.twitter.com/NathanBLawrence/status/995748416838864896", "995748416838864896")</f>
        <v/>
      </c>
      <c r="B562" s="2" t="n">
        <v>43233.81362268519</v>
      </c>
      <c r="C562" t="n">
        <v>1</v>
      </c>
      <c r="D562" t="n">
        <v>1</v>
      </c>
      <c r="E562" t="s">
        <v>572</v>
      </c>
      <c r="F562" t="s"/>
      <c r="G562" t="s"/>
      <c r="H562" t="s"/>
      <c r="I562" t="s"/>
      <c r="J562" t="n">
        <v>-0.7955</v>
      </c>
      <c r="K562" t="n">
        <v>0.196</v>
      </c>
      <c r="L562" t="n">
        <v>0.747</v>
      </c>
      <c r="M562" t="n">
        <v>0.057</v>
      </c>
    </row>
    <row r="563" spans="1:13">
      <c r="A563" s="1">
        <f>HYPERLINK("http://www.twitter.com/NathanBLawrence/status/995747300310953984", "995747300310953984")</f>
        <v/>
      </c>
      <c r="B563" s="2" t="n">
        <v>43233.81054398148</v>
      </c>
      <c r="C563" t="n">
        <v>0</v>
      </c>
      <c r="D563" t="n">
        <v>0</v>
      </c>
      <c r="E563" t="s">
        <v>573</v>
      </c>
      <c r="F563">
        <f>HYPERLINK("http://pbs.twimg.com/media/DdGa4ioUQAA9379.jpg", "http://pbs.twimg.com/media/DdGa4ioUQAA9379.jpg")</f>
        <v/>
      </c>
      <c r="G563" t="s"/>
      <c r="H563" t="s"/>
      <c r="I563" t="s"/>
      <c r="J563" t="n">
        <v>0</v>
      </c>
      <c r="K563" t="n">
        <v>0</v>
      </c>
      <c r="L563" t="n">
        <v>1</v>
      </c>
      <c r="M563" t="n">
        <v>0</v>
      </c>
    </row>
    <row r="564" spans="1:13">
      <c r="A564" s="1">
        <f>HYPERLINK("http://www.twitter.com/NathanBLawrence/status/995746512276742145", "995746512276742145")</f>
        <v/>
      </c>
      <c r="B564" s="2" t="n">
        <v>43233.80836805556</v>
      </c>
      <c r="C564" t="n">
        <v>0</v>
      </c>
      <c r="D564" t="n">
        <v>0</v>
      </c>
      <c r="E564" t="s">
        <v>574</v>
      </c>
      <c r="F564" t="s"/>
      <c r="G564" t="s"/>
      <c r="H564" t="s"/>
      <c r="I564" t="s"/>
      <c r="J564" t="n">
        <v>-0.34</v>
      </c>
      <c r="K564" t="n">
        <v>0.082</v>
      </c>
      <c r="L564" t="n">
        <v>0.918</v>
      </c>
      <c r="M564" t="n">
        <v>0</v>
      </c>
    </row>
    <row r="565" spans="1:13">
      <c r="A565" s="1">
        <f>HYPERLINK("http://www.twitter.com/NathanBLawrence/status/995742970354814976", "995742970354814976")</f>
        <v/>
      </c>
      <c r="B565" s="2" t="n">
        <v>43233.79858796296</v>
      </c>
      <c r="C565" t="n">
        <v>1</v>
      </c>
      <c r="D565" t="n">
        <v>1</v>
      </c>
      <c r="E565" t="s">
        <v>575</v>
      </c>
      <c r="F565" t="s"/>
      <c r="G565" t="s"/>
      <c r="H565" t="s"/>
      <c r="I565" t="s"/>
      <c r="J565" t="n">
        <v>0.508</v>
      </c>
      <c r="K565" t="n">
        <v>0.145</v>
      </c>
      <c r="L565" t="n">
        <v>0.521</v>
      </c>
      <c r="M565" t="n">
        <v>0.335</v>
      </c>
    </row>
    <row r="566" spans="1:13">
      <c r="A566" s="1">
        <f>HYPERLINK("http://www.twitter.com/NathanBLawrence/status/995738933270122498", "995738933270122498")</f>
        <v/>
      </c>
      <c r="B566" s="2" t="n">
        <v>43233.78745370371</v>
      </c>
      <c r="C566" t="n">
        <v>0</v>
      </c>
      <c r="D566" t="n">
        <v>5</v>
      </c>
      <c r="E566" t="s">
        <v>576</v>
      </c>
      <c r="F566">
        <f>HYPERLINK("http://pbs.twimg.com/media/DdF8WP9VwAA-C67.jpg", "http://pbs.twimg.com/media/DdF8WP9VwAA-C67.jpg")</f>
        <v/>
      </c>
      <c r="G566" t="s"/>
      <c r="H566" t="s"/>
      <c r="I566" t="s"/>
      <c r="J566" t="n">
        <v>0</v>
      </c>
      <c r="K566" t="n">
        <v>0</v>
      </c>
      <c r="L566" t="n">
        <v>1</v>
      </c>
      <c r="M566" t="n">
        <v>0</v>
      </c>
    </row>
    <row r="567" spans="1:13">
      <c r="A567" s="1">
        <f>HYPERLINK("http://www.twitter.com/NathanBLawrence/status/995738385892478977", "995738385892478977")</f>
        <v/>
      </c>
      <c r="B567" s="2" t="n">
        <v>43233.7859375</v>
      </c>
      <c r="C567" t="n">
        <v>1</v>
      </c>
      <c r="D567" t="n">
        <v>1</v>
      </c>
      <c r="E567" t="s">
        <v>577</v>
      </c>
      <c r="F567" t="s"/>
      <c r="G567" t="s"/>
      <c r="H567" t="s"/>
      <c r="I567" t="s"/>
      <c r="J567" t="n">
        <v>0</v>
      </c>
      <c r="K567" t="n">
        <v>0</v>
      </c>
      <c r="L567" t="n">
        <v>1</v>
      </c>
      <c r="M567" t="n">
        <v>0</v>
      </c>
    </row>
    <row r="568" spans="1:13">
      <c r="A568" s="1">
        <f>HYPERLINK("http://www.twitter.com/NathanBLawrence/status/995737667408154626", "995737667408154626")</f>
        <v/>
      </c>
      <c r="B568" s="2" t="n">
        <v>43233.78395833333</v>
      </c>
      <c r="C568" t="n">
        <v>0</v>
      </c>
      <c r="D568" t="n">
        <v>0</v>
      </c>
      <c r="E568" t="s">
        <v>578</v>
      </c>
      <c r="F568" t="s"/>
      <c r="G568" t="s"/>
      <c r="H568" t="s"/>
      <c r="I568" t="s"/>
      <c r="J568" t="n">
        <v>-0.7088</v>
      </c>
      <c r="K568" t="n">
        <v>0.282</v>
      </c>
      <c r="L568" t="n">
        <v>0.718</v>
      </c>
      <c r="M568" t="n">
        <v>0</v>
      </c>
    </row>
    <row r="569" spans="1:13">
      <c r="A569" s="1">
        <f>HYPERLINK("http://www.twitter.com/NathanBLawrence/status/995737099755278336", "995737099755278336")</f>
        <v/>
      </c>
      <c r="B569" s="2" t="n">
        <v>43233.78239583333</v>
      </c>
      <c r="C569" t="n">
        <v>5</v>
      </c>
      <c r="D569" t="n">
        <v>2</v>
      </c>
      <c r="E569" t="s">
        <v>579</v>
      </c>
      <c r="F569">
        <f>HYPERLINK("http://pbs.twimg.com/media/DdGRm2GVwAAzSWu.jpg", "http://pbs.twimg.com/media/DdGRm2GVwAAzSWu.jpg")</f>
        <v/>
      </c>
      <c r="G569" t="s"/>
      <c r="H569" t="s"/>
      <c r="I569" t="s"/>
      <c r="J569" t="n">
        <v>0</v>
      </c>
      <c r="K569" t="n">
        <v>0</v>
      </c>
      <c r="L569" t="n">
        <v>1</v>
      </c>
      <c r="M569" t="n">
        <v>0</v>
      </c>
    </row>
    <row r="570" spans="1:13">
      <c r="A570" s="1">
        <f>HYPERLINK("http://www.twitter.com/NathanBLawrence/status/995735474445717505", "995735474445717505")</f>
        <v/>
      </c>
      <c r="B570" s="2" t="n">
        <v>43233.77790509259</v>
      </c>
      <c r="C570" t="n">
        <v>0</v>
      </c>
      <c r="D570" t="n">
        <v>0</v>
      </c>
      <c r="E570" t="s">
        <v>580</v>
      </c>
      <c r="F570" t="s"/>
      <c r="G570" t="s"/>
      <c r="H570" t="s"/>
      <c r="I570" t="s"/>
      <c r="J570" t="n">
        <v>0</v>
      </c>
      <c r="K570" t="n">
        <v>0</v>
      </c>
      <c r="L570" t="n">
        <v>1</v>
      </c>
      <c r="M570" t="n">
        <v>0</v>
      </c>
    </row>
    <row r="571" spans="1:13">
      <c r="A571" s="1">
        <f>HYPERLINK("http://www.twitter.com/NathanBLawrence/status/995734864359026688", "995734864359026688")</f>
        <v/>
      </c>
      <c r="B571" s="2" t="n">
        <v>43233.77622685185</v>
      </c>
      <c r="C571" t="n">
        <v>0</v>
      </c>
      <c r="D571" t="n">
        <v>0</v>
      </c>
      <c r="E571" t="s">
        <v>581</v>
      </c>
      <c r="F571" t="s"/>
      <c r="G571" t="s"/>
      <c r="H571" t="s"/>
      <c r="I571" t="s"/>
      <c r="J571" t="n">
        <v>-0.296</v>
      </c>
      <c r="K571" t="n">
        <v>0.136</v>
      </c>
      <c r="L571" t="n">
        <v>0.864</v>
      </c>
      <c r="M571" t="n">
        <v>0</v>
      </c>
    </row>
    <row r="572" spans="1:13">
      <c r="A572" s="1">
        <f>HYPERLINK("http://www.twitter.com/NathanBLawrence/status/995733881138671618", "995733881138671618")</f>
        <v/>
      </c>
      <c r="B572" s="2" t="n">
        <v>43233.77350694445</v>
      </c>
      <c r="C572" t="n">
        <v>0</v>
      </c>
      <c r="D572" t="n">
        <v>0</v>
      </c>
      <c r="E572" t="s">
        <v>582</v>
      </c>
      <c r="F572">
        <f>HYPERLINK("http://pbs.twimg.com/media/DdGOrhaVwAA1a4A.jpg", "http://pbs.twimg.com/media/DdGOrhaVwAA1a4A.jpg")</f>
        <v/>
      </c>
      <c r="G572" t="s"/>
      <c r="H572" t="s"/>
      <c r="I572" t="s"/>
      <c r="J572" t="n">
        <v>-0.4883</v>
      </c>
      <c r="K572" t="n">
        <v>0.117</v>
      </c>
      <c r="L572" t="n">
        <v>0.883</v>
      </c>
      <c r="M572" t="n">
        <v>0</v>
      </c>
    </row>
    <row r="573" spans="1:13">
      <c r="A573" s="1">
        <f>HYPERLINK("http://www.twitter.com/NathanBLawrence/status/995733304061186048", "995733304061186048")</f>
        <v/>
      </c>
      <c r="B573" s="2" t="n">
        <v>43233.7719212963</v>
      </c>
      <c r="C573" t="n">
        <v>2</v>
      </c>
      <c r="D573" t="n">
        <v>1</v>
      </c>
      <c r="E573" t="s">
        <v>583</v>
      </c>
      <c r="F573" t="s"/>
      <c r="G573" t="s"/>
      <c r="H573" t="s"/>
      <c r="I573" t="s"/>
      <c r="J573" t="n">
        <v>0.5667</v>
      </c>
      <c r="K573" t="n">
        <v>0</v>
      </c>
      <c r="L573" t="n">
        <v>0.837</v>
      </c>
      <c r="M573" t="n">
        <v>0.163</v>
      </c>
    </row>
    <row r="574" spans="1:13">
      <c r="A574" s="1">
        <f>HYPERLINK("http://www.twitter.com/NathanBLawrence/status/995704771922325504", "995704771922325504")</f>
        <v/>
      </c>
      <c r="B574" s="2" t="n">
        <v>43233.69318287037</v>
      </c>
      <c r="C574" t="n">
        <v>6</v>
      </c>
      <c r="D574" t="n">
        <v>6</v>
      </c>
      <c r="E574" t="s">
        <v>584</v>
      </c>
      <c r="F574" t="s"/>
      <c r="G574" t="s"/>
      <c r="H574" t="s"/>
      <c r="I574" t="s"/>
      <c r="J574" t="n">
        <v>-0.4215</v>
      </c>
      <c r="K574" t="n">
        <v>0.076</v>
      </c>
      <c r="L574" t="n">
        <v>0.924</v>
      </c>
      <c r="M574" t="n">
        <v>0</v>
      </c>
    </row>
    <row r="575" spans="1:13">
      <c r="A575" s="1">
        <f>HYPERLINK("http://www.twitter.com/NathanBLawrence/status/995693015535685633", "995693015535685633")</f>
        <v/>
      </c>
      <c r="B575" s="2" t="n">
        <v>43233.66074074074</v>
      </c>
      <c r="C575" t="n">
        <v>3</v>
      </c>
      <c r="D575" t="n">
        <v>1</v>
      </c>
      <c r="E575" t="s">
        <v>585</v>
      </c>
      <c r="F575" t="s"/>
      <c r="G575" t="s"/>
      <c r="H575" t="s"/>
      <c r="I575" t="s"/>
      <c r="J575" t="n">
        <v>-0.5423</v>
      </c>
      <c r="K575" t="n">
        <v>0.153</v>
      </c>
      <c r="L575" t="n">
        <v>0.847</v>
      </c>
      <c r="M575" t="n">
        <v>0</v>
      </c>
    </row>
    <row r="576" spans="1:13">
      <c r="A576" s="1">
        <f>HYPERLINK("http://www.twitter.com/NathanBLawrence/status/995685445668425728", "995685445668425728")</f>
        <v/>
      </c>
      <c r="B576" s="2" t="n">
        <v>43233.63984953704</v>
      </c>
      <c r="C576" t="n">
        <v>4</v>
      </c>
      <c r="D576" t="n">
        <v>1</v>
      </c>
      <c r="E576" t="s">
        <v>586</v>
      </c>
      <c r="F576" t="s"/>
      <c r="G576" t="s"/>
      <c r="H576" t="s"/>
      <c r="I576" t="s"/>
      <c r="J576" t="n">
        <v>0.5266999999999999</v>
      </c>
      <c r="K576" t="n">
        <v>0</v>
      </c>
      <c r="L576" t="n">
        <v>0.901</v>
      </c>
      <c r="M576" t="n">
        <v>0.099</v>
      </c>
    </row>
    <row r="577" spans="1:13">
      <c r="A577" s="1">
        <f>HYPERLINK("http://www.twitter.com/NathanBLawrence/status/995679731143069697", "995679731143069697")</f>
        <v/>
      </c>
      <c r="B577" s="2" t="n">
        <v>43233.62408564815</v>
      </c>
      <c r="C577" t="n">
        <v>5</v>
      </c>
      <c r="D577" t="n">
        <v>3</v>
      </c>
      <c r="E577" t="s">
        <v>587</v>
      </c>
      <c r="F577" t="s"/>
      <c r="G577" t="s"/>
      <c r="H577" t="s"/>
      <c r="I577" t="s"/>
      <c r="J577" t="n">
        <v>-0.7574</v>
      </c>
      <c r="K577" t="n">
        <v>0.178</v>
      </c>
      <c r="L577" t="n">
        <v>0.822</v>
      </c>
      <c r="M577" t="n">
        <v>0</v>
      </c>
    </row>
    <row r="578" spans="1:13">
      <c r="A578" s="1">
        <f>HYPERLINK("http://www.twitter.com/NathanBLawrence/status/995677563006668803", "995677563006668803")</f>
        <v/>
      </c>
      <c r="B578" s="2" t="n">
        <v>43233.61810185185</v>
      </c>
      <c r="C578" t="n">
        <v>11</v>
      </c>
      <c r="D578" t="n">
        <v>6</v>
      </c>
      <c r="E578" t="s">
        <v>588</v>
      </c>
      <c r="F578" t="s"/>
      <c r="G578" t="s"/>
      <c r="H578" t="s"/>
      <c r="I578" t="s"/>
      <c r="J578" t="n">
        <v>-0.8687</v>
      </c>
      <c r="K578" t="n">
        <v>0.222</v>
      </c>
      <c r="L578" t="n">
        <v>0.742</v>
      </c>
      <c r="M578" t="n">
        <v>0.036</v>
      </c>
    </row>
    <row r="579" spans="1:13">
      <c r="A579" s="1">
        <f>HYPERLINK("http://www.twitter.com/NathanBLawrence/status/995668043740172289", "995668043740172289")</f>
        <v/>
      </c>
      <c r="B579" s="2" t="n">
        <v>43233.59182870371</v>
      </c>
      <c r="C579" t="n">
        <v>3</v>
      </c>
      <c r="D579" t="n">
        <v>2</v>
      </c>
      <c r="E579" t="s">
        <v>589</v>
      </c>
      <c r="F579" t="s"/>
      <c r="G579" t="s"/>
      <c r="H579" t="s"/>
      <c r="I579" t="s"/>
      <c r="J579" t="n">
        <v>0</v>
      </c>
      <c r="K579" t="n">
        <v>0</v>
      </c>
      <c r="L579" t="n">
        <v>1</v>
      </c>
      <c r="M579" t="n">
        <v>0</v>
      </c>
    </row>
    <row r="580" spans="1:13">
      <c r="A580" s="1">
        <f>HYPERLINK("http://www.twitter.com/NathanBLawrence/status/995667323620069376", "995667323620069376")</f>
        <v/>
      </c>
      <c r="B580" s="2" t="n">
        <v>43233.58984953703</v>
      </c>
      <c r="C580" t="n">
        <v>11</v>
      </c>
      <c r="D580" t="n">
        <v>10</v>
      </c>
      <c r="E580" t="s">
        <v>590</v>
      </c>
      <c r="F580" t="s"/>
      <c r="G580" t="s"/>
      <c r="H580" t="s"/>
      <c r="I580" t="s"/>
      <c r="J580" t="n">
        <v>-0.2153</v>
      </c>
      <c r="K580" t="n">
        <v>0.114</v>
      </c>
      <c r="L580" t="n">
        <v>0.8159999999999999</v>
      </c>
      <c r="M580" t="n">
        <v>0.07000000000000001</v>
      </c>
    </row>
    <row r="581" spans="1:13">
      <c r="A581" s="1">
        <f>HYPERLINK("http://www.twitter.com/NathanBLawrence/status/995660671563059200", "995660671563059200")</f>
        <v/>
      </c>
      <c r="B581" s="2" t="n">
        <v>43233.57149305556</v>
      </c>
      <c r="C581" t="n">
        <v>0</v>
      </c>
      <c r="D581" t="n">
        <v>0</v>
      </c>
      <c r="E581" t="s">
        <v>591</v>
      </c>
      <c r="F581" t="s"/>
      <c r="G581" t="s"/>
      <c r="H581" t="s"/>
      <c r="I581" t="s"/>
      <c r="J581" t="n">
        <v>0.3612</v>
      </c>
      <c r="K581" t="n">
        <v>0</v>
      </c>
      <c r="L581" t="n">
        <v>0.828</v>
      </c>
      <c r="M581" t="n">
        <v>0.172</v>
      </c>
    </row>
    <row r="582" spans="1:13">
      <c r="A582" s="1">
        <f>HYPERLINK("http://www.twitter.com/NathanBLawrence/status/995659686044151808", "995659686044151808")</f>
        <v/>
      </c>
      <c r="B582" s="2" t="n">
        <v>43233.56877314814</v>
      </c>
      <c r="C582" t="n">
        <v>0</v>
      </c>
      <c r="D582" t="n">
        <v>9</v>
      </c>
      <c r="E582" t="s">
        <v>592</v>
      </c>
      <c r="F582" t="s"/>
      <c r="G582" t="s"/>
      <c r="H582" t="s"/>
      <c r="I582" t="s"/>
      <c r="J582" t="n">
        <v>0</v>
      </c>
      <c r="K582" t="n">
        <v>0</v>
      </c>
      <c r="L582" t="n">
        <v>1</v>
      </c>
      <c r="M582" t="n">
        <v>0</v>
      </c>
    </row>
    <row r="583" spans="1:13">
      <c r="A583" s="1">
        <f>HYPERLINK("http://www.twitter.com/NathanBLawrence/status/995656239320354817", "995656239320354817")</f>
        <v/>
      </c>
      <c r="B583" s="2" t="n">
        <v>43233.55925925926</v>
      </c>
      <c r="C583" t="n">
        <v>3</v>
      </c>
      <c r="D583" t="n">
        <v>1</v>
      </c>
      <c r="E583" t="s">
        <v>593</v>
      </c>
      <c r="F583" t="s"/>
      <c r="G583" t="s"/>
      <c r="H583" t="s"/>
      <c r="I583" t="s"/>
      <c r="J583" t="n">
        <v>0.1531</v>
      </c>
      <c r="K583" t="n">
        <v>0.056</v>
      </c>
      <c r="L583" t="n">
        <v>0.874</v>
      </c>
      <c r="M583" t="n">
        <v>0.07000000000000001</v>
      </c>
    </row>
    <row r="584" spans="1:13">
      <c r="A584" s="1">
        <f>HYPERLINK("http://www.twitter.com/NathanBLawrence/status/995654846761062400", "995654846761062400")</f>
        <v/>
      </c>
      <c r="B584" s="2" t="n">
        <v>43233.55541666667</v>
      </c>
      <c r="C584" t="n">
        <v>0</v>
      </c>
      <c r="D584" t="n">
        <v>0</v>
      </c>
      <c r="E584" t="s">
        <v>594</v>
      </c>
      <c r="F584" t="s"/>
      <c r="G584" t="s"/>
      <c r="H584" t="s"/>
      <c r="I584" t="s"/>
      <c r="J584" t="n">
        <v>0.7603</v>
      </c>
      <c r="K584" t="n">
        <v>0.112</v>
      </c>
      <c r="L584" t="n">
        <v>0.636</v>
      </c>
      <c r="M584" t="n">
        <v>0.251</v>
      </c>
    </row>
    <row r="585" spans="1:13">
      <c r="A585" s="1">
        <f>HYPERLINK("http://www.twitter.com/NathanBLawrence/status/995649554874761217", "995649554874761217")</f>
        <v/>
      </c>
      <c r="B585" s="2" t="n">
        <v>43233.54081018519</v>
      </c>
      <c r="C585" t="n">
        <v>3</v>
      </c>
      <c r="D585" t="n">
        <v>0</v>
      </c>
      <c r="E585" t="s">
        <v>595</v>
      </c>
      <c r="F585" t="s"/>
      <c r="G585" t="s"/>
      <c r="H585" t="s"/>
      <c r="I585" t="s"/>
      <c r="J585" t="n">
        <v>-0.6841</v>
      </c>
      <c r="K585" t="n">
        <v>0.098</v>
      </c>
      <c r="L585" t="n">
        <v>0.902</v>
      </c>
      <c r="M585" t="n">
        <v>0</v>
      </c>
    </row>
    <row r="586" spans="1:13">
      <c r="A586" s="1">
        <f>HYPERLINK("http://www.twitter.com/NathanBLawrence/status/995647018604400640", "995647018604400640")</f>
        <v/>
      </c>
      <c r="B586" s="2" t="n">
        <v>43233.53381944444</v>
      </c>
      <c r="C586" t="n">
        <v>3</v>
      </c>
      <c r="D586" t="n">
        <v>1</v>
      </c>
      <c r="E586" t="s">
        <v>596</v>
      </c>
      <c r="F586" t="s"/>
      <c r="G586" t="s"/>
      <c r="H586" t="s"/>
      <c r="I586" t="s"/>
      <c r="J586" t="n">
        <v>0.6124000000000001</v>
      </c>
      <c r="K586" t="n">
        <v>0.149</v>
      </c>
      <c r="L586" t="n">
        <v>0.616</v>
      </c>
      <c r="M586" t="n">
        <v>0.235</v>
      </c>
    </row>
    <row r="587" spans="1:13">
      <c r="A587" s="1">
        <f>HYPERLINK("http://www.twitter.com/NathanBLawrence/status/995642699909918721", "995642699909918721")</f>
        <v/>
      </c>
      <c r="B587" s="2" t="n">
        <v>43233.52189814814</v>
      </c>
      <c r="C587" t="n">
        <v>1</v>
      </c>
      <c r="D587" t="n">
        <v>1</v>
      </c>
      <c r="E587" t="s">
        <v>597</v>
      </c>
      <c r="F587">
        <f>HYPERLINK("http://pbs.twimg.com/media/DdE7wR9V0AAvVgT.jpg", "http://pbs.twimg.com/media/DdE7wR9V0AAvVgT.jpg")</f>
        <v/>
      </c>
      <c r="G587" t="s"/>
      <c r="H587" t="s"/>
      <c r="I587" t="s"/>
      <c r="J587" t="n">
        <v>0</v>
      </c>
      <c r="K587" t="n">
        <v>0</v>
      </c>
      <c r="L587" t="n">
        <v>1</v>
      </c>
      <c r="M587" t="n">
        <v>0</v>
      </c>
    </row>
    <row r="588" spans="1:13">
      <c r="A588" s="1">
        <f>HYPERLINK("http://www.twitter.com/NathanBLawrence/status/995505875824664576", "995505875824664576")</f>
        <v/>
      </c>
      <c r="B588" s="2" t="n">
        <v>43233.14434027778</v>
      </c>
      <c r="C588" t="n">
        <v>0</v>
      </c>
      <c r="D588" t="n">
        <v>0</v>
      </c>
      <c r="E588" t="s">
        <v>598</v>
      </c>
      <c r="F588" t="s"/>
      <c r="G588" t="s"/>
      <c r="H588" t="s"/>
      <c r="I588" t="s"/>
      <c r="J588" t="n">
        <v>0</v>
      </c>
      <c r="K588" t="n">
        <v>0</v>
      </c>
      <c r="L588" t="n">
        <v>1</v>
      </c>
      <c r="M588" t="n">
        <v>0</v>
      </c>
    </row>
    <row r="589" spans="1:13">
      <c r="A589" s="1">
        <f>HYPERLINK("http://www.twitter.com/NathanBLawrence/status/995495813559324673", "995495813559324673")</f>
        <v/>
      </c>
      <c r="B589" s="2" t="n">
        <v>43233.11657407408</v>
      </c>
      <c r="C589" t="n">
        <v>4</v>
      </c>
      <c r="D589" t="n">
        <v>1</v>
      </c>
      <c r="E589" t="s">
        <v>599</v>
      </c>
      <c r="F589" t="s"/>
      <c r="G589" t="s"/>
      <c r="H589" t="s"/>
      <c r="I589" t="s"/>
      <c r="J589" t="n">
        <v>-0.5411</v>
      </c>
      <c r="K589" t="n">
        <v>0.116</v>
      </c>
      <c r="L589" t="n">
        <v>0.832</v>
      </c>
      <c r="M589" t="n">
        <v>0.052</v>
      </c>
    </row>
    <row r="590" spans="1:13">
      <c r="A590" s="1">
        <f>HYPERLINK("http://www.twitter.com/NathanBLawrence/status/995486758254018560", "995486758254018560")</f>
        <v/>
      </c>
      <c r="B590" s="2" t="n">
        <v>43233.09158564815</v>
      </c>
      <c r="C590" t="n">
        <v>0</v>
      </c>
      <c r="D590" t="n">
        <v>0</v>
      </c>
      <c r="E590" t="s">
        <v>600</v>
      </c>
      <c r="F590" t="s"/>
      <c r="G590" t="s"/>
      <c r="H590" t="s"/>
      <c r="I590" t="s"/>
      <c r="J590" t="n">
        <v>0</v>
      </c>
      <c r="K590" t="n">
        <v>0</v>
      </c>
      <c r="L590" t="n">
        <v>1</v>
      </c>
      <c r="M590" t="n">
        <v>0</v>
      </c>
    </row>
    <row r="591" spans="1:13">
      <c r="A591" s="1">
        <f>HYPERLINK("http://www.twitter.com/NathanBLawrence/status/995480106989707265", "995480106989707265")</f>
        <v/>
      </c>
      <c r="B591" s="2" t="n">
        <v>43233.07322916666</v>
      </c>
      <c r="C591" t="n">
        <v>0</v>
      </c>
      <c r="D591" t="n">
        <v>10</v>
      </c>
      <c r="E591" t="s">
        <v>601</v>
      </c>
      <c r="F591">
        <f>HYPERLINK("http://pbs.twimg.com/media/DdAQM87VwAEHYMz.jpg", "http://pbs.twimg.com/media/DdAQM87VwAEHYMz.jpg")</f>
        <v/>
      </c>
      <c r="G591" t="s"/>
      <c r="H591" t="s"/>
      <c r="I591" t="s"/>
      <c r="J591" t="n">
        <v>0</v>
      </c>
      <c r="K591" t="n">
        <v>0</v>
      </c>
      <c r="L591" t="n">
        <v>1</v>
      </c>
      <c r="M591" t="n">
        <v>0</v>
      </c>
    </row>
    <row r="592" spans="1:13">
      <c r="A592" s="1">
        <f>HYPERLINK("http://www.twitter.com/NathanBLawrence/status/995478418438451200", "995478418438451200")</f>
        <v/>
      </c>
      <c r="B592" s="2" t="n">
        <v>43233.06856481481</v>
      </c>
      <c r="C592" t="n">
        <v>0</v>
      </c>
      <c r="D592" t="n">
        <v>0</v>
      </c>
      <c r="E592" t="s">
        <v>602</v>
      </c>
      <c r="F592" t="s"/>
      <c r="G592" t="s"/>
      <c r="H592" t="s"/>
      <c r="I592" t="s"/>
      <c r="J592" t="n">
        <v>0.3818</v>
      </c>
      <c r="K592" t="n">
        <v>0.099</v>
      </c>
      <c r="L592" t="n">
        <v>0.727</v>
      </c>
      <c r="M592" t="n">
        <v>0.174</v>
      </c>
    </row>
    <row r="593" spans="1:13">
      <c r="A593" s="1">
        <f>HYPERLINK("http://www.twitter.com/NathanBLawrence/status/995478005504991232", "995478005504991232")</f>
        <v/>
      </c>
      <c r="B593" s="2" t="n">
        <v>43233.06743055556</v>
      </c>
      <c r="C593" t="n">
        <v>0</v>
      </c>
      <c r="D593" t="n">
        <v>5</v>
      </c>
      <c r="E593" t="s">
        <v>603</v>
      </c>
      <c r="F593" t="s"/>
      <c r="G593" t="s"/>
      <c r="H593" t="s"/>
      <c r="I593" t="s"/>
      <c r="J593" t="n">
        <v>0.3818</v>
      </c>
      <c r="K593" t="n">
        <v>0</v>
      </c>
      <c r="L593" t="n">
        <v>0.867</v>
      </c>
      <c r="M593" t="n">
        <v>0.133</v>
      </c>
    </row>
    <row r="594" spans="1:13">
      <c r="A594" s="1">
        <f>HYPERLINK("http://www.twitter.com/NathanBLawrence/status/995474299657117696", "995474299657117696")</f>
        <v/>
      </c>
      <c r="B594" s="2" t="n">
        <v>43233.05719907407</v>
      </c>
      <c r="C594" t="n">
        <v>5</v>
      </c>
      <c r="D594" t="n">
        <v>1</v>
      </c>
      <c r="E594" t="s">
        <v>604</v>
      </c>
      <c r="F594" t="s"/>
      <c r="G594" t="s"/>
      <c r="H594" t="s"/>
      <c r="I594" t="s"/>
      <c r="J594" t="n">
        <v>-0.0772</v>
      </c>
      <c r="K594" t="n">
        <v>0.097</v>
      </c>
      <c r="L594" t="n">
        <v>0.8159999999999999</v>
      </c>
      <c r="M594" t="n">
        <v>0.08799999999999999</v>
      </c>
    </row>
    <row r="595" spans="1:13">
      <c r="A595" s="1">
        <f>HYPERLINK("http://www.twitter.com/NathanBLawrence/status/995473636655067137", "995473636655067137")</f>
        <v/>
      </c>
      <c r="B595" s="2" t="n">
        <v>43233.05537037037</v>
      </c>
      <c r="C595" t="n">
        <v>0</v>
      </c>
      <c r="D595" t="n">
        <v>24</v>
      </c>
      <c r="E595" t="s">
        <v>605</v>
      </c>
      <c r="F595" t="s"/>
      <c r="G595" t="s"/>
      <c r="H595" t="s"/>
      <c r="I595" t="s"/>
      <c r="J595" t="n">
        <v>0.2023</v>
      </c>
      <c r="K595" t="n">
        <v>0</v>
      </c>
      <c r="L595" t="n">
        <v>0.921</v>
      </c>
      <c r="M595" t="n">
        <v>0.079</v>
      </c>
    </row>
    <row r="596" spans="1:13">
      <c r="A596" s="1">
        <f>HYPERLINK("http://www.twitter.com/NathanBLawrence/status/995443248792469504", "995443248792469504")</f>
        <v/>
      </c>
      <c r="B596" s="2" t="n">
        <v>43232.9715162037</v>
      </c>
      <c r="C596" t="n">
        <v>3</v>
      </c>
      <c r="D596" t="n">
        <v>0</v>
      </c>
      <c r="E596" t="s">
        <v>606</v>
      </c>
      <c r="F596" t="s"/>
      <c r="G596" t="s"/>
      <c r="H596" t="s"/>
      <c r="I596" t="s"/>
      <c r="J596" t="n">
        <v>0.8176</v>
      </c>
      <c r="K596" t="n">
        <v>0</v>
      </c>
      <c r="L596" t="n">
        <v>0.545</v>
      </c>
      <c r="M596" t="n">
        <v>0.455</v>
      </c>
    </row>
    <row r="597" spans="1:13">
      <c r="A597" s="1">
        <f>HYPERLINK("http://www.twitter.com/NathanBLawrence/status/995440785427501056", "995440785427501056")</f>
        <v/>
      </c>
      <c r="B597" s="2" t="n">
        <v>43232.96472222222</v>
      </c>
      <c r="C597" t="n">
        <v>2</v>
      </c>
      <c r="D597" t="n">
        <v>0</v>
      </c>
      <c r="E597" t="s">
        <v>607</v>
      </c>
      <c r="F597" t="s"/>
      <c r="G597" t="s"/>
      <c r="H597" t="s"/>
      <c r="I597" t="s"/>
      <c r="J597" t="n">
        <v>-0.2714</v>
      </c>
      <c r="K597" t="n">
        <v>0.149</v>
      </c>
      <c r="L597" t="n">
        <v>0.763</v>
      </c>
      <c r="M597" t="n">
        <v>0.08799999999999999</v>
      </c>
    </row>
    <row r="598" spans="1:13">
      <c r="A598" s="1">
        <f>HYPERLINK("http://www.twitter.com/NathanBLawrence/status/995438344728383488", "995438344728383488")</f>
        <v/>
      </c>
      <c r="B598" s="2" t="n">
        <v>43232.95798611111</v>
      </c>
      <c r="C598" t="n">
        <v>0</v>
      </c>
      <c r="D598" t="n">
        <v>9</v>
      </c>
      <c r="E598" t="s">
        <v>608</v>
      </c>
      <c r="F598" t="s"/>
      <c r="G598" t="s"/>
      <c r="H598" t="s"/>
      <c r="I598" t="s"/>
      <c r="J598" t="n">
        <v>-0.3182</v>
      </c>
      <c r="K598" t="n">
        <v>0.126</v>
      </c>
      <c r="L598" t="n">
        <v>0.874</v>
      </c>
      <c r="M598" t="n">
        <v>0</v>
      </c>
    </row>
    <row r="599" spans="1:13">
      <c r="A599" s="1">
        <f>HYPERLINK("http://www.twitter.com/NathanBLawrence/status/995421666699292677", "995421666699292677")</f>
        <v/>
      </c>
      <c r="B599" s="2" t="n">
        <v>43232.91196759259</v>
      </c>
      <c r="C599" t="n">
        <v>0</v>
      </c>
      <c r="D599" t="n">
        <v>10</v>
      </c>
      <c r="E599" t="s">
        <v>609</v>
      </c>
      <c r="F599">
        <f>HYPERLINK("http://pbs.twimg.com/media/DdBh1X9X4AA_CsJ.jpg", "http://pbs.twimg.com/media/DdBh1X9X4AA_CsJ.jpg")</f>
        <v/>
      </c>
      <c r="G599" t="s"/>
      <c r="H599" t="s"/>
      <c r="I599" t="s"/>
      <c r="J599" t="n">
        <v>-0.1027</v>
      </c>
      <c r="K599" t="n">
        <v>0.117</v>
      </c>
      <c r="L599" t="n">
        <v>0.78</v>
      </c>
      <c r="M599" t="n">
        <v>0.103</v>
      </c>
    </row>
    <row r="600" spans="1:13">
      <c r="A600" s="1">
        <f>HYPERLINK("http://www.twitter.com/NathanBLawrence/status/995419771045928960", "995419771045928960")</f>
        <v/>
      </c>
      <c r="B600" s="2" t="n">
        <v>43232.90673611111</v>
      </c>
      <c r="C600" t="n">
        <v>0</v>
      </c>
      <c r="D600" t="n">
        <v>0</v>
      </c>
      <c r="E600" t="s">
        <v>610</v>
      </c>
      <c r="F600" t="s"/>
      <c r="G600" t="s"/>
      <c r="H600" t="s"/>
      <c r="I600" t="s"/>
      <c r="J600" t="n">
        <v>-0.296</v>
      </c>
      <c r="K600" t="n">
        <v>0.423</v>
      </c>
      <c r="L600" t="n">
        <v>0.577</v>
      </c>
      <c r="M600" t="n">
        <v>0</v>
      </c>
    </row>
    <row r="601" spans="1:13">
      <c r="A601" s="1">
        <f>HYPERLINK("http://www.twitter.com/NathanBLawrence/status/995354893895569408", "995354893895569408")</f>
        <v/>
      </c>
      <c r="B601" s="2" t="n">
        <v>43232.72770833333</v>
      </c>
      <c r="C601" t="n">
        <v>0</v>
      </c>
      <c r="D601" t="n">
        <v>4</v>
      </c>
      <c r="E601" t="s">
        <v>611</v>
      </c>
      <c r="F601" t="s"/>
      <c r="G601" t="s"/>
      <c r="H601" t="s"/>
      <c r="I601" t="s"/>
      <c r="J601" t="n">
        <v>0.3612</v>
      </c>
      <c r="K601" t="n">
        <v>0</v>
      </c>
      <c r="L601" t="n">
        <v>0.857</v>
      </c>
      <c r="M601" t="n">
        <v>0.143</v>
      </c>
    </row>
    <row r="602" spans="1:13">
      <c r="A602" s="1">
        <f>HYPERLINK("http://www.twitter.com/NathanBLawrence/status/995351766932869120", "995351766932869120")</f>
        <v/>
      </c>
      <c r="B602" s="2" t="n">
        <v>43232.71907407408</v>
      </c>
      <c r="C602" t="n">
        <v>0</v>
      </c>
      <c r="D602" t="n">
        <v>10</v>
      </c>
      <c r="E602" t="s">
        <v>612</v>
      </c>
      <c r="F602" t="s"/>
      <c r="G602" t="s"/>
      <c r="H602" t="s"/>
      <c r="I602" t="s"/>
      <c r="J602" t="n">
        <v>0</v>
      </c>
      <c r="K602" t="n">
        <v>0</v>
      </c>
      <c r="L602" t="n">
        <v>1</v>
      </c>
      <c r="M602" t="n">
        <v>0</v>
      </c>
    </row>
    <row r="603" spans="1:13">
      <c r="A603" s="1">
        <f>HYPERLINK("http://www.twitter.com/NathanBLawrence/status/995325372152647681", "995325372152647681")</f>
        <v/>
      </c>
      <c r="B603" s="2" t="n">
        <v>43232.64623842593</v>
      </c>
      <c r="C603" t="n">
        <v>0</v>
      </c>
      <c r="D603" t="n">
        <v>7</v>
      </c>
      <c r="E603" t="s">
        <v>613</v>
      </c>
      <c r="F603" t="s"/>
      <c r="G603" t="s"/>
      <c r="H603" t="s"/>
      <c r="I603" t="s"/>
      <c r="J603" t="n">
        <v>0.8176</v>
      </c>
      <c r="K603" t="n">
        <v>0.103</v>
      </c>
      <c r="L603" t="n">
        <v>0.53</v>
      </c>
      <c r="M603" t="n">
        <v>0.368</v>
      </c>
    </row>
    <row r="604" spans="1:13">
      <c r="A604" s="1">
        <f>HYPERLINK("http://www.twitter.com/NathanBLawrence/status/995325173338435586", "995325173338435586")</f>
        <v/>
      </c>
      <c r="B604" s="2" t="n">
        <v>43232.64569444444</v>
      </c>
      <c r="C604" t="n">
        <v>1</v>
      </c>
      <c r="D604" t="n">
        <v>1</v>
      </c>
      <c r="E604" t="s">
        <v>614</v>
      </c>
      <c r="F604">
        <f>HYPERLINK("http://pbs.twimg.com/media/DdAa9wAW0AAmA2n.jpg", "http://pbs.twimg.com/media/DdAa9wAW0AAmA2n.jpg")</f>
        <v/>
      </c>
      <c r="G604" t="s"/>
      <c r="H604" t="s"/>
      <c r="I604" t="s"/>
      <c r="J604" t="n">
        <v>0</v>
      </c>
      <c r="K604" t="n">
        <v>0</v>
      </c>
      <c r="L604" t="n">
        <v>1</v>
      </c>
      <c r="M604" t="n">
        <v>0</v>
      </c>
    </row>
    <row r="605" spans="1:13">
      <c r="A605" s="1">
        <f>HYPERLINK("http://www.twitter.com/NathanBLawrence/status/995324581727670272", "995324581727670272")</f>
        <v/>
      </c>
      <c r="B605" s="2" t="n">
        <v>43232.6440625</v>
      </c>
      <c r="C605" t="n">
        <v>1</v>
      </c>
      <c r="D605" t="n">
        <v>1</v>
      </c>
      <c r="E605" t="s">
        <v>615</v>
      </c>
      <c r="F605" t="s"/>
      <c r="G605" t="s"/>
      <c r="H605" t="s"/>
      <c r="I605" t="s"/>
      <c r="J605" t="n">
        <v>-0.5093</v>
      </c>
      <c r="K605" t="n">
        <v>0.226</v>
      </c>
      <c r="L605" t="n">
        <v>0.637</v>
      </c>
      <c r="M605" t="n">
        <v>0.138</v>
      </c>
    </row>
    <row r="606" spans="1:13">
      <c r="A606" s="1">
        <f>HYPERLINK("http://www.twitter.com/NathanBLawrence/status/995315813832904704", "995315813832904704")</f>
        <v/>
      </c>
      <c r="B606" s="2" t="n">
        <v>43232.61986111111</v>
      </c>
      <c r="C606" t="n">
        <v>1</v>
      </c>
      <c r="D606" t="n">
        <v>0</v>
      </c>
      <c r="E606" t="s">
        <v>616</v>
      </c>
      <c r="F606" t="s"/>
      <c r="G606" t="s"/>
      <c r="H606" t="s"/>
      <c r="I606" t="s"/>
      <c r="J606" t="n">
        <v>-0.5473</v>
      </c>
      <c r="K606" t="n">
        <v>0.172</v>
      </c>
      <c r="L606" t="n">
        <v>0.828</v>
      </c>
      <c r="M606" t="n">
        <v>0</v>
      </c>
    </row>
    <row r="607" spans="1:13">
      <c r="A607" s="1">
        <f>HYPERLINK("http://www.twitter.com/NathanBLawrence/status/995314646151294977", "995314646151294977")</f>
        <v/>
      </c>
      <c r="B607" s="2" t="n">
        <v>43232.61664351852</v>
      </c>
      <c r="C607" t="n">
        <v>0</v>
      </c>
      <c r="D607" t="n">
        <v>12</v>
      </c>
      <c r="E607" t="s">
        <v>617</v>
      </c>
      <c r="F607" t="s"/>
      <c r="G607" t="s"/>
      <c r="H607" t="s"/>
      <c r="I607" t="s"/>
      <c r="J607" t="n">
        <v>0.4939</v>
      </c>
      <c r="K607" t="n">
        <v>0</v>
      </c>
      <c r="L607" t="n">
        <v>0.862</v>
      </c>
      <c r="M607" t="n">
        <v>0.138</v>
      </c>
    </row>
    <row r="608" spans="1:13">
      <c r="A608" s="1">
        <f>HYPERLINK("http://www.twitter.com/NathanBLawrence/status/995311129302839296", "995311129302839296")</f>
        <v/>
      </c>
      <c r="B608" s="2" t="n">
        <v>43232.60693287037</v>
      </c>
      <c r="C608" t="n">
        <v>4</v>
      </c>
      <c r="D608" t="n">
        <v>2</v>
      </c>
      <c r="E608" t="s">
        <v>618</v>
      </c>
      <c r="F608">
        <f>HYPERLINK("http://pbs.twimg.com/media/DdAOMPHV4AEvZP5.jpg", "http://pbs.twimg.com/media/DdAOMPHV4AEvZP5.jpg")</f>
        <v/>
      </c>
      <c r="G608" t="s"/>
      <c r="H608" t="s"/>
      <c r="I608" t="s"/>
      <c r="J608" t="n">
        <v>-0.5939</v>
      </c>
      <c r="K608" t="n">
        <v>0.203</v>
      </c>
      <c r="L608" t="n">
        <v>0.698</v>
      </c>
      <c r="M608" t="n">
        <v>0.098</v>
      </c>
    </row>
    <row r="609" spans="1:13">
      <c r="A609" s="1">
        <f>HYPERLINK("http://www.twitter.com/NathanBLawrence/status/995309107187011585", "995309107187011585")</f>
        <v/>
      </c>
      <c r="B609" s="2" t="n">
        <v>43232.60135416667</v>
      </c>
      <c r="C609" t="n">
        <v>0</v>
      </c>
      <c r="D609" t="n">
        <v>0</v>
      </c>
      <c r="E609" t="s">
        <v>619</v>
      </c>
      <c r="F609" t="s"/>
      <c r="G609" t="s"/>
      <c r="H609" t="s"/>
      <c r="I609" t="s"/>
      <c r="J609" t="n">
        <v>-0.5266999999999999</v>
      </c>
      <c r="K609" t="n">
        <v>0.145</v>
      </c>
      <c r="L609" t="n">
        <v>0.855</v>
      </c>
      <c r="M609" t="n">
        <v>0</v>
      </c>
    </row>
    <row r="610" spans="1:13">
      <c r="A610" s="1">
        <f>HYPERLINK("http://www.twitter.com/NathanBLawrence/status/995308487759597569", "995308487759597569")</f>
        <v/>
      </c>
      <c r="B610" s="2" t="n">
        <v>43232.59965277778</v>
      </c>
      <c r="C610" t="n">
        <v>0</v>
      </c>
      <c r="D610" t="n">
        <v>0</v>
      </c>
      <c r="E610" t="s">
        <v>620</v>
      </c>
      <c r="F610" t="s"/>
      <c r="G610" t="s"/>
      <c r="H610" t="s"/>
      <c r="I610" t="s"/>
      <c r="J610" t="n">
        <v>-0.7345</v>
      </c>
      <c r="K610" t="n">
        <v>0.246</v>
      </c>
      <c r="L610" t="n">
        <v>0.754</v>
      </c>
      <c r="M610" t="n">
        <v>0</v>
      </c>
    </row>
    <row r="611" spans="1:13">
      <c r="A611" s="1">
        <f>HYPERLINK("http://www.twitter.com/NathanBLawrence/status/995306347351691264", "995306347351691264")</f>
        <v/>
      </c>
      <c r="B611" s="2" t="n">
        <v>43232.59373842592</v>
      </c>
      <c r="C611" t="n">
        <v>0</v>
      </c>
      <c r="D611" t="n">
        <v>8</v>
      </c>
      <c r="E611" t="s">
        <v>621</v>
      </c>
      <c r="F611" t="s"/>
      <c r="G611" t="s"/>
      <c r="H611" t="s"/>
      <c r="I611" t="s"/>
      <c r="J611" t="n">
        <v>-0.5574</v>
      </c>
      <c r="K611" t="n">
        <v>0.238</v>
      </c>
      <c r="L611" t="n">
        <v>0.664</v>
      </c>
      <c r="M611" t="n">
        <v>0.098</v>
      </c>
    </row>
    <row r="612" spans="1:13">
      <c r="A612" s="1">
        <f>HYPERLINK("http://www.twitter.com/NathanBLawrence/status/995305963027664896", "995305963027664896")</f>
        <v/>
      </c>
      <c r="B612" s="2" t="n">
        <v>43232.59268518518</v>
      </c>
      <c r="C612" t="n">
        <v>2</v>
      </c>
      <c r="D612" t="n">
        <v>0</v>
      </c>
      <c r="E612" t="s">
        <v>622</v>
      </c>
      <c r="F612" t="s"/>
      <c r="G612" t="s"/>
      <c r="H612" t="s"/>
      <c r="I612" t="s"/>
      <c r="J612" t="n">
        <v>0</v>
      </c>
      <c r="K612" t="n">
        <v>0</v>
      </c>
      <c r="L612" t="n">
        <v>1</v>
      </c>
      <c r="M612" t="n">
        <v>0</v>
      </c>
    </row>
    <row r="613" spans="1:13">
      <c r="A613" s="1">
        <f>HYPERLINK("http://www.twitter.com/NathanBLawrence/status/995305781552648192", "995305781552648192")</f>
        <v/>
      </c>
      <c r="B613" s="2" t="n">
        <v>43232.59217592593</v>
      </c>
      <c r="C613" t="n">
        <v>0</v>
      </c>
      <c r="D613" t="n">
        <v>6</v>
      </c>
      <c r="E613" t="s">
        <v>623</v>
      </c>
      <c r="F613" t="s"/>
      <c r="G613" t="s"/>
      <c r="H613" t="s"/>
      <c r="I613" t="s"/>
      <c r="J613" t="n">
        <v>-0.5859</v>
      </c>
      <c r="K613" t="n">
        <v>0.22</v>
      </c>
      <c r="L613" t="n">
        <v>0.78</v>
      </c>
      <c r="M613" t="n">
        <v>0</v>
      </c>
    </row>
    <row r="614" spans="1:13">
      <c r="A614" s="1">
        <f>HYPERLINK("http://www.twitter.com/NathanBLawrence/status/995305685020762112", "995305685020762112")</f>
        <v/>
      </c>
      <c r="B614" s="2" t="n">
        <v>43232.59190972222</v>
      </c>
      <c r="C614" t="n">
        <v>10</v>
      </c>
      <c r="D614" t="n">
        <v>9</v>
      </c>
      <c r="E614" t="s">
        <v>624</v>
      </c>
      <c r="F614">
        <f>HYPERLINK("http://pbs.twimg.com/media/DdAJPWiXUAAbXeq.jpg", "http://pbs.twimg.com/media/DdAJPWiXUAAbXeq.jpg")</f>
        <v/>
      </c>
      <c r="G614" t="s"/>
      <c r="H614" t="s"/>
      <c r="I614" t="s"/>
      <c r="J614" t="n">
        <v>0.6494</v>
      </c>
      <c r="K614" t="n">
        <v>0</v>
      </c>
      <c r="L614" t="n">
        <v>0.6929999999999999</v>
      </c>
      <c r="M614" t="n">
        <v>0.307</v>
      </c>
    </row>
    <row r="615" spans="1:13">
      <c r="A615" s="1">
        <f>HYPERLINK("http://www.twitter.com/NathanBLawrence/status/995304169467760641", "995304169467760641")</f>
        <v/>
      </c>
      <c r="B615" s="2" t="n">
        <v>43232.58773148148</v>
      </c>
      <c r="C615" t="n">
        <v>0</v>
      </c>
      <c r="D615" t="n">
        <v>10</v>
      </c>
      <c r="E615" t="s">
        <v>625</v>
      </c>
      <c r="F615" t="s"/>
      <c r="G615" t="s"/>
      <c r="H615" t="s"/>
      <c r="I615" t="s"/>
      <c r="J615" t="n">
        <v>0</v>
      </c>
      <c r="K615" t="n">
        <v>0</v>
      </c>
      <c r="L615" t="n">
        <v>1</v>
      </c>
      <c r="M615" t="n">
        <v>0</v>
      </c>
    </row>
    <row r="616" spans="1:13">
      <c r="A616" s="1">
        <f>HYPERLINK("http://www.twitter.com/NathanBLawrence/status/995304139654619137", "995304139654619137")</f>
        <v/>
      </c>
      <c r="B616" s="2" t="n">
        <v>43232.58765046296</v>
      </c>
      <c r="C616" t="n">
        <v>4</v>
      </c>
      <c r="D616" t="n">
        <v>1</v>
      </c>
      <c r="E616" t="s">
        <v>626</v>
      </c>
      <c r="F616" t="s"/>
      <c r="G616" t="s"/>
      <c r="H616" t="s"/>
      <c r="I616" t="s"/>
      <c r="J616" t="n">
        <v>-0.5562</v>
      </c>
      <c r="K616" t="n">
        <v>0.074</v>
      </c>
      <c r="L616" t="n">
        <v>0.926</v>
      </c>
      <c r="M616" t="n">
        <v>0</v>
      </c>
    </row>
    <row r="617" spans="1:13">
      <c r="A617" s="1">
        <f>HYPERLINK("http://www.twitter.com/NathanBLawrence/status/995302549078118400", "995302549078118400")</f>
        <v/>
      </c>
      <c r="B617" s="2" t="n">
        <v>43232.58326388889</v>
      </c>
      <c r="C617" t="n">
        <v>0</v>
      </c>
      <c r="D617" t="n">
        <v>2</v>
      </c>
      <c r="E617" t="s">
        <v>627</v>
      </c>
      <c r="F617" t="s"/>
      <c r="G617" t="s"/>
      <c r="H617" t="s"/>
      <c r="I617" t="s"/>
      <c r="J617" t="n">
        <v>0</v>
      </c>
      <c r="K617" t="n">
        <v>0</v>
      </c>
      <c r="L617" t="n">
        <v>1</v>
      </c>
      <c r="M617" t="n">
        <v>0</v>
      </c>
    </row>
    <row r="618" spans="1:13">
      <c r="A618" s="1">
        <f>HYPERLINK("http://www.twitter.com/NathanBLawrence/status/995298264361652225", "995298264361652225")</f>
        <v/>
      </c>
      <c r="B618" s="2" t="n">
        <v>43232.57143518519</v>
      </c>
      <c r="C618" t="n">
        <v>8</v>
      </c>
      <c r="D618" t="n">
        <v>5</v>
      </c>
      <c r="E618" t="s">
        <v>628</v>
      </c>
      <c r="F618" t="s"/>
      <c r="G618" t="s"/>
      <c r="H618" t="s"/>
      <c r="I618" t="s"/>
      <c r="J618" t="n">
        <v>0.4404</v>
      </c>
      <c r="K618" t="n">
        <v>0.114</v>
      </c>
      <c r="L618" t="n">
        <v>0.674</v>
      </c>
      <c r="M618" t="n">
        <v>0.212</v>
      </c>
    </row>
    <row r="619" spans="1:13">
      <c r="A619" s="1">
        <f>HYPERLINK("http://www.twitter.com/NathanBLawrence/status/995296890282565633", "995296890282565633")</f>
        <v/>
      </c>
      <c r="B619" s="2" t="n">
        <v>43232.56765046297</v>
      </c>
      <c r="C619" t="n">
        <v>1</v>
      </c>
      <c r="D619" t="n">
        <v>0</v>
      </c>
      <c r="E619" t="s">
        <v>629</v>
      </c>
      <c r="F619" t="s"/>
      <c r="G619" t="s"/>
      <c r="H619" t="s"/>
      <c r="I619" t="s"/>
      <c r="J619" t="n">
        <v>-0.7351</v>
      </c>
      <c r="K619" t="n">
        <v>0.205</v>
      </c>
      <c r="L619" t="n">
        <v>0.757</v>
      </c>
      <c r="M619" t="n">
        <v>0.038</v>
      </c>
    </row>
    <row r="620" spans="1:13">
      <c r="A620" s="1">
        <f>HYPERLINK("http://www.twitter.com/NathanBLawrence/status/995294459444318208", "995294459444318208")</f>
        <v/>
      </c>
      <c r="B620" s="2" t="n">
        <v>43232.5609375</v>
      </c>
      <c r="C620" t="n">
        <v>1</v>
      </c>
      <c r="D620" t="n">
        <v>0</v>
      </c>
      <c r="E620" t="s">
        <v>630</v>
      </c>
      <c r="F620" t="s"/>
      <c r="G620" t="s"/>
      <c r="H620" t="s"/>
      <c r="I620" t="s"/>
      <c r="J620" t="n">
        <v>-0.2185</v>
      </c>
      <c r="K620" t="n">
        <v>0.135</v>
      </c>
      <c r="L620" t="n">
        <v>0.767</v>
      </c>
      <c r="M620" t="n">
        <v>0.098</v>
      </c>
    </row>
    <row r="621" spans="1:13">
      <c r="A621" s="1">
        <f>HYPERLINK("http://www.twitter.com/NathanBLawrence/status/995293582469861377", "995293582469861377")</f>
        <v/>
      </c>
      <c r="B621" s="2" t="n">
        <v>43232.55851851852</v>
      </c>
      <c r="C621" t="n">
        <v>8</v>
      </c>
      <c r="D621" t="n">
        <v>4</v>
      </c>
      <c r="E621" t="s">
        <v>631</v>
      </c>
      <c r="F621" t="s"/>
      <c r="G621" t="s"/>
      <c r="H621" t="s"/>
      <c r="I621" t="s"/>
      <c r="J621" t="n">
        <v>-0.9184</v>
      </c>
      <c r="K621" t="n">
        <v>0.26</v>
      </c>
      <c r="L621" t="n">
        <v>0.74</v>
      </c>
      <c r="M621" t="n">
        <v>0</v>
      </c>
    </row>
    <row r="622" spans="1:13">
      <c r="A622" s="1">
        <f>HYPERLINK("http://www.twitter.com/NathanBLawrence/status/995293323710599170", "995293323710599170")</f>
        <v/>
      </c>
      <c r="B622" s="2" t="n">
        <v>43232.55780092593</v>
      </c>
      <c r="C622" t="n">
        <v>4</v>
      </c>
      <c r="D622" t="n">
        <v>3</v>
      </c>
      <c r="E622" t="s">
        <v>632</v>
      </c>
      <c r="F622" t="s"/>
      <c r="G622" t="s"/>
      <c r="H622" t="s"/>
      <c r="I622" t="s"/>
      <c r="J622" t="n">
        <v>-0.9184</v>
      </c>
      <c r="K622" t="n">
        <v>0.25</v>
      </c>
      <c r="L622" t="n">
        <v>0.75</v>
      </c>
      <c r="M622" t="n">
        <v>0</v>
      </c>
    </row>
    <row r="623" spans="1:13">
      <c r="A623" s="1">
        <f>HYPERLINK("http://www.twitter.com/NathanBLawrence/status/995290142603694080", "995290142603694080")</f>
        <v/>
      </c>
      <c r="B623" s="2" t="n">
        <v>43232.54902777778</v>
      </c>
      <c r="C623" t="n">
        <v>0</v>
      </c>
      <c r="D623" t="n">
        <v>1</v>
      </c>
      <c r="E623" t="s">
        <v>633</v>
      </c>
      <c r="F623" t="s"/>
      <c r="G623" t="s"/>
      <c r="H623" t="s"/>
      <c r="I623" t="s"/>
      <c r="J623" t="n">
        <v>-0.4215</v>
      </c>
      <c r="K623" t="n">
        <v>0.118</v>
      </c>
      <c r="L623" t="n">
        <v>0.882</v>
      </c>
      <c r="M623" t="n">
        <v>0</v>
      </c>
    </row>
    <row r="624" spans="1:13">
      <c r="A624" s="1">
        <f>HYPERLINK("http://www.twitter.com/NathanBLawrence/status/995286151861866496", "995286151861866496")</f>
        <v/>
      </c>
      <c r="B624" s="2" t="n">
        <v>43232.53800925926</v>
      </c>
      <c r="C624" t="n">
        <v>0</v>
      </c>
      <c r="D624" t="n">
        <v>0</v>
      </c>
      <c r="E624" t="s">
        <v>634</v>
      </c>
      <c r="F624">
        <f>HYPERLINK("http://pbs.twimg.com/media/Dc_3ec5VQAAtOQ9.jpg", "http://pbs.twimg.com/media/Dc_3ec5VQAAtOQ9.jpg")</f>
        <v/>
      </c>
      <c r="G624" t="s"/>
      <c r="H624" t="s"/>
      <c r="I624" t="s"/>
      <c r="J624" t="n">
        <v>0</v>
      </c>
      <c r="K624" t="n">
        <v>0</v>
      </c>
      <c r="L624" t="n">
        <v>1</v>
      </c>
      <c r="M624" t="n">
        <v>0</v>
      </c>
    </row>
    <row r="625" spans="1:13">
      <c r="A625" s="1">
        <f>HYPERLINK("http://www.twitter.com/NathanBLawrence/status/995285657454043137", "995285657454043137")</f>
        <v/>
      </c>
      <c r="B625" s="2" t="n">
        <v>43232.53664351852</v>
      </c>
      <c r="C625" t="n">
        <v>2</v>
      </c>
      <c r="D625" t="n">
        <v>0</v>
      </c>
      <c r="E625" t="s">
        <v>635</v>
      </c>
      <c r="F625" t="s"/>
      <c r="G625" t="s"/>
      <c r="H625" t="s"/>
      <c r="I625" t="s"/>
      <c r="J625" t="n">
        <v>-0.7959000000000001</v>
      </c>
      <c r="K625" t="n">
        <v>0.197</v>
      </c>
      <c r="L625" t="n">
        <v>0.803</v>
      </c>
      <c r="M625" t="n">
        <v>0</v>
      </c>
    </row>
    <row r="626" spans="1:13">
      <c r="A626" s="1">
        <f>HYPERLINK("http://www.twitter.com/NathanBLawrence/status/995282856518799360", "995282856518799360")</f>
        <v/>
      </c>
      <c r="B626" s="2" t="n">
        <v>43232.52892361111</v>
      </c>
      <c r="C626" t="n">
        <v>0</v>
      </c>
      <c r="D626" t="n">
        <v>0</v>
      </c>
      <c r="E626" t="s">
        <v>636</v>
      </c>
      <c r="F626" t="s"/>
      <c r="G626" t="s"/>
      <c r="H626" t="s"/>
      <c r="I626" t="s"/>
      <c r="J626" t="n">
        <v>-0.2023</v>
      </c>
      <c r="K626" t="n">
        <v>0.337</v>
      </c>
      <c r="L626" t="n">
        <v>0.408</v>
      </c>
      <c r="M626" t="n">
        <v>0.255</v>
      </c>
    </row>
    <row r="627" spans="1:13">
      <c r="A627" s="1">
        <f>HYPERLINK("http://www.twitter.com/NathanBLawrence/status/995277825572827137", "995277825572827137")</f>
        <v/>
      </c>
      <c r="B627" s="2" t="n">
        <v>43232.51503472222</v>
      </c>
      <c r="C627" t="n">
        <v>0</v>
      </c>
      <c r="D627" t="n">
        <v>0</v>
      </c>
      <c r="E627" t="s">
        <v>637</v>
      </c>
      <c r="F627" t="s"/>
      <c r="G627" t="s"/>
      <c r="H627" t="s"/>
      <c r="I627" t="s"/>
      <c r="J627" t="n">
        <v>0.296</v>
      </c>
      <c r="K627" t="n">
        <v>0</v>
      </c>
      <c r="L627" t="n">
        <v>0.82</v>
      </c>
      <c r="M627" t="n">
        <v>0.18</v>
      </c>
    </row>
    <row r="628" spans="1:13">
      <c r="A628" s="1">
        <f>HYPERLINK("http://www.twitter.com/NathanBLawrence/status/995276664270741504", "995276664270741504")</f>
        <v/>
      </c>
      <c r="B628" s="2" t="n">
        <v>43232.5118287037</v>
      </c>
      <c r="C628" t="n">
        <v>7</v>
      </c>
      <c r="D628" t="n">
        <v>4</v>
      </c>
      <c r="E628" t="s">
        <v>638</v>
      </c>
      <c r="F628" t="s"/>
      <c r="G628" t="s"/>
      <c r="H628" t="s"/>
      <c r="I628" t="s"/>
      <c r="J628" t="n">
        <v>-0.9508</v>
      </c>
      <c r="K628" t="n">
        <v>0.345</v>
      </c>
      <c r="L628" t="n">
        <v>0.655</v>
      </c>
      <c r="M628" t="n">
        <v>0</v>
      </c>
    </row>
    <row r="629" spans="1:13">
      <c r="A629" s="1">
        <f>HYPERLINK("http://www.twitter.com/NathanBLawrence/status/995162243624030208", "995162243624030208")</f>
        <v/>
      </c>
      <c r="B629" s="2" t="n">
        <v>43232.19608796296</v>
      </c>
      <c r="C629" t="n">
        <v>0</v>
      </c>
      <c r="D629" t="n">
        <v>0</v>
      </c>
      <c r="E629" t="s">
        <v>639</v>
      </c>
      <c r="F629">
        <f>HYPERLINK("http://pbs.twimg.com/media/Dc-GyEyUQAAbIyt.jpg", "http://pbs.twimg.com/media/Dc-GyEyUQAAbIyt.jpg")</f>
        <v/>
      </c>
      <c r="G629" t="s"/>
      <c r="H629" t="s"/>
      <c r="I629" t="s"/>
      <c r="J629" t="n">
        <v>0</v>
      </c>
      <c r="K629" t="n">
        <v>0</v>
      </c>
      <c r="L629" t="n">
        <v>1</v>
      </c>
      <c r="M629" t="n">
        <v>0</v>
      </c>
    </row>
    <row r="630" spans="1:13">
      <c r="A630" s="1">
        <f>HYPERLINK("http://www.twitter.com/NathanBLawrence/status/995160859612676096", "995160859612676096")</f>
        <v/>
      </c>
      <c r="B630" s="2" t="n">
        <v>43232.19226851852</v>
      </c>
      <c r="C630" t="n">
        <v>1</v>
      </c>
      <c r="D630" t="n">
        <v>0</v>
      </c>
      <c r="E630" t="s">
        <v>640</v>
      </c>
      <c r="F630" t="s"/>
      <c r="G630" t="s"/>
      <c r="H630" t="s"/>
      <c r="I630" t="s"/>
      <c r="J630" t="n">
        <v>0.4404</v>
      </c>
      <c r="K630" t="n">
        <v>0</v>
      </c>
      <c r="L630" t="n">
        <v>0.861</v>
      </c>
      <c r="M630" t="n">
        <v>0.139</v>
      </c>
    </row>
    <row r="631" spans="1:13">
      <c r="A631" s="1">
        <f>HYPERLINK("http://www.twitter.com/NathanBLawrence/status/995160075575570432", "995160075575570432")</f>
        <v/>
      </c>
      <c r="B631" s="2" t="n">
        <v>43232.19010416666</v>
      </c>
      <c r="C631" t="n">
        <v>3</v>
      </c>
      <c r="D631" t="n">
        <v>0</v>
      </c>
      <c r="E631" t="s">
        <v>641</v>
      </c>
      <c r="F631">
        <f>HYPERLINK("http://pbs.twimg.com/media/Dc-Ez2jUwAA2cXV.jpg", "http://pbs.twimg.com/media/Dc-Ez2jUwAA2cXV.jpg")</f>
        <v/>
      </c>
      <c r="G631" t="s"/>
      <c r="H631" t="s"/>
      <c r="I631" t="s"/>
      <c r="J631" t="n">
        <v>0</v>
      </c>
      <c r="K631" t="n">
        <v>0</v>
      </c>
      <c r="L631" t="n">
        <v>1</v>
      </c>
      <c r="M631" t="n">
        <v>0</v>
      </c>
    </row>
    <row r="632" spans="1:13">
      <c r="A632" s="1">
        <f>HYPERLINK("http://www.twitter.com/NathanBLawrence/status/995144786435862529", "995144786435862529")</f>
        <v/>
      </c>
      <c r="B632" s="2" t="n">
        <v>43232.14791666667</v>
      </c>
      <c r="C632" t="n">
        <v>1</v>
      </c>
      <c r="D632" t="n">
        <v>0</v>
      </c>
      <c r="E632" t="s">
        <v>642</v>
      </c>
      <c r="F632" t="s"/>
      <c r="G632" t="s"/>
      <c r="H632" t="s"/>
      <c r="I632" t="s"/>
      <c r="J632" t="n">
        <v>0.4215</v>
      </c>
      <c r="K632" t="n">
        <v>0</v>
      </c>
      <c r="L632" t="n">
        <v>0.517</v>
      </c>
      <c r="M632" t="n">
        <v>0.483</v>
      </c>
    </row>
    <row r="633" spans="1:13">
      <c r="A633" s="1">
        <f>HYPERLINK("http://www.twitter.com/NathanBLawrence/status/995135658900574208", "995135658900574208")</f>
        <v/>
      </c>
      <c r="B633" s="2" t="n">
        <v>43232.12273148148</v>
      </c>
      <c r="C633" t="n">
        <v>1</v>
      </c>
      <c r="D633" t="n">
        <v>0</v>
      </c>
      <c r="E633" t="s">
        <v>643</v>
      </c>
      <c r="F633" t="s"/>
      <c r="G633" t="s"/>
      <c r="H633" t="s"/>
      <c r="I633" t="s"/>
      <c r="J633" t="n">
        <v>-0.128</v>
      </c>
      <c r="K633" t="n">
        <v>0.183</v>
      </c>
      <c r="L633" t="n">
        <v>0.704</v>
      </c>
      <c r="M633" t="n">
        <v>0.113</v>
      </c>
    </row>
    <row r="634" spans="1:13">
      <c r="A634" s="1">
        <f>HYPERLINK("http://www.twitter.com/NathanBLawrence/status/995127684039692288", "995127684039692288")</f>
        <v/>
      </c>
      <c r="B634" s="2" t="n">
        <v>43232.10072916667</v>
      </c>
      <c r="C634" t="n">
        <v>1</v>
      </c>
      <c r="D634" t="n">
        <v>1</v>
      </c>
      <c r="E634" t="s">
        <v>644</v>
      </c>
      <c r="F634" t="s"/>
      <c r="G634" t="s"/>
      <c r="H634" t="s"/>
      <c r="I634" t="s"/>
      <c r="J634" t="n">
        <v>-0.296</v>
      </c>
      <c r="K634" t="n">
        <v>0.058</v>
      </c>
      <c r="L634" t="n">
        <v>0.9419999999999999</v>
      </c>
      <c r="M634" t="n">
        <v>0</v>
      </c>
    </row>
    <row r="635" spans="1:13">
      <c r="A635" s="1">
        <f>HYPERLINK("http://www.twitter.com/NathanBLawrence/status/995119634771783681", "995119634771783681")</f>
        <v/>
      </c>
      <c r="B635" s="2" t="n">
        <v>43232.07851851852</v>
      </c>
      <c r="C635" t="n">
        <v>0</v>
      </c>
      <c r="D635" t="n">
        <v>14</v>
      </c>
      <c r="E635" t="s">
        <v>645</v>
      </c>
      <c r="F635">
        <f>HYPERLINK("http://pbs.twimg.com/media/Dc8-wM3XUAUNJnJ.jpg", "http://pbs.twimg.com/media/Dc8-wM3XUAUNJnJ.jpg")</f>
        <v/>
      </c>
      <c r="G635" t="s"/>
      <c r="H635" t="s"/>
      <c r="I635" t="s"/>
      <c r="J635" t="n">
        <v>-0.3182</v>
      </c>
      <c r="K635" t="n">
        <v>0.108</v>
      </c>
      <c r="L635" t="n">
        <v>0.892</v>
      </c>
      <c r="M635" t="n">
        <v>0</v>
      </c>
    </row>
    <row r="636" spans="1:13">
      <c r="A636" s="1">
        <f>HYPERLINK("http://www.twitter.com/NathanBLawrence/status/995116497684058112", "995116497684058112")</f>
        <v/>
      </c>
      <c r="B636" s="2" t="n">
        <v>43232.06986111111</v>
      </c>
      <c r="C636" t="n">
        <v>0</v>
      </c>
      <c r="D636" t="n">
        <v>0</v>
      </c>
      <c r="E636" t="s">
        <v>646</v>
      </c>
      <c r="F636" t="s"/>
      <c r="G636" t="s"/>
      <c r="H636" t="s"/>
      <c r="I636" t="s"/>
      <c r="J636" t="n">
        <v>0.6486</v>
      </c>
      <c r="K636" t="n">
        <v>0.188</v>
      </c>
      <c r="L636" t="n">
        <v>0.336</v>
      </c>
      <c r="M636" t="n">
        <v>0.477</v>
      </c>
    </row>
    <row r="637" spans="1:13">
      <c r="A637" s="1">
        <f>HYPERLINK("http://www.twitter.com/NathanBLawrence/status/995116124764336128", "995116124764336128")</f>
        <v/>
      </c>
      <c r="B637" s="2" t="n">
        <v>43232.06883101852</v>
      </c>
      <c r="C637" t="n">
        <v>1</v>
      </c>
      <c r="D637" t="n">
        <v>0</v>
      </c>
      <c r="E637" t="s">
        <v>647</v>
      </c>
      <c r="F637" t="s"/>
      <c r="G637" t="s"/>
      <c r="H637" t="s"/>
      <c r="I637" t="s"/>
      <c r="J637" t="n">
        <v>0</v>
      </c>
      <c r="K637" t="n">
        <v>0</v>
      </c>
      <c r="L637" t="n">
        <v>1</v>
      </c>
      <c r="M637" t="n">
        <v>0</v>
      </c>
    </row>
    <row r="638" spans="1:13">
      <c r="A638" s="1">
        <f>HYPERLINK("http://www.twitter.com/NathanBLawrence/status/995115270535634944", "995115270535634944")</f>
        <v/>
      </c>
      <c r="B638" s="2" t="n">
        <v>43232.0664699074</v>
      </c>
      <c r="C638" t="n">
        <v>11</v>
      </c>
      <c r="D638" t="n">
        <v>3</v>
      </c>
      <c r="E638" t="s">
        <v>648</v>
      </c>
      <c r="F638" t="s"/>
      <c r="G638" t="s"/>
      <c r="H638" t="s"/>
      <c r="I638" t="s"/>
      <c r="J638" t="n">
        <v>-0.3612</v>
      </c>
      <c r="K638" t="n">
        <v>0.08799999999999999</v>
      </c>
      <c r="L638" t="n">
        <v>0.912</v>
      </c>
      <c r="M638" t="n">
        <v>0</v>
      </c>
    </row>
    <row r="639" spans="1:13">
      <c r="A639" s="1">
        <f>HYPERLINK("http://www.twitter.com/NathanBLawrence/status/995067091593162757", "995067091593162757")</f>
        <v/>
      </c>
      <c r="B639" s="2" t="n">
        <v>43231.93351851852</v>
      </c>
      <c r="C639" t="n">
        <v>2</v>
      </c>
      <c r="D639" t="n">
        <v>0</v>
      </c>
      <c r="E639" t="s">
        <v>649</v>
      </c>
      <c r="F639" t="s"/>
      <c r="G639" t="s"/>
      <c r="H639" t="s"/>
      <c r="I639" t="s"/>
      <c r="J639" t="n">
        <v>-0.5266999999999999</v>
      </c>
      <c r="K639" t="n">
        <v>0.227</v>
      </c>
      <c r="L639" t="n">
        <v>0.773</v>
      </c>
      <c r="M639" t="n">
        <v>0</v>
      </c>
    </row>
    <row r="640" spans="1:13">
      <c r="A640" s="1">
        <f>HYPERLINK("http://www.twitter.com/NathanBLawrence/status/995066805210243072", "995066805210243072")</f>
        <v/>
      </c>
      <c r="B640" s="2" t="n">
        <v>43231.93273148148</v>
      </c>
      <c r="C640" t="n">
        <v>0</v>
      </c>
      <c r="D640" t="n">
        <v>5</v>
      </c>
      <c r="E640" t="s">
        <v>650</v>
      </c>
      <c r="F640" t="s"/>
      <c r="G640" t="s"/>
      <c r="H640" t="s"/>
      <c r="I640" t="s"/>
      <c r="J640" t="n">
        <v>-0.5266999999999999</v>
      </c>
      <c r="K640" t="n">
        <v>0.18</v>
      </c>
      <c r="L640" t="n">
        <v>0.82</v>
      </c>
      <c r="M640" t="n">
        <v>0</v>
      </c>
    </row>
    <row r="641" spans="1:13">
      <c r="A641" s="1">
        <f>HYPERLINK("http://www.twitter.com/NathanBLawrence/status/995064340960235520", "995064340960235520")</f>
        <v/>
      </c>
      <c r="B641" s="2" t="n">
        <v>43231.92592592593</v>
      </c>
      <c r="C641" t="n">
        <v>4</v>
      </c>
      <c r="D641" t="n">
        <v>0</v>
      </c>
      <c r="E641" t="s">
        <v>651</v>
      </c>
      <c r="F641" t="s"/>
      <c r="G641" t="s"/>
      <c r="H641" t="s"/>
      <c r="I641" t="s"/>
      <c r="J641" t="n">
        <v>0</v>
      </c>
      <c r="K641" t="n">
        <v>0</v>
      </c>
      <c r="L641" t="n">
        <v>1</v>
      </c>
      <c r="M641" t="n">
        <v>0</v>
      </c>
    </row>
    <row r="642" spans="1:13">
      <c r="A642" s="1">
        <f>HYPERLINK("http://www.twitter.com/NathanBLawrence/status/995055918881607680", "995055918881607680")</f>
        <v/>
      </c>
      <c r="B642" s="2" t="n">
        <v>43231.90268518519</v>
      </c>
      <c r="C642" t="n">
        <v>0</v>
      </c>
      <c r="D642" t="n">
        <v>5</v>
      </c>
      <c r="E642" t="s">
        <v>652</v>
      </c>
      <c r="F642" t="s"/>
      <c r="G642" t="s"/>
      <c r="H642" t="s"/>
      <c r="I642" t="s"/>
      <c r="J642" t="n">
        <v>-0.4215</v>
      </c>
      <c r="K642" t="n">
        <v>0.275</v>
      </c>
      <c r="L642" t="n">
        <v>0.725</v>
      </c>
      <c r="M642" t="n">
        <v>0</v>
      </c>
    </row>
    <row r="643" spans="1:13">
      <c r="A643" s="1">
        <f>HYPERLINK("http://www.twitter.com/NathanBLawrence/status/995048361391779840", "995048361391779840")</f>
        <v/>
      </c>
      <c r="B643" s="2" t="n">
        <v>43231.88184027778</v>
      </c>
      <c r="C643" t="n">
        <v>0</v>
      </c>
      <c r="D643" t="n">
        <v>0</v>
      </c>
      <c r="E643" t="s">
        <v>653</v>
      </c>
      <c r="F643" t="s"/>
      <c r="G643" t="s"/>
      <c r="H643" t="s"/>
      <c r="I643" t="s"/>
      <c r="J643" t="n">
        <v>-0.3612</v>
      </c>
      <c r="K643" t="n">
        <v>0.263</v>
      </c>
      <c r="L643" t="n">
        <v>0.737</v>
      </c>
      <c r="M643" t="n">
        <v>0</v>
      </c>
    </row>
    <row r="644" spans="1:13">
      <c r="A644" s="1">
        <f>HYPERLINK("http://www.twitter.com/NathanBLawrence/status/995045892368551936", "995045892368551936")</f>
        <v/>
      </c>
      <c r="B644" s="2" t="n">
        <v>43231.87502314815</v>
      </c>
      <c r="C644" t="n">
        <v>1</v>
      </c>
      <c r="D644" t="n">
        <v>0</v>
      </c>
      <c r="E644" t="s">
        <v>654</v>
      </c>
      <c r="F644" t="s"/>
      <c r="G644" t="s"/>
      <c r="H644" t="s"/>
      <c r="I644" t="s"/>
      <c r="J644" t="n">
        <v>0.0258</v>
      </c>
      <c r="K644" t="n">
        <v>0.173</v>
      </c>
      <c r="L644" t="n">
        <v>0.649</v>
      </c>
      <c r="M644" t="n">
        <v>0.178</v>
      </c>
    </row>
    <row r="645" spans="1:13">
      <c r="A645" s="1">
        <f>HYPERLINK("http://www.twitter.com/NathanBLawrence/status/995026030720110592", "995026030720110592")</f>
        <v/>
      </c>
      <c r="B645" s="2" t="n">
        <v>43231.82021990741</v>
      </c>
      <c r="C645" t="n">
        <v>2</v>
      </c>
      <c r="D645" t="n">
        <v>1</v>
      </c>
      <c r="E645" t="s">
        <v>655</v>
      </c>
      <c r="F645" t="s"/>
      <c r="G645" t="s"/>
      <c r="H645" t="s"/>
      <c r="I645" t="s"/>
      <c r="J645" t="n">
        <v>-0.3612</v>
      </c>
      <c r="K645" t="n">
        <v>0.06</v>
      </c>
      <c r="L645" t="n">
        <v>0.9399999999999999</v>
      </c>
      <c r="M645" t="n">
        <v>0</v>
      </c>
    </row>
    <row r="646" spans="1:13">
      <c r="A646" s="1">
        <f>HYPERLINK("http://www.twitter.com/NathanBLawrence/status/995021466788708352", "995021466788708352")</f>
        <v/>
      </c>
      <c r="B646" s="2" t="n">
        <v>43231.80761574074</v>
      </c>
      <c r="C646" t="n">
        <v>4</v>
      </c>
      <c r="D646" t="n">
        <v>1</v>
      </c>
      <c r="E646" t="s">
        <v>656</v>
      </c>
      <c r="F646" t="s"/>
      <c r="G646" t="s"/>
      <c r="H646" t="s"/>
      <c r="I646" t="s"/>
      <c r="J646" t="n">
        <v>-0.1779</v>
      </c>
      <c r="K646" t="n">
        <v>0.211</v>
      </c>
      <c r="L646" t="n">
        <v>0.621</v>
      </c>
      <c r="M646" t="n">
        <v>0.168</v>
      </c>
    </row>
    <row r="647" spans="1:13">
      <c r="A647" s="1">
        <f>HYPERLINK("http://www.twitter.com/NathanBLawrence/status/995020049952985089", "995020049952985089")</f>
        <v/>
      </c>
      <c r="B647" s="2" t="n">
        <v>43231.80371527778</v>
      </c>
      <c r="C647" t="n">
        <v>0</v>
      </c>
      <c r="D647" t="n">
        <v>0</v>
      </c>
      <c r="E647" t="s">
        <v>657</v>
      </c>
      <c r="F647" t="s"/>
      <c r="G647" t="s"/>
      <c r="H647" t="s"/>
      <c r="I647" t="s"/>
      <c r="J647" t="n">
        <v>-0.6597</v>
      </c>
      <c r="K647" t="n">
        <v>0.308</v>
      </c>
      <c r="L647" t="n">
        <v>0.58</v>
      </c>
      <c r="M647" t="n">
        <v>0.112</v>
      </c>
    </row>
    <row r="648" spans="1:13">
      <c r="A648" s="1">
        <f>HYPERLINK("http://www.twitter.com/NathanBLawrence/status/994984782302973954", "994984782302973954")</f>
        <v/>
      </c>
      <c r="B648" s="2" t="n">
        <v>43231.70638888889</v>
      </c>
      <c r="C648" t="n">
        <v>11</v>
      </c>
      <c r="D648" t="n">
        <v>4</v>
      </c>
      <c r="E648" t="s">
        <v>658</v>
      </c>
      <c r="F648">
        <f>HYPERLINK("http://pbs.twimg.com/media/Dc7lYczXUAAmfC4.jpg", "http://pbs.twimg.com/media/Dc7lYczXUAAmfC4.jpg")</f>
        <v/>
      </c>
      <c r="G648" t="s"/>
      <c r="H648" t="s"/>
      <c r="I648" t="s"/>
      <c r="J648" t="n">
        <v>0.1513</v>
      </c>
      <c r="K648" t="n">
        <v>0.138</v>
      </c>
      <c r="L648" t="n">
        <v>0.6879999999999999</v>
      </c>
      <c r="M648" t="n">
        <v>0.175</v>
      </c>
    </row>
    <row r="649" spans="1:13">
      <c r="A649" s="1">
        <f>HYPERLINK("http://www.twitter.com/NathanBLawrence/status/994982294019600384", "994982294019600384")</f>
        <v/>
      </c>
      <c r="B649" s="2" t="n">
        <v>43231.69952546297</v>
      </c>
      <c r="C649" t="n">
        <v>0</v>
      </c>
      <c r="D649" t="n">
        <v>0</v>
      </c>
      <c r="E649" t="s">
        <v>659</v>
      </c>
      <c r="F649" t="s"/>
      <c r="G649" t="s"/>
      <c r="H649" t="s"/>
      <c r="I649" t="s"/>
      <c r="J649" t="n">
        <v>0.3612</v>
      </c>
      <c r="K649" t="n">
        <v>0</v>
      </c>
      <c r="L649" t="n">
        <v>0.839</v>
      </c>
      <c r="M649" t="n">
        <v>0.161</v>
      </c>
    </row>
    <row r="650" spans="1:13">
      <c r="A650" s="1">
        <f>HYPERLINK("http://www.twitter.com/NathanBLawrence/status/994923359313039365", "994923359313039365")</f>
        <v/>
      </c>
      <c r="B650" s="2" t="n">
        <v>43231.53689814815</v>
      </c>
      <c r="C650" t="n">
        <v>0</v>
      </c>
      <c r="D650" t="n">
        <v>0</v>
      </c>
      <c r="E650" t="s">
        <v>660</v>
      </c>
      <c r="F650" t="s"/>
      <c r="G650" t="s"/>
      <c r="H650" t="s"/>
      <c r="I650" t="s"/>
      <c r="J650" t="n">
        <v>-0.7717000000000001</v>
      </c>
      <c r="K650" t="n">
        <v>0.194</v>
      </c>
      <c r="L650" t="n">
        <v>0.724</v>
      </c>
      <c r="M650" t="n">
        <v>0.082</v>
      </c>
    </row>
    <row r="651" spans="1:13">
      <c r="A651" s="1">
        <f>HYPERLINK("http://www.twitter.com/NathanBLawrence/status/994921024624975872", "994921024624975872")</f>
        <v/>
      </c>
      <c r="B651" s="2" t="n">
        <v>43231.53045138889</v>
      </c>
      <c r="C651" t="n">
        <v>18</v>
      </c>
      <c r="D651" t="n">
        <v>14</v>
      </c>
      <c r="E651" t="s">
        <v>661</v>
      </c>
      <c r="F651" t="s"/>
      <c r="G651" t="s"/>
      <c r="H651" t="s"/>
      <c r="I651" t="s"/>
      <c r="J651" t="n">
        <v>-0.5719</v>
      </c>
      <c r="K651" t="n">
        <v>0.128</v>
      </c>
      <c r="L651" t="n">
        <v>0.8080000000000001</v>
      </c>
      <c r="M651" t="n">
        <v>0.064</v>
      </c>
    </row>
    <row r="652" spans="1:13">
      <c r="A652" s="1">
        <f>HYPERLINK("http://www.twitter.com/NathanBLawrence/status/994751140922314753", "994751140922314753")</f>
        <v/>
      </c>
      <c r="B652" s="2" t="n">
        <v>43231.06166666667</v>
      </c>
      <c r="C652" t="n">
        <v>0</v>
      </c>
      <c r="D652" t="n">
        <v>0</v>
      </c>
      <c r="E652" t="s">
        <v>662</v>
      </c>
      <c r="F652" t="s"/>
      <c r="G652" t="s"/>
      <c r="H652" t="s"/>
      <c r="I652" t="s"/>
      <c r="J652" t="n">
        <v>-0.3182</v>
      </c>
      <c r="K652" t="n">
        <v>0.277</v>
      </c>
      <c r="L652" t="n">
        <v>0.723</v>
      </c>
      <c r="M652" t="n">
        <v>0</v>
      </c>
    </row>
    <row r="653" spans="1:13">
      <c r="A653" s="1">
        <f>HYPERLINK("http://www.twitter.com/NathanBLawrence/status/994750563609964544", "994750563609964544")</f>
        <v/>
      </c>
      <c r="B653" s="2" t="n">
        <v>43231.06006944444</v>
      </c>
      <c r="C653" t="n">
        <v>0</v>
      </c>
      <c r="D653" t="n">
        <v>8</v>
      </c>
      <c r="E653" t="s">
        <v>663</v>
      </c>
      <c r="F653" t="s"/>
      <c r="G653" t="s"/>
      <c r="H653" t="s"/>
      <c r="I653" t="s"/>
      <c r="J653" t="n">
        <v>0.4019</v>
      </c>
      <c r="K653" t="n">
        <v>0</v>
      </c>
      <c r="L653" t="n">
        <v>0.821</v>
      </c>
      <c r="M653" t="n">
        <v>0.179</v>
      </c>
    </row>
    <row r="654" spans="1:13">
      <c r="A654" s="1">
        <f>HYPERLINK("http://www.twitter.com/NathanBLawrence/status/994750213838557184", "994750213838557184")</f>
        <v/>
      </c>
      <c r="B654" s="2" t="n">
        <v>43231.0591087963</v>
      </c>
      <c r="C654" t="n">
        <v>0</v>
      </c>
      <c r="D654" t="n">
        <v>3</v>
      </c>
      <c r="E654" t="s">
        <v>664</v>
      </c>
      <c r="F654" t="s"/>
      <c r="G654" t="s"/>
      <c r="H654" t="s"/>
      <c r="I654" t="s"/>
      <c r="J654" t="n">
        <v>-0.5255</v>
      </c>
      <c r="K654" t="n">
        <v>0.159</v>
      </c>
      <c r="L654" t="n">
        <v>0.841</v>
      </c>
      <c r="M654" t="n">
        <v>0</v>
      </c>
    </row>
    <row r="655" spans="1:13">
      <c r="A655" s="1">
        <f>HYPERLINK("http://www.twitter.com/NathanBLawrence/status/994750088646885376", "994750088646885376")</f>
        <v/>
      </c>
      <c r="B655" s="2" t="n">
        <v>43231.05876157407</v>
      </c>
      <c r="C655" t="n">
        <v>0</v>
      </c>
      <c r="D655" t="n">
        <v>0</v>
      </c>
      <c r="E655" t="s">
        <v>665</v>
      </c>
      <c r="F655" t="s"/>
      <c r="G655" t="s"/>
      <c r="H655" t="s"/>
      <c r="I655" t="s"/>
      <c r="J655" t="n">
        <v>0</v>
      </c>
      <c r="K655" t="n">
        <v>0</v>
      </c>
      <c r="L655" t="n">
        <v>1</v>
      </c>
      <c r="M655" t="n">
        <v>0</v>
      </c>
    </row>
    <row r="656" spans="1:13">
      <c r="A656" s="1">
        <f>HYPERLINK("http://www.twitter.com/NathanBLawrence/status/994746756008153094", "994746756008153094")</f>
        <v/>
      </c>
      <c r="B656" s="2" t="n">
        <v>43231.04956018519</v>
      </c>
      <c r="C656" t="n">
        <v>0</v>
      </c>
      <c r="D656" t="n">
        <v>0</v>
      </c>
      <c r="E656" t="s">
        <v>666</v>
      </c>
      <c r="F656" t="s"/>
      <c r="G656" t="s"/>
      <c r="H656" t="s"/>
      <c r="I656" t="s"/>
      <c r="J656" t="n">
        <v>-0.5242</v>
      </c>
      <c r="K656" t="n">
        <v>0.102</v>
      </c>
      <c r="L656" t="n">
        <v>0.861</v>
      </c>
      <c r="M656" t="n">
        <v>0.036</v>
      </c>
    </row>
    <row r="657" spans="1:13">
      <c r="A657" s="1">
        <f>HYPERLINK("http://www.twitter.com/NathanBLawrence/status/994744373492543490", "994744373492543490")</f>
        <v/>
      </c>
      <c r="B657" s="2" t="n">
        <v>43231.04298611111</v>
      </c>
      <c r="C657" t="n">
        <v>1</v>
      </c>
      <c r="D657" t="n">
        <v>0</v>
      </c>
      <c r="E657" t="s">
        <v>667</v>
      </c>
      <c r="F657" t="s"/>
      <c r="G657" t="s"/>
      <c r="H657" t="s"/>
      <c r="I657" t="s"/>
      <c r="J657" t="n">
        <v>0</v>
      </c>
      <c r="K657" t="n">
        <v>0</v>
      </c>
      <c r="L657" t="n">
        <v>1</v>
      </c>
      <c r="M657" t="n">
        <v>0</v>
      </c>
    </row>
    <row r="658" spans="1:13">
      <c r="A658" s="1">
        <f>HYPERLINK("http://www.twitter.com/NathanBLawrence/status/994717267144343552", "994717267144343552")</f>
        <v/>
      </c>
      <c r="B658" s="2" t="n">
        <v>43230.96819444445</v>
      </c>
      <c r="C658" t="n">
        <v>0</v>
      </c>
      <c r="D658" t="n">
        <v>6</v>
      </c>
      <c r="E658" t="s">
        <v>668</v>
      </c>
      <c r="F658">
        <f>HYPERLINK("http://pbs.twimg.com/media/Dc3wkqKX0AA6x1c.jpg", "http://pbs.twimg.com/media/Dc3wkqKX0AA6x1c.jpg")</f>
        <v/>
      </c>
      <c r="G658" t="s"/>
      <c r="H658" t="s"/>
      <c r="I658" t="s"/>
      <c r="J658" t="n">
        <v>-0.4199</v>
      </c>
      <c r="K658" t="n">
        <v>0.141</v>
      </c>
      <c r="L658" t="n">
        <v>0.859</v>
      </c>
      <c r="M658" t="n">
        <v>0</v>
      </c>
    </row>
    <row r="659" spans="1:13">
      <c r="A659" s="1">
        <f>HYPERLINK("http://www.twitter.com/NathanBLawrence/status/994716817376636928", "994716817376636928")</f>
        <v/>
      </c>
      <c r="B659" s="2" t="n">
        <v>43230.96694444444</v>
      </c>
      <c r="C659" t="n">
        <v>0</v>
      </c>
      <c r="D659" t="n">
        <v>5</v>
      </c>
      <c r="E659" t="s">
        <v>669</v>
      </c>
      <c r="F659">
        <f>HYPERLINK("http://pbs.twimg.com/media/Dc2-QphWkAEXw6f.jpg", "http://pbs.twimg.com/media/Dc2-QphWkAEXw6f.jpg")</f>
        <v/>
      </c>
      <c r="G659" t="s"/>
      <c r="H659" t="s"/>
      <c r="I659" t="s"/>
      <c r="J659" t="n">
        <v>0</v>
      </c>
      <c r="K659" t="n">
        <v>0</v>
      </c>
      <c r="L659" t="n">
        <v>1</v>
      </c>
      <c r="M659" t="n">
        <v>0</v>
      </c>
    </row>
    <row r="660" spans="1:13">
      <c r="A660" s="1">
        <f>HYPERLINK("http://www.twitter.com/NathanBLawrence/status/994704068705685505", "994704068705685505")</f>
        <v/>
      </c>
      <c r="B660" s="2" t="n">
        <v>43230.93177083333</v>
      </c>
      <c r="C660" t="n">
        <v>0</v>
      </c>
      <c r="D660" t="n">
        <v>0</v>
      </c>
      <c r="E660" t="s">
        <v>670</v>
      </c>
      <c r="F660" t="s"/>
      <c r="G660" t="s"/>
      <c r="H660" t="s"/>
      <c r="I660" t="s"/>
      <c r="J660" t="n">
        <v>0</v>
      </c>
      <c r="K660" t="n">
        <v>0</v>
      </c>
      <c r="L660" t="n">
        <v>1</v>
      </c>
      <c r="M660" t="n">
        <v>0</v>
      </c>
    </row>
    <row r="661" spans="1:13">
      <c r="A661" s="1">
        <f>HYPERLINK("http://www.twitter.com/NathanBLawrence/status/994703361927778306", "994703361927778306")</f>
        <v/>
      </c>
      <c r="B661" s="2" t="n">
        <v>43230.92981481482</v>
      </c>
      <c r="C661" t="n">
        <v>1</v>
      </c>
      <c r="D661" t="n">
        <v>0</v>
      </c>
      <c r="E661" t="s">
        <v>671</v>
      </c>
      <c r="F661">
        <f>HYPERLINK("http://pbs.twimg.com/media/Dc3lblYVAAA4rU1.jpg", "http://pbs.twimg.com/media/Dc3lblYVAAA4rU1.jpg")</f>
        <v/>
      </c>
      <c r="G661" t="s"/>
      <c r="H661" t="s"/>
      <c r="I661" t="s"/>
      <c r="J661" t="n">
        <v>-0.4404</v>
      </c>
      <c r="K661" t="n">
        <v>0.163</v>
      </c>
      <c r="L661" t="n">
        <v>0.837</v>
      </c>
      <c r="M661" t="n">
        <v>0</v>
      </c>
    </row>
    <row r="662" spans="1:13">
      <c r="A662" s="1">
        <f>HYPERLINK("http://www.twitter.com/NathanBLawrence/status/994702560517935104", "994702560517935104")</f>
        <v/>
      </c>
      <c r="B662" s="2" t="n">
        <v>43230.92760416667</v>
      </c>
      <c r="C662" t="n">
        <v>2</v>
      </c>
      <c r="D662" t="n">
        <v>0</v>
      </c>
      <c r="E662" t="s">
        <v>672</v>
      </c>
      <c r="F662" t="s"/>
      <c r="G662" t="s"/>
      <c r="H662" t="s"/>
      <c r="I662" t="s"/>
      <c r="J662" t="n">
        <v>0</v>
      </c>
      <c r="K662" t="n">
        <v>0</v>
      </c>
      <c r="L662" t="n">
        <v>1</v>
      </c>
      <c r="M662" t="n">
        <v>0</v>
      </c>
    </row>
    <row r="663" spans="1:13">
      <c r="A663" s="1">
        <f>HYPERLINK("http://www.twitter.com/NathanBLawrence/status/994702269043093505", "994702269043093505")</f>
        <v/>
      </c>
      <c r="B663" s="2" t="n">
        <v>43230.92680555556</v>
      </c>
      <c r="C663" t="n">
        <v>0</v>
      </c>
      <c r="D663" t="n">
        <v>10</v>
      </c>
      <c r="E663" t="s">
        <v>673</v>
      </c>
      <c r="F663" t="s"/>
      <c r="G663" t="s"/>
      <c r="H663" t="s"/>
      <c r="I663" t="s"/>
      <c r="J663" t="n">
        <v>-0.6908</v>
      </c>
      <c r="K663" t="n">
        <v>0.183</v>
      </c>
      <c r="L663" t="n">
        <v>0.8169999999999999</v>
      </c>
      <c r="M663" t="n">
        <v>0</v>
      </c>
    </row>
    <row r="664" spans="1:13">
      <c r="A664" s="1">
        <f>HYPERLINK("http://www.twitter.com/NathanBLawrence/status/994702254505590784", "994702254505590784")</f>
        <v/>
      </c>
      <c r="B664" s="2" t="n">
        <v>43230.92675925926</v>
      </c>
      <c r="C664" t="n">
        <v>0</v>
      </c>
      <c r="D664" t="n">
        <v>0</v>
      </c>
      <c r="E664" t="s">
        <v>674</v>
      </c>
      <c r="F664" t="s"/>
      <c r="G664" t="s"/>
      <c r="H664" t="s"/>
      <c r="I664" t="s"/>
      <c r="J664" t="n">
        <v>-0.3818</v>
      </c>
      <c r="K664" t="n">
        <v>0.217</v>
      </c>
      <c r="L664" t="n">
        <v>0.783</v>
      </c>
      <c r="M664" t="n">
        <v>0</v>
      </c>
    </row>
    <row r="665" spans="1:13">
      <c r="A665" s="1">
        <f>HYPERLINK("http://www.twitter.com/NathanBLawrence/status/994701796806397953", "994701796806397953")</f>
        <v/>
      </c>
      <c r="B665" s="2" t="n">
        <v>43230.92549768519</v>
      </c>
      <c r="C665" t="n">
        <v>1</v>
      </c>
      <c r="D665" t="n">
        <v>0</v>
      </c>
      <c r="E665" t="s">
        <v>675</v>
      </c>
      <c r="F665" t="s"/>
      <c r="G665" t="s"/>
      <c r="H665" t="s"/>
      <c r="I665" t="s"/>
      <c r="J665" t="n">
        <v>0</v>
      </c>
      <c r="K665" t="n">
        <v>0</v>
      </c>
      <c r="L665" t="n">
        <v>1</v>
      </c>
      <c r="M665" t="n">
        <v>0</v>
      </c>
    </row>
    <row r="666" spans="1:13">
      <c r="A666" s="1">
        <f>HYPERLINK("http://www.twitter.com/NathanBLawrence/status/994699849504346112", "994699849504346112")</f>
        <v/>
      </c>
      <c r="B666" s="2" t="n">
        <v>43230.92012731481</v>
      </c>
      <c r="C666" t="n">
        <v>4</v>
      </c>
      <c r="D666" t="n">
        <v>2</v>
      </c>
      <c r="E666" t="s">
        <v>676</v>
      </c>
      <c r="F666" t="s"/>
      <c r="G666" t="s"/>
      <c r="H666" t="s"/>
      <c r="I666" t="s"/>
      <c r="J666" t="n">
        <v>0</v>
      </c>
      <c r="K666" t="n">
        <v>0</v>
      </c>
      <c r="L666" t="n">
        <v>1</v>
      </c>
      <c r="M666" t="n">
        <v>0</v>
      </c>
    </row>
    <row r="667" spans="1:13">
      <c r="A667" s="1">
        <f>HYPERLINK("http://www.twitter.com/NathanBLawrence/status/994698348794994689", "994698348794994689")</f>
        <v/>
      </c>
      <c r="B667" s="2" t="n">
        <v>43230.91598379629</v>
      </c>
      <c r="C667" t="n">
        <v>1</v>
      </c>
      <c r="D667" t="n">
        <v>0</v>
      </c>
      <c r="E667" t="s">
        <v>677</v>
      </c>
      <c r="F667">
        <f>HYPERLINK("http://pbs.twimg.com/media/Dc3g3U8V4AAV4-W.jpg", "http://pbs.twimg.com/media/Dc3g3U8V4AAV4-W.jpg")</f>
        <v/>
      </c>
      <c r="G667" t="s"/>
      <c r="H667" t="s"/>
      <c r="I667" t="s"/>
      <c r="J667" t="n">
        <v>0.4791</v>
      </c>
      <c r="K667" t="n">
        <v>0</v>
      </c>
      <c r="L667" t="n">
        <v>0.76</v>
      </c>
      <c r="M667" t="n">
        <v>0.24</v>
      </c>
    </row>
    <row r="668" spans="1:13">
      <c r="A668" s="1">
        <f>HYPERLINK("http://www.twitter.com/NathanBLawrence/status/994698097614884864", "994698097614884864")</f>
        <v/>
      </c>
      <c r="B668" s="2" t="n">
        <v>43230.91528935185</v>
      </c>
      <c r="C668" t="n">
        <v>1</v>
      </c>
      <c r="D668" t="n">
        <v>0</v>
      </c>
      <c r="E668" t="s">
        <v>678</v>
      </c>
      <c r="F668">
        <f>HYPERLINK("http://pbs.twimg.com/media/Dc3go1xUwAEVEuk.jpg", "http://pbs.twimg.com/media/Dc3go1xUwAEVEuk.jpg")</f>
        <v/>
      </c>
      <c r="G668" t="s"/>
      <c r="H668" t="s"/>
      <c r="I668" t="s"/>
      <c r="J668" t="n">
        <v>0</v>
      </c>
      <c r="K668" t="n">
        <v>0</v>
      </c>
      <c r="L668" t="n">
        <v>1</v>
      </c>
      <c r="M668" t="n">
        <v>0</v>
      </c>
    </row>
    <row r="669" spans="1:13">
      <c r="A669" s="1">
        <f>HYPERLINK("http://www.twitter.com/NathanBLawrence/status/994697939049238528", "994697939049238528")</f>
        <v/>
      </c>
      <c r="B669" s="2" t="n">
        <v>43230.91484953704</v>
      </c>
      <c r="C669" t="n">
        <v>1</v>
      </c>
      <c r="D669" t="n">
        <v>0</v>
      </c>
      <c r="E669" t="s">
        <v>679</v>
      </c>
      <c r="F669">
        <f>HYPERLINK("http://pbs.twimg.com/media/Dc3gfrmU8AEKFGL.jpg", "http://pbs.twimg.com/media/Dc3gfrmU8AEKFGL.jpg")</f>
        <v/>
      </c>
      <c r="G669" t="s"/>
      <c r="H669" t="s"/>
      <c r="I669" t="s"/>
      <c r="J669" t="n">
        <v>-0.6239</v>
      </c>
      <c r="K669" t="n">
        <v>0.121</v>
      </c>
      <c r="L669" t="n">
        <v>0.879</v>
      </c>
      <c r="M669" t="n">
        <v>0</v>
      </c>
    </row>
    <row r="670" spans="1:13">
      <c r="A670" s="1">
        <f>HYPERLINK("http://www.twitter.com/NathanBLawrence/status/994695884716769282", "994695884716769282")</f>
        <v/>
      </c>
      <c r="B670" s="2" t="n">
        <v>43230.90918981482</v>
      </c>
      <c r="C670" t="n">
        <v>0</v>
      </c>
      <c r="D670" t="n">
        <v>0</v>
      </c>
      <c r="E670" t="s">
        <v>680</v>
      </c>
      <c r="F670">
        <f>HYPERLINK("http://pbs.twimg.com/media/Dc3eoDvVQAAvW-z.jpg", "http://pbs.twimg.com/media/Dc3eoDvVQAAvW-z.jpg")</f>
        <v/>
      </c>
      <c r="G670" t="s"/>
      <c r="H670" t="s"/>
      <c r="I670" t="s"/>
      <c r="J670" t="n">
        <v>-0.872</v>
      </c>
      <c r="K670" t="n">
        <v>0.28</v>
      </c>
      <c r="L670" t="n">
        <v>0.72</v>
      </c>
      <c r="M670" t="n">
        <v>0</v>
      </c>
    </row>
    <row r="671" spans="1:13">
      <c r="A671" s="1">
        <f>HYPERLINK("http://www.twitter.com/NathanBLawrence/status/994693871383834624", "994693871383834624")</f>
        <v/>
      </c>
      <c r="B671" s="2" t="n">
        <v>43230.90363425926</v>
      </c>
      <c r="C671" t="n">
        <v>0</v>
      </c>
      <c r="D671" t="n">
        <v>0</v>
      </c>
      <c r="E671" t="s">
        <v>681</v>
      </c>
      <c r="F671">
        <f>HYPERLINK("http://pbs.twimg.com/media/Dc3czOAUwAEBK0T.jpg", "http://pbs.twimg.com/media/Dc3czOAUwAEBK0T.jpg")</f>
        <v/>
      </c>
      <c r="G671" t="s"/>
      <c r="H671" t="s"/>
      <c r="I671" t="s"/>
      <c r="J671" t="n">
        <v>0.2023</v>
      </c>
      <c r="K671" t="n">
        <v>0.074</v>
      </c>
      <c r="L671" t="n">
        <v>0.833</v>
      </c>
      <c r="M671" t="n">
        <v>0.093</v>
      </c>
    </row>
    <row r="672" spans="1:13">
      <c r="A672" s="1">
        <f>HYPERLINK("http://www.twitter.com/NathanBLawrence/status/994692511095455744", "994692511095455744")</f>
        <v/>
      </c>
      <c r="B672" s="2" t="n">
        <v>43230.89987268519</v>
      </c>
      <c r="C672" t="n">
        <v>0</v>
      </c>
      <c r="D672" t="n">
        <v>2</v>
      </c>
      <c r="E672" t="s">
        <v>682</v>
      </c>
      <c r="F672" t="s"/>
      <c r="G672" t="s"/>
      <c r="H672" t="s"/>
      <c r="I672" t="s"/>
      <c r="J672" t="n">
        <v>-0.4939</v>
      </c>
      <c r="K672" t="n">
        <v>0.177</v>
      </c>
      <c r="L672" t="n">
        <v>0.758</v>
      </c>
      <c r="M672" t="n">
        <v>0.066</v>
      </c>
    </row>
    <row r="673" spans="1:13">
      <c r="A673" s="1">
        <f>HYPERLINK("http://www.twitter.com/NathanBLawrence/status/994692238558023681", "994692238558023681")</f>
        <v/>
      </c>
      <c r="B673" s="2" t="n">
        <v>43230.89912037037</v>
      </c>
      <c r="C673" t="n">
        <v>0</v>
      </c>
      <c r="D673" t="n">
        <v>0</v>
      </c>
      <c r="E673" t="s">
        <v>683</v>
      </c>
      <c r="F673" t="s"/>
      <c r="G673" t="s"/>
      <c r="H673" t="s"/>
      <c r="I673" t="s"/>
      <c r="J673" t="n">
        <v>0</v>
      </c>
      <c r="K673" t="n">
        <v>0</v>
      </c>
      <c r="L673" t="n">
        <v>1</v>
      </c>
      <c r="M673" t="n">
        <v>0</v>
      </c>
    </row>
    <row r="674" spans="1:13">
      <c r="A674" s="1">
        <f>HYPERLINK("http://www.twitter.com/NathanBLawrence/status/994688765313601541", "994688765313601541")</f>
        <v/>
      </c>
      <c r="B674" s="2" t="n">
        <v>43230.88953703704</v>
      </c>
      <c r="C674" t="n">
        <v>3</v>
      </c>
      <c r="D674" t="n">
        <v>1</v>
      </c>
      <c r="E674" t="s">
        <v>684</v>
      </c>
      <c r="F674">
        <f>HYPERLINK("http://pbs.twimg.com/media/Dc3YJ6LVwAA-56y.jpg", "http://pbs.twimg.com/media/Dc3YJ6LVwAA-56y.jpg")</f>
        <v/>
      </c>
      <c r="G674" t="s"/>
      <c r="H674" t="s"/>
      <c r="I674" t="s"/>
      <c r="J674" t="n">
        <v>0.7845</v>
      </c>
      <c r="K674" t="n">
        <v>0.036</v>
      </c>
      <c r="L674" t="n">
        <v>0.775</v>
      </c>
      <c r="M674" t="n">
        <v>0.189</v>
      </c>
    </row>
    <row r="675" spans="1:13">
      <c r="A675" s="1">
        <f>HYPERLINK("http://www.twitter.com/NathanBLawrence/status/994687018679578624", "994687018679578624")</f>
        <v/>
      </c>
      <c r="B675" s="2" t="n">
        <v>43230.88472222222</v>
      </c>
      <c r="C675" t="n">
        <v>0</v>
      </c>
      <c r="D675" t="n">
        <v>8</v>
      </c>
      <c r="E675" t="s">
        <v>685</v>
      </c>
      <c r="F675" t="s"/>
      <c r="G675" t="s"/>
      <c r="H675" t="s"/>
      <c r="I675" t="s"/>
      <c r="J675" t="n">
        <v>-0.4767</v>
      </c>
      <c r="K675" t="n">
        <v>0.181</v>
      </c>
      <c r="L675" t="n">
        <v>0.819</v>
      </c>
      <c r="M675" t="n">
        <v>0</v>
      </c>
    </row>
    <row r="676" spans="1:13">
      <c r="A676" s="1">
        <f>HYPERLINK("http://www.twitter.com/NathanBLawrence/status/994682278516264960", "994682278516264960")</f>
        <v/>
      </c>
      <c r="B676" s="2" t="n">
        <v>43230.87164351852</v>
      </c>
      <c r="C676" t="n">
        <v>2</v>
      </c>
      <c r="D676" t="n">
        <v>0</v>
      </c>
      <c r="E676" t="s">
        <v>686</v>
      </c>
      <c r="F676" t="s"/>
      <c r="G676" t="s"/>
      <c r="H676" t="s"/>
      <c r="I676" t="s"/>
      <c r="J676" t="n">
        <v>-0.4724</v>
      </c>
      <c r="K676" t="n">
        <v>0.08699999999999999</v>
      </c>
      <c r="L676" t="n">
        <v>0.873</v>
      </c>
      <c r="M676" t="n">
        <v>0.04</v>
      </c>
    </row>
    <row r="677" spans="1:13">
      <c r="A677" s="1">
        <f>HYPERLINK("http://www.twitter.com/NathanBLawrence/status/994680949135863808", "994680949135863808")</f>
        <v/>
      </c>
      <c r="B677" s="2" t="n">
        <v>43230.86797453704</v>
      </c>
      <c r="C677" t="n">
        <v>1</v>
      </c>
      <c r="D677" t="n">
        <v>0</v>
      </c>
      <c r="E677" t="s">
        <v>687</v>
      </c>
      <c r="F677" t="s"/>
      <c r="G677" t="s"/>
      <c r="H677" t="s"/>
      <c r="I677" t="s"/>
      <c r="J677" t="n">
        <v>-0.4019</v>
      </c>
      <c r="K677" t="n">
        <v>0.213</v>
      </c>
      <c r="L677" t="n">
        <v>0.787</v>
      </c>
      <c r="M677" t="n">
        <v>0</v>
      </c>
    </row>
    <row r="678" spans="1:13">
      <c r="A678" s="1">
        <f>HYPERLINK("http://www.twitter.com/NathanBLawrence/status/994678689966280705", "994678689966280705")</f>
        <v/>
      </c>
      <c r="B678" s="2" t="n">
        <v>43230.86173611111</v>
      </c>
      <c r="C678" t="n">
        <v>0</v>
      </c>
      <c r="D678" t="n">
        <v>62948</v>
      </c>
      <c r="E678" t="s">
        <v>688</v>
      </c>
      <c r="F678" t="s"/>
      <c r="G678" t="s"/>
      <c r="H678" t="s"/>
      <c r="I678" t="s"/>
      <c r="J678" t="n">
        <v>0</v>
      </c>
      <c r="K678" t="n">
        <v>0</v>
      </c>
      <c r="L678" t="n">
        <v>1</v>
      </c>
      <c r="M678" t="n">
        <v>0</v>
      </c>
    </row>
    <row r="679" spans="1:13">
      <c r="A679" s="1">
        <f>HYPERLINK("http://www.twitter.com/NathanBLawrence/status/994678490770354176", "994678490770354176")</f>
        <v/>
      </c>
      <c r="B679" s="2" t="n">
        <v>43230.86119212963</v>
      </c>
      <c r="C679" t="n">
        <v>0</v>
      </c>
      <c r="D679" t="n">
        <v>0</v>
      </c>
      <c r="E679" t="s">
        <v>689</v>
      </c>
      <c r="F679" t="s"/>
      <c r="G679" t="s"/>
      <c r="H679" t="s"/>
      <c r="I679" t="s"/>
      <c r="J679" t="n">
        <v>0</v>
      </c>
      <c r="K679" t="n">
        <v>0</v>
      </c>
      <c r="L679" t="n">
        <v>1</v>
      </c>
      <c r="M679" t="n">
        <v>0</v>
      </c>
    </row>
    <row r="680" spans="1:13">
      <c r="A680" s="1">
        <f>HYPERLINK("http://www.twitter.com/NathanBLawrence/status/994678335212048384", "994678335212048384")</f>
        <v/>
      </c>
      <c r="B680" s="2" t="n">
        <v>43230.86076388889</v>
      </c>
      <c r="C680" t="n">
        <v>0</v>
      </c>
      <c r="D680" t="n">
        <v>11</v>
      </c>
      <c r="E680" t="s">
        <v>690</v>
      </c>
      <c r="F680" t="s"/>
      <c r="G680" t="s"/>
      <c r="H680" t="s"/>
      <c r="I680" t="s"/>
      <c r="J680" t="n">
        <v>0.1469</v>
      </c>
      <c r="K680" t="n">
        <v>0.16</v>
      </c>
      <c r="L680" t="n">
        <v>0.6929999999999999</v>
      </c>
      <c r="M680" t="n">
        <v>0.147</v>
      </c>
    </row>
    <row r="681" spans="1:13">
      <c r="A681" s="1">
        <f>HYPERLINK("http://www.twitter.com/NathanBLawrence/status/994677641897828352", "994677641897828352")</f>
        <v/>
      </c>
      <c r="B681" s="2" t="n">
        <v>43230.85884259259</v>
      </c>
      <c r="C681" t="n">
        <v>0</v>
      </c>
      <c r="D681" t="n">
        <v>0</v>
      </c>
      <c r="E681" t="s">
        <v>691</v>
      </c>
      <c r="F681" t="s"/>
      <c r="G681" t="s"/>
      <c r="H681" t="s"/>
      <c r="I681" t="s"/>
      <c r="J681" t="n">
        <v>0.1779</v>
      </c>
      <c r="K681" t="n">
        <v>0</v>
      </c>
      <c r="L681" t="n">
        <v>0.909</v>
      </c>
      <c r="M681" t="n">
        <v>0.091</v>
      </c>
    </row>
    <row r="682" spans="1:13">
      <c r="A682" s="1">
        <f>HYPERLINK("http://www.twitter.com/NathanBLawrence/status/994676205176619009", "994676205176619009")</f>
        <v/>
      </c>
      <c r="B682" s="2" t="n">
        <v>43230.85488425926</v>
      </c>
      <c r="C682" t="n">
        <v>0</v>
      </c>
      <c r="D682" t="n">
        <v>3</v>
      </c>
      <c r="E682" t="s">
        <v>692</v>
      </c>
      <c r="F682">
        <f>HYPERLINK("http://pbs.twimg.com/media/Dc2I8C7W4AALHVk.jpg", "http://pbs.twimg.com/media/Dc2I8C7W4AALHVk.jpg")</f>
        <v/>
      </c>
      <c r="G682">
        <f>HYPERLINK("http://pbs.twimg.com/media/Dc2I8iWW4AAtsvQ.jpg", "http://pbs.twimg.com/media/Dc2I8iWW4AAtsvQ.jpg")</f>
        <v/>
      </c>
      <c r="H682">
        <f>HYPERLINK("http://pbs.twimg.com/media/Dc2I9FhWAAE1RRk.jpg", "http://pbs.twimg.com/media/Dc2I9FhWAAE1RRk.jpg")</f>
        <v/>
      </c>
      <c r="I682" t="s"/>
      <c r="J682" t="n">
        <v>0</v>
      </c>
      <c r="K682" t="n">
        <v>0</v>
      </c>
      <c r="L682" t="n">
        <v>1</v>
      </c>
      <c r="M682" t="n">
        <v>0</v>
      </c>
    </row>
    <row r="683" spans="1:13">
      <c r="A683" s="1">
        <f>HYPERLINK("http://www.twitter.com/NathanBLawrence/status/994674071748186117", "994674071748186117")</f>
        <v/>
      </c>
      <c r="B683" s="2" t="n">
        <v>43230.84899305556</v>
      </c>
      <c r="C683" t="n">
        <v>0</v>
      </c>
      <c r="D683" t="n">
        <v>0</v>
      </c>
      <c r="E683" t="s">
        <v>693</v>
      </c>
      <c r="F683" t="s"/>
      <c r="G683" t="s"/>
      <c r="H683" t="s"/>
      <c r="I683" t="s"/>
      <c r="J683" t="n">
        <v>0.8442</v>
      </c>
      <c r="K683" t="n">
        <v>0</v>
      </c>
      <c r="L683" t="n">
        <v>0.716</v>
      </c>
      <c r="M683" t="n">
        <v>0.284</v>
      </c>
    </row>
    <row r="684" spans="1:13">
      <c r="A684" s="1">
        <f>HYPERLINK("http://www.twitter.com/NathanBLawrence/status/994666957814272000", "994666957814272000")</f>
        <v/>
      </c>
      <c r="B684" s="2" t="n">
        <v>43230.82936342592</v>
      </c>
      <c r="C684" t="n">
        <v>0</v>
      </c>
      <c r="D684" t="n">
        <v>7</v>
      </c>
      <c r="E684" t="s">
        <v>694</v>
      </c>
      <c r="F684" t="s"/>
      <c r="G684" t="s"/>
      <c r="H684" t="s"/>
      <c r="I684" t="s"/>
      <c r="J684" t="n">
        <v>0</v>
      </c>
      <c r="K684" t="n">
        <v>0</v>
      </c>
      <c r="L684" t="n">
        <v>1</v>
      </c>
      <c r="M684" t="n">
        <v>0</v>
      </c>
    </row>
    <row r="685" spans="1:13">
      <c r="A685" s="1">
        <f>HYPERLINK("http://www.twitter.com/NathanBLawrence/status/994666659955773446", "994666659955773446")</f>
        <v/>
      </c>
      <c r="B685" s="2" t="n">
        <v>43230.82854166667</v>
      </c>
      <c r="C685" t="n">
        <v>4</v>
      </c>
      <c r="D685" t="n">
        <v>0</v>
      </c>
      <c r="E685" t="s">
        <v>695</v>
      </c>
      <c r="F685">
        <f>HYPERLINK("http://pbs.twimg.com/media/Dc3EDUgV0AASNmV.jpg", "http://pbs.twimg.com/media/Dc3EDUgV0AASNmV.jpg")</f>
        <v/>
      </c>
      <c r="G685" t="s"/>
      <c r="H685" t="s"/>
      <c r="I685" t="s"/>
      <c r="J685" t="n">
        <v>0</v>
      </c>
      <c r="K685" t="n">
        <v>0</v>
      </c>
      <c r="L685" t="n">
        <v>1</v>
      </c>
      <c r="M685" t="n">
        <v>0</v>
      </c>
    </row>
    <row r="686" spans="1:13">
      <c r="A686" s="1">
        <f>HYPERLINK("http://www.twitter.com/NathanBLawrence/status/994666171122311169", "994666171122311169")</f>
        <v/>
      </c>
      <c r="B686" s="2" t="n">
        <v>43230.8271875</v>
      </c>
      <c r="C686" t="n">
        <v>6</v>
      </c>
      <c r="D686" t="n">
        <v>2</v>
      </c>
      <c r="E686" t="s">
        <v>696</v>
      </c>
      <c r="F686">
        <f>HYPERLINK("http://pbs.twimg.com/media/Dc3DmzJVwAEGV7Z.jpg", "http://pbs.twimg.com/media/Dc3DmzJVwAEGV7Z.jpg")</f>
        <v/>
      </c>
      <c r="G686" t="s"/>
      <c r="H686" t="s"/>
      <c r="I686" t="s"/>
      <c r="J686" t="n">
        <v>0</v>
      </c>
      <c r="K686" t="n">
        <v>0</v>
      </c>
      <c r="L686" t="n">
        <v>1</v>
      </c>
      <c r="M686" t="n">
        <v>0</v>
      </c>
    </row>
    <row r="687" spans="1:13">
      <c r="A687" s="1">
        <f>HYPERLINK("http://www.twitter.com/NathanBLawrence/status/994665950384451584", "994665950384451584")</f>
        <v/>
      </c>
      <c r="B687" s="2" t="n">
        <v>43230.82658564814</v>
      </c>
      <c r="C687" t="n">
        <v>0</v>
      </c>
      <c r="D687" t="n">
        <v>14</v>
      </c>
      <c r="E687" t="s">
        <v>697</v>
      </c>
      <c r="F687" t="s"/>
      <c r="G687" t="s"/>
      <c r="H687" t="s"/>
      <c r="I687" t="s"/>
      <c r="J687" t="n">
        <v>0</v>
      </c>
      <c r="K687" t="n">
        <v>0</v>
      </c>
      <c r="L687" t="n">
        <v>1</v>
      </c>
      <c r="M687" t="n">
        <v>0</v>
      </c>
    </row>
    <row r="688" spans="1:13">
      <c r="A688" s="1">
        <f>HYPERLINK("http://www.twitter.com/NathanBLawrence/status/994665917056454656", "994665917056454656")</f>
        <v/>
      </c>
      <c r="B688" s="2" t="n">
        <v>43230.82649305555</v>
      </c>
      <c r="C688" t="n">
        <v>1</v>
      </c>
      <c r="D688" t="n">
        <v>0</v>
      </c>
      <c r="E688" t="s">
        <v>698</v>
      </c>
      <c r="F688" t="s"/>
      <c r="G688" t="s"/>
      <c r="H688" t="s"/>
      <c r="I688" t="s"/>
      <c r="J688" t="n">
        <v>0.7184</v>
      </c>
      <c r="K688" t="n">
        <v>0</v>
      </c>
      <c r="L688" t="n">
        <v>0.7</v>
      </c>
      <c r="M688" t="n">
        <v>0.3</v>
      </c>
    </row>
    <row r="689" spans="1:13">
      <c r="A689" s="1">
        <f>HYPERLINK("http://www.twitter.com/NathanBLawrence/status/994663727323631617", "994663727323631617")</f>
        <v/>
      </c>
      <c r="B689" s="2" t="n">
        <v>43230.82045138889</v>
      </c>
      <c r="C689" t="n">
        <v>0</v>
      </c>
      <c r="D689" t="n">
        <v>13</v>
      </c>
      <c r="E689" t="s">
        <v>699</v>
      </c>
      <c r="F689">
        <f>HYPERLINK("http://pbs.twimg.com/media/Dc2DVrwW4AUk41y.jpg", "http://pbs.twimg.com/media/Dc2DVrwW4AUk41y.jpg")</f>
        <v/>
      </c>
      <c r="G689" t="s"/>
      <c r="H689" t="s"/>
      <c r="I689" t="s"/>
      <c r="J689" t="n">
        <v>-0.794</v>
      </c>
      <c r="K689" t="n">
        <v>0.261</v>
      </c>
      <c r="L689" t="n">
        <v>0.739</v>
      </c>
      <c r="M689" t="n">
        <v>0</v>
      </c>
    </row>
    <row r="690" spans="1:13">
      <c r="A690" s="1">
        <f>HYPERLINK("http://www.twitter.com/NathanBLawrence/status/994663386175692801", "994663386175692801")</f>
        <v/>
      </c>
      <c r="B690" s="2" t="n">
        <v>43230.81950231481</v>
      </c>
      <c r="C690" t="n">
        <v>3</v>
      </c>
      <c r="D690" t="n">
        <v>0</v>
      </c>
      <c r="E690" t="s">
        <v>700</v>
      </c>
      <c r="F690">
        <f>HYPERLINK("http://pbs.twimg.com/media/Dc3BEJ_UQAA-b9B.jpg", "http://pbs.twimg.com/media/Dc3BEJ_UQAA-b9B.jpg")</f>
        <v/>
      </c>
      <c r="G690" t="s"/>
      <c r="H690" t="s"/>
      <c r="I690" t="s"/>
      <c r="J690" t="n">
        <v>0</v>
      </c>
      <c r="K690" t="n">
        <v>0</v>
      </c>
      <c r="L690" t="n">
        <v>1</v>
      </c>
      <c r="M690" t="n">
        <v>0</v>
      </c>
    </row>
    <row r="691" spans="1:13">
      <c r="A691" s="1">
        <f>HYPERLINK("http://www.twitter.com/NathanBLawrence/status/994658191890935808", "994658191890935808")</f>
        <v/>
      </c>
      <c r="B691" s="2" t="n">
        <v>43230.80517361111</v>
      </c>
      <c r="C691" t="n">
        <v>0</v>
      </c>
      <c r="D691" t="n">
        <v>8</v>
      </c>
      <c r="E691" t="s">
        <v>701</v>
      </c>
      <c r="F691">
        <f>HYPERLINK("http://pbs.twimg.com/media/Dc21-X7XcAAdFNW.jpg", "http://pbs.twimg.com/media/Dc21-X7XcAAdFNW.jpg")</f>
        <v/>
      </c>
      <c r="G691" t="s"/>
      <c r="H691" t="s"/>
      <c r="I691" t="s"/>
      <c r="J691" t="n">
        <v>0</v>
      </c>
      <c r="K691" t="n">
        <v>0</v>
      </c>
      <c r="L691" t="n">
        <v>1</v>
      </c>
      <c r="M691" t="n">
        <v>0</v>
      </c>
    </row>
    <row r="692" spans="1:13">
      <c r="A692" s="1">
        <f>HYPERLINK("http://www.twitter.com/NathanBLawrence/status/994658034625449984", "994658034625449984")</f>
        <v/>
      </c>
      <c r="B692" s="2" t="n">
        <v>43230.8047337963</v>
      </c>
      <c r="C692" t="n">
        <v>0</v>
      </c>
      <c r="D692" t="n">
        <v>0</v>
      </c>
      <c r="E692" t="s">
        <v>702</v>
      </c>
      <c r="F692" t="s"/>
      <c r="G692" t="s"/>
      <c r="H692" t="s"/>
      <c r="I692" t="s"/>
      <c r="J692" t="n">
        <v>0</v>
      </c>
      <c r="K692" t="n">
        <v>0</v>
      </c>
      <c r="L692" t="n">
        <v>1</v>
      </c>
      <c r="M692" t="n">
        <v>0</v>
      </c>
    </row>
    <row r="693" spans="1:13">
      <c r="A693" s="1">
        <f>HYPERLINK("http://www.twitter.com/NathanBLawrence/status/994657651916197892", "994657651916197892")</f>
        <v/>
      </c>
      <c r="B693" s="2" t="n">
        <v>43230.80368055555</v>
      </c>
      <c r="C693" t="n">
        <v>2</v>
      </c>
      <c r="D693" t="n">
        <v>1</v>
      </c>
      <c r="E693" t="s">
        <v>703</v>
      </c>
      <c r="F693" t="s"/>
      <c r="G693" t="s"/>
      <c r="H693" t="s"/>
      <c r="I693" t="s"/>
      <c r="J693" t="n">
        <v>0.6486</v>
      </c>
      <c r="K693" t="n">
        <v>0</v>
      </c>
      <c r="L693" t="n">
        <v>0.629</v>
      </c>
      <c r="M693" t="n">
        <v>0.371</v>
      </c>
    </row>
    <row r="694" spans="1:13">
      <c r="A694" s="1">
        <f>HYPERLINK("http://www.twitter.com/NathanBLawrence/status/994651991845621761", "994651991845621761")</f>
        <v/>
      </c>
      <c r="B694" s="2" t="n">
        <v>43230.78806712963</v>
      </c>
      <c r="C694" t="n">
        <v>1</v>
      </c>
      <c r="D694" t="n">
        <v>0</v>
      </c>
      <c r="E694" t="s">
        <v>704</v>
      </c>
      <c r="F694" t="s"/>
      <c r="G694" t="s"/>
      <c r="H694" t="s"/>
      <c r="I694" t="s"/>
      <c r="J694" t="n">
        <v>-0.296</v>
      </c>
      <c r="K694" t="n">
        <v>0.306</v>
      </c>
      <c r="L694" t="n">
        <v>0.694</v>
      </c>
      <c r="M694" t="n">
        <v>0</v>
      </c>
    </row>
    <row r="695" spans="1:13">
      <c r="A695" s="1">
        <f>HYPERLINK("http://www.twitter.com/NathanBLawrence/status/994649265053093888", "994649265053093888")</f>
        <v/>
      </c>
      <c r="B695" s="2" t="n">
        <v>43230.78054398148</v>
      </c>
      <c r="C695" t="n">
        <v>1</v>
      </c>
      <c r="D695" t="n">
        <v>0</v>
      </c>
      <c r="E695" t="s">
        <v>705</v>
      </c>
      <c r="F695">
        <f>HYPERLINK("http://pbs.twimg.com/media/Dc20OlvVQAAyPuU.jpg", "http://pbs.twimg.com/media/Dc20OlvVQAAyPuU.jpg")</f>
        <v/>
      </c>
      <c r="G695" t="s"/>
      <c r="H695" t="s"/>
      <c r="I695" t="s"/>
      <c r="J695" t="n">
        <v>-0.8622</v>
      </c>
      <c r="K695" t="n">
        <v>0.197</v>
      </c>
      <c r="L695" t="n">
        <v>0.803</v>
      </c>
      <c r="M695" t="n">
        <v>0</v>
      </c>
    </row>
    <row r="696" spans="1:13">
      <c r="A696" s="1">
        <f>HYPERLINK("http://www.twitter.com/NathanBLawrence/status/994641529019994117", "994641529019994117")</f>
        <v/>
      </c>
      <c r="B696" s="2" t="n">
        <v>43230.75918981482</v>
      </c>
      <c r="C696" t="n">
        <v>8</v>
      </c>
      <c r="D696" t="n">
        <v>5</v>
      </c>
      <c r="E696" t="s">
        <v>706</v>
      </c>
      <c r="F696" t="s"/>
      <c r="G696" t="s"/>
      <c r="H696" t="s"/>
      <c r="I696" t="s"/>
      <c r="J696" t="n">
        <v>-0.6092</v>
      </c>
      <c r="K696" t="n">
        <v>0.113</v>
      </c>
      <c r="L696" t="n">
        <v>0.887</v>
      </c>
      <c r="M696" t="n">
        <v>0</v>
      </c>
    </row>
    <row r="697" spans="1:13">
      <c r="A697" s="1">
        <f>HYPERLINK("http://www.twitter.com/NathanBLawrence/status/994640914789347330", "994640914789347330")</f>
        <v/>
      </c>
      <c r="B697" s="2" t="n">
        <v>43230.7575</v>
      </c>
      <c r="C697" t="n">
        <v>0</v>
      </c>
      <c r="D697" t="n">
        <v>5</v>
      </c>
      <c r="E697" t="s">
        <v>707</v>
      </c>
      <c r="F697" t="s"/>
      <c r="G697" t="s"/>
      <c r="H697" t="s"/>
      <c r="I697" t="s"/>
      <c r="J697" t="n">
        <v>0</v>
      </c>
      <c r="K697" t="n">
        <v>0</v>
      </c>
      <c r="L697" t="n">
        <v>1</v>
      </c>
      <c r="M697" t="n">
        <v>0</v>
      </c>
    </row>
    <row r="698" spans="1:13">
      <c r="A698" s="1">
        <f>HYPERLINK("http://www.twitter.com/NathanBLawrence/status/994640586744434688", "994640586744434688")</f>
        <v/>
      </c>
      <c r="B698" s="2" t="n">
        <v>43230.75659722222</v>
      </c>
      <c r="C698" t="n">
        <v>0</v>
      </c>
      <c r="D698" t="n">
        <v>0</v>
      </c>
      <c r="E698" t="s">
        <v>708</v>
      </c>
      <c r="F698" t="s"/>
      <c r="G698" t="s"/>
      <c r="H698" t="s"/>
      <c r="I698" t="s"/>
      <c r="J698" t="n">
        <v>0</v>
      </c>
      <c r="K698" t="n">
        <v>0</v>
      </c>
      <c r="L698" t="n">
        <v>1</v>
      </c>
      <c r="M698" t="n">
        <v>0</v>
      </c>
    </row>
    <row r="699" spans="1:13">
      <c r="A699" s="1">
        <f>HYPERLINK("http://www.twitter.com/NathanBLawrence/status/994639803135250432", "994639803135250432")</f>
        <v/>
      </c>
      <c r="B699" s="2" t="n">
        <v>43230.75443287037</v>
      </c>
      <c r="C699" t="n">
        <v>1</v>
      </c>
      <c r="D699" t="n">
        <v>0</v>
      </c>
      <c r="E699" t="s">
        <v>709</v>
      </c>
      <c r="F699" t="s"/>
      <c r="G699" t="s"/>
      <c r="H699" t="s"/>
      <c r="I699" t="s"/>
      <c r="J699" t="n">
        <v>0.4939</v>
      </c>
      <c r="K699" t="n">
        <v>0</v>
      </c>
      <c r="L699" t="n">
        <v>0.652</v>
      </c>
      <c r="M699" t="n">
        <v>0.348</v>
      </c>
    </row>
    <row r="700" spans="1:13">
      <c r="A700" s="1">
        <f>HYPERLINK("http://www.twitter.com/NathanBLawrence/status/994637999618084864", "994637999618084864")</f>
        <v/>
      </c>
      <c r="B700" s="2" t="n">
        <v>43230.74945601852</v>
      </c>
      <c r="C700" t="n">
        <v>0</v>
      </c>
      <c r="D700" t="n">
        <v>6</v>
      </c>
      <c r="E700" t="s">
        <v>710</v>
      </c>
      <c r="F700">
        <f>HYPERLINK("http://pbs.twimg.com/media/Dc2ha-MXcAEEpsw.jpg", "http://pbs.twimg.com/media/Dc2ha-MXcAEEpsw.jpg")</f>
        <v/>
      </c>
      <c r="G700" t="s"/>
      <c r="H700" t="s"/>
      <c r="I700" t="s"/>
      <c r="J700" t="n">
        <v>0</v>
      </c>
      <c r="K700" t="n">
        <v>0</v>
      </c>
      <c r="L700" t="n">
        <v>1</v>
      </c>
      <c r="M700" t="n">
        <v>0</v>
      </c>
    </row>
    <row r="701" spans="1:13">
      <c r="A701" s="1">
        <f>HYPERLINK("http://www.twitter.com/NathanBLawrence/status/994632505671155713", "994632505671155713")</f>
        <v/>
      </c>
      <c r="B701" s="2" t="n">
        <v>43230.73429398148</v>
      </c>
      <c r="C701" t="n">
        <v>0</v>
      </c>
      <c r="D701" t="n">
        <v>0</v>
      </c>
      <c r="E701" t="s">
        <v>711</v>
      </c>
      <c r="F701" t="s"/>
      <c r="G701" t="s"/>
      <c r="H701" t="s"/>
      <c r="I701" t="s"/>
      <c r="J701" t="n">
        <v>0.6808</v>
      </c>
      <c r="K701" t="n">
        <v>0.202</v>
      </c>
      <c r="L701" t="n">
        <v>0.225</v>
      </c>
      <c r="M701" t="n">
        <v>0.573</v>
      </c>
    </row>
    <row r="702" spans="1:13">
      <c r="A702" s="1">
        <f>HYPERLINK("http://www.twitter.com/NathanBLawrence/status/994630730318864384", "994630730318864384")</f>
        <v/>
      </c>
      <c r="B702" s="2" t="n">
        <v>43230.72939814815</v>
      </c>
      <c r="C702" t="n">
        <v>1</v>
      </c>
      <c r="D702" t="n">
        <v>0</v>
      </c>
      <c r="E702" t="s">
        <v>712</v>
      </c>
      <c r="F702">
        <f>HYPERLINK("http://pbs.twimg.com/media/Dc2jX5DV4AA5NBN.jpg", "http://pbs.twimg.com/media/Dc2jX5DV4AA5NBN.jpg")</f>
        <v/>
      </c>
      <c r="G702" t="s"/>
      <c r="H702" t="s"/>
      <c r="I702" t="s"/>
      <c r="J702" t="n">
        <v>0.0258</v>
      </c>
      <c r="K702" t="n">
        <v>0.126</v>
      </c>
      <c r="L702" t="n">
        <v>0.743</v>
      </c>
      <c r="M702" t="n">
        <v>0.131</v>
      </c>
    </row>
    <row r="703" spans="1:13">
      <c r="A703" s="1">
        <f>HYPERLINK("http://www.twitter.com/NathanBLawrence/status/994628855041228804", "994628855041228804")</f>
        <v/>
      </c>
      <c r="B703" s="2" t="n">
        <v>43230.72422453704</v>
      </c>
      <c r="C703" t="n">
        <v>0</v>
      </c>
      <c r="D703" t="n">
        <v>0</v>
      </c>
      <c r="E703" t="s">
        <v>713</v>
      </c>
      <c r="F703">
        <f>HYPERLINK("http://pbs.twimg.com/media/Dc2hqV6V4AAQwpl.jpg", "http://pbs.twimg.com/media/Dc2hqV6V4AAQwpl.jpg")</f>
        <v/>
      </c>
      <c r="G703" t="s"/>
      <c r="H703" t="s"/>
      <c r="I703" t="s"/>
      <c r="J703" t="n">
        <v>-0.4767</v>
      </c>
      <c r="K703" t="n">
        <v>0.22</v>
      </c>
      <c r="L703" t="n">
        <v>0.78</v>
      </c>
      <c r="M703" t="n">
        <v>0</v>
      </c>
    </row>
    <row r="704" spans="1:13">
      <c r="A704" s="1">
        <f>HYPERLINK("http://www.twitter.com/NathanBLawrence/status/994628426916093952", "994628426916093952")</f>
        <v/>
      </c>
      <c r="B704" s="2" t="n">
        <v>43230.7230324074</v>
      </c>
      <c r="C704" t="n">
        <v>0</v>
      </c>
      <c r="D704" t="n">
        <v>0</v>
      </c>
      <c r="E704" t="s">
        <v>714</v>
      </c>
      <c r="F704" t="s"/>
      <c r="G704" t="s"/>
      <c r="H704" t="s"/>
      <c r="I704" t="s"/>
      <c r="J704" t="n">
        <v>-0.6588000000000001</v>
      </c>
      <c r="K704" t="n">
        <v>0.231</v>
      </c>
      <c r="L704" t="n">
        <v>0.769</v>
      </c>
      <c r="M704" t="n">
        <v>0</v>
      </c>
    </row>
    <row r="705" spans="1:13">
      <c r="A705" s="1">
        <f>HYPERLINK("http://www.twitter.com/NathanBLawrence/status/994627953052012544", "994627953052012544")</f>
        <v/>
      </c>
      <c r="B705" s="2" t="n">
        <v>43230.72172453703</v>
      </c>
      <c r="C705" t="n">
        <v>1</v>
      </c>
      <c r="D705" t="n">
        <v>1</v>
      </c>
      <c r="E705" t="s">
        <v>715</v>
      </c>
      <c r="F705">
        <f>HYPERLINK("http://pbs.twimg.com/media/Dc2g2MXW4AE-Pio.jpg", "http://pbs.twimg.com/media/Dc2g2MXW4AE-Pio.jpg")</f>
        <v/>
      </c>
      <c r="G705" t="s"/>
      <c r="H705" t="s"/>
      <c r="I705" t="s"/>
      <c r="J705" t="n">
        <v>-0.9656</v>
      </c>
      <c r="K705" t="n">
        <v>0.517</v>
      </c>
      <c r="L705" t="n">
        <v>0.483</v>
      </c>
      <c r="M705" t="n">
        <v>0</v>
      </c>
    </row>
    <row r="706" spans="1:13">
      <c r="A706" s="1">
        <f>HYPERLINK("http://www.twitter.com/NathanBLawrence/status/994627476394569729", "994627476394569729")</f>
        <v/>
      </c>
      <c r="B706" s="2" t="n">
        <v>43230.72041666666</v>
      </c>
      <c r="C706" t="n">
        <v>1</v>
      </c>
      <c r="D706" t="n">
        <v>0</v>
      </c>
      <c r="E706" t="s">
        <v>716</v>
      </c>
      <c r="F706" t="s"/>
      <c r="G706" t="s"/>
      <c r="H706" t="s"/>
      <c r="I706" t="s"/>
      <c r="J706" t="n">
        <v>0</v>
      </c>
      <c r="K706" t="n">
        <v>0</v>
      </c>
      <c r="L706" t="n">
        <v>1</v>
      </c>
      <c r="M706" t="n">
        <v>0</v>
      </c>
    </row>
    <row r="707" spans="1:13">
      <c r="A707" s="1">
        <f>HYPERLINK("http://www.twitter.com/NathanBLawrence/status/994627285557891072", "994627285557891072")</f>
        <v/>
      </c>
      <c r="B707" s="2" t="n">
        <v>43230.71988425926</v>
      </c>
      <c r="C707" t="n">
        <v>0</v>
      </c>
      <c r="D707" t="n">
        <v>0</v>
      </c>
      <c r="E707" t="s">
        <v>717</v>
      </c>
      <c r="F707">
        <f>HYPERLINK("http://pbs.twimg.com/media/Dc2gPJDXkAIgWye.jpg", "http://pbs.twimg.com/media/Dc2gPJDXkAIgWye.jpg")</f>
        <v/>
      </c>
      <c r="G707" t="s"/>
      <c r="H707" t="s"/>
      <c r="I707" t="s"/>
      <c r="J707" t="n">
        <v>-0.8934</v>
      </c>
      <c r="K707" t="n">
        <v>0.494</v>
      </c>
      <c r="L707" t="n">
        <v>0.506</v>
      </c>
      <c r="M707" t="n">
        <v>0</v>
      </c>
    </row>
    <row r="708" spans="1:13">
      <c r="A708" s="1">
        <f>HYPERLINK("http://www.twitter.com/NathanBLawrence/status/994626406515728384", "994626406515728384")</f>
        <v/>
      </c>
      <c r="B708" s="2" t="n">
        <v>43230.71746527778</v>
      </c>
      <c r="C708" t="n">
        <v>0</v>
      </c>
      <c r="D708" t="n">
        <v>0</v>
      </c>
      <c r="E708" t="s">
        <v>718</v>
      </c>
      <c r="F708">
        <f>HYPERLINK("http://pbs.twimg.com/media/Dc2fb6gV0AA8TDg.jpg", "http://pbs.twimg.com/media/Dc2fb6gV0AA8TDg.jpg")</f>
        <v/>
      </c>
      <c r="G708" t="s"/>
      <c r="H708" t="s"/>
      <c r="I708" t="s"/>
      <c r="J708" t="n">
        <v>0</v>
      </c>
      <c r="K708" t="n">
        <v>0</v>
      </c>
      <c r="L708" t="n">
        <v>1</v>
      </c>
      <c r="M708" t="n">
        <v>0</v>
      </c>
    </row>
    <row r="709" spans="1:13">
      <c r="A709" s="1">
        <f>HYPERLINK("http://www.twitter.com/NathanBLawrence/status/994626132967337984", "994626132967337984")</f>
        <v/>
      </c>
      <c r="B709" s="2" t="n">
        <v>43230.71671296296</v>
      </c>
      <c r="C709" t="n">
        <v>0</v>
      </c>
      <c r="D709" t="n">
        <v>7</v>
      </c>
      <c r="E709" t="s">
        <v>719</v>
      </c>
      <c r="F709">
        <f>HYPERLINK("http://pbs.twimg.com/media/Dc2e0ACVQAAAjED.jpg", "http://pbs.twimg.com/media/Dc2e0ACVQAAAjED.jpg")</f>
        <v/>
      </c>
      <c r="G709" t="s"/>
      <c r="H709" t="s"/>
      <c r="I709" t="s"/>
      <c r="J709" t="n">
        <v>0.4926</v>
      </c>
      <c r="K709" t="n">
        <v>0</v>
      </c>
      <c r="L709" t="n">
        <v>0.868</v>
      </c>
      <c r="M709" t="n">
        <v>0.132</v>
      </c>
    </row>
    <row r="710" spans="1:13">
      <c r="A710" s="1">
        <f>HYPERLINK("http://www.twitter.com/NathanBLawrence/status/994625787084115968", "994625787084115968")</f>
        <v/>
      </c>
      <c r="B710" s="2" t="n">
        <v>43230.71575231481</v>
      </c>
      <c r="C710" t="n">
        <v>0</v>
      </c>
      <c r="D710" t="n">
        <v>0</v>
      </c>
      <c r="E710" t="s">
        <v>720</v>
      </c>
      <c r="F710">
        <f>HYPERLINK("http://pbs.twimg.com/media/Dc2e4JrUwAADqdx.jpg", "http://pbs.twimg.com/media/Dc2e4JrUwAADqdx.jpg")</f>
        <v/>
      </c>
      <c r="G710" t="s"/>
      <c r="H710" t="s"/>
      <c r="I710" t="s"/>
      <c r="J710" t="n">
        <v>0</v>
      </c>
      <c r="K710" t="n">
        <v>0</v>
      </c>
      <c r="L710" t="n">
        <v>1</v>
      </c>
      <c r="M710" t="n">
        <v>0</v>
      </c>
    </row>
    <row r="711" spans="1:13">
      <c r="A711" s="1">
        <f>HYPERLINK("http://www.twitter.com/NathanBLawrence/status/994625625603309571", "994625625603309571")</f>
        <v/>
      </c>
      <c r="B711" s="2" t="n">
        <v>43230.7153125</v>
      </c>
      <c r="C711" t="n">
        <v>0</v>
      </c>
      <c r="D711" t="n">
        <v>0</v>
      </c>
      <c r="E711" t="s">
        <v>721</v>
      </c>
      <c r="F711">
        <f>HYPERLINK("http://pbs.twimg.com/media/Dc2eupQU0AARoxK.jpg", "http://pbs.twimg.com/media/Dc2eupQU0AARoxK.jpg")</f>
        <v/>
      </c>
      <c r="G711" t="s"/>
      <c r="H711" t="s"/>
      <c r="I711" t="s"/>
      <c r="J711" t="n">
        <v>-0.3612</v>
      </c>
      <c r="K711" t="n">
        <v>0.185</v>
      </c>
      <c r="L711" t="n">
        <v>0.8149999999999999</v>
      </c>
      <c r="M711" t="n">
        <v>0</v>
      </c>
    </row>
    <row r="712" spans="1:13">
      <c r="A712" s="1">
        <f>HYPERLINK("http://www.twitter.com/NathanBLawrence/status/994623484847443969", "994623484847443969")</f>
        <v/>
      </c>
      <c r="B712" s="2" t="n">
        <v>43230.70939814814</v>
      </c>
      <c r="C712" t="n">
        <v>0</v>
      </c>
      <c r="D712" t="n">
        <v>1</v>
      </c>
      <c r="E712" t="s">
        <v>722</v>
      </c>
      <c r="F712" t="s"/>
      <c r="G712" t="s"/>
      <c r="H712" t="s"/>
      <c r="I712" t="s"/>
      <c r="J712" t="n">
        <v>-0.6652</v>
      </c>
      <c r="K712" t="n">
        <v>0.186</v>
      </c>
      <c r="L712" t="n">
        <v>0.728</v>
      </c>
      <c r="M712" t="n">
        <v>0.08599999999999999</v>
      </c>
    </row>
    <row r="713" spans="1:13">
      <c r="A713" s="1">
        <f>HYPERLINK("http://www.twitter.com/NathanBLawrence/status/994623200901419009", "994623200901419009")</f>
        <v/>
      </c>
      <c r="B713" s="2" t="n">
        <v>43230.70861111111</v>
      </c>
      <c r="C713" t="n">
        <v>0</v>
      </c>
      <c r="D713" t="n">
        <v>10</v>
      </c>
      <c r="E713" t="s">
        <v>723</v>
      </c>
      <c r="F713">
        <f>HYPERLINK("http://pbs.twimg.com/media/Dc2YpqeXUAAfLRM.jpg", "http://pbs.twimg.com/media/Dc2YpqeXUAAfLRM.jpg")</f>
        <v/>
      </c>
      <c r="G713" t="s"/>
      <c r="H713" t="s"/>
      <c r="I713" t="s"/>
      <c r="J713" t="n">
        <v>0</v>
      </c>
      <c r="K713" t="n">
        <v>0</v>
      </c>
      <c r="L713" t="n">
        <v>1</v>
      </c>
      <c r="M713" t="n">
        <v>0</v>
      </c>
    </row>
    <row r="714" spans="1:13">
      <c r="A714" s="1">
        <f>HYPERLINK("http://www.twitter.com/NathanBLawrence/status/994623078171848704", "994623078171848704")</f>
        <v/>
      </c>
      <c r="B714" s="2" t="n">
        <v>43230.70827546297</v>
      </c>
      <c r="C714" t="n">
        <v>0</v>
      </c>
      <c r="D714" t="n">
        <v>9</v>
      </c>
      <c r="E714" t="s">
        <v>724</v>
      </c>
      <c r="F714" t="s"/>
      <c r="G714" t="s"/>
      <c r="H714" t="s"/>
      <c r="I714" t="s"/>
      <c r="J714" t="n">
        <v>-0.5574</v>
      </c>
      <c r="K714" t="n">
        <v>0.146</v>
      </c>
      <c r="L714" t="n">
        <v>0.854</v>
      </c>
      <c r="M714" t="n">
        <v>0</v>
      </c>
    </row>
    <row r="715" spans="1:13">
      <c r="A715" s="1">
        <f>HYPERLINK("http://www.twitter.com/NathanBLawrence/status/994616453155508226", "994616453155508226")</f>
        <v/>
      </c>
      <c r="B715" s="2" t="n">
        <v>43230.69</v>
      </c>
      <c r="C715" t="n">
        <v>0</v>
      </c>
      <c r="D715" t="n">
        <v>21</v>
      </c>
      <c r="E715" t="s">
        <v>725</v>
      </c>
      <c r="F715">
        <f>HYPERLINK("http://pbs.twimg.com/media/Dc2WIHeVwAAQWB3.jpg", "http://pbs.twimg.com/media/Dc2WIHeVwAAQWB3.jpg")</f>
        <v/>
      </c>
      <c r="G715" t="s"/>
      <c r="H715" t="s"/>
      <c r="I715" t="s"/>
      <c r="J715" t="n">
        <v>0.4404</v>
      </c>
      <c r="K715" t="n">
        <v>0</v>
      </c>
      <c r="L715" t="n">
        <v>0.896</v>
      </c>
      <c r="M715" t="n">
        <v>0.104</v>
      </c>
    </row>
    <row r="716" spans="1:13">
      <c r="A716" s="1">
        <f>HYPERLINK("http://www.twitter.com/NathanBLawrence/status/994615473999433729", "994615473999433729")</f>
        <v/>
      </c>
      <c r="B716" s="2" t="n">
        <v>43230.68729166667</v>
      </c>
      <c r="C716" t="n">
        <v>0</v>
      </c>
      <c r="D716" t="n">
        <v>0</v>
      </c>
      <c r="E716" t="s">
        <v>726</v>
      </c>
      <c r="F716" t="s"/>
      <c r="G716" t="s"/>
      <c r="H716" t="s"/>
      <c r="I716" t="s"/>
      <c r="J716" t="n">
        <v>0.296</v>
      </c>
      <c r="K716" t="n">
        <v>0</v>
      </c>
      <c r="L716" t="n">
        <v>0.577</v>
      </c>
      <c r="M716" t="n">
        <v>0.423</v>
      </c>
    </row>
    <row r="717" spans="1:13">
      <c r="A717" s="1">
        <f>HYPERLINK("http://www.twitter.com/NathanBLawrence/status/994614242035814400", "994614242035814400")</f>
        <v/>
      </c>
      <c r="B717" s="2" t="n">
        <v>43230.68388888889</v>
      </c>
      <c r="C717" t="n">
        <v>0</v>
      </c>
      <c r="D717" t="n">
        <v>0</v>
      </c>
      <c r="E717" t="s">
        <v>727</v>
      </c>
      <c r="F717">
        <f>HYPERLINK("http://pbs.twimg.com/media/Dc2UYAqWkAAx_lP.jpg", "http://pbs.twimg.com/media/Dc2UYAqWkAAx_lP.jpg")</f>
        <v/>
      </c>
      <c r="G717" t="s"/>
      <c r="H717" t="s"/>
      <c r="I717" t="s"/>
      <c r="J717" t="n">
        <v>0</v>
      </c>
      <c r="K717" t="n">
        <v>0</v>
      </c>
      <c r="L717" t="n">
        <v>1</v>
      </c>
      <c r="M717" t="n">
        <v>0</v>
      </c>
    </row>
    <row r="718" spans="1:13">
      <c r="A718" s="1">
        <f>HYPERLINK("http://www.twitter.com/NathanBLawrence/status/994614058228871168", "994614058228871168")</f>
        <v/>
      </c>
      <c r="B718" s="2" t="n">
        <v>43230.6833912037</v>
      </c>
      <c r="C718" t="n">
        <v>1</v>
      </c>
      <c r="D718" t="n">
        <v>0</v>
      </c>
      <c r="E718" t="s">
        <v>728</v>
      </c>
      <c r="F718">
        <f>HYPERLINK("http://pbs.twimg.com/media/Dc2UNXjW0AAY5lB.jpg", "http://pbs.twimg.com/media/Dc2UNXjW0AAY5lB.jpg")</f>
        <v/>
      </c>
      <c r="G718" t="s"/>
      <c r="H718" t="s"/>
      <c r="I718" t="s"/>
      <c r="J718" t="n">
        <v>-0.8126</v>
      </c>
      <c r="K718" t="n">
        <v>0.208</v>
      </c>
      <c r="L718" t="n">
        <v>0.792</v>
      </c>
      <c r="M718" t="n">
        <v>0</v>
      </c>
    </row>
    <row r="719" spans="1:13">
      <c r="A719" s="1">
        <f>HYPERLINK("http://www.twitter.com/NathanBLawrence/status/994613376281206784", "994613376281206784")</f>
        <v/>
      </c>
      <c r="B719" s="2" t="n">
        <v>43230.68150462963</v>
      </c>
      <c r="C719" t="n">
        <v>0</v>
      </c>
      <c r="D719" t="n">
        <v>0</v>
      </c>
      <c r="E719" t="s">
        <v>729</v>
      </c>
      <c r="F719" t="s"/>
      <c r="G719" t="s"/>
      <c r="H719" t="s"/>
      <c r="I719" t="s"/>
      <c r="J719" t="n">
        <v>0</v>
      </c>
      <c r="K719" t="n">
        <v>0</v>
      </c>
      <c r="L719" t="n">
        <v>1</v>
      </c>
      <c r="M719" t="n">
        <v>0</v>
      </c>
    </row>
    <row r="720" spans="1:13">
      <c r="A720" s="1">
        <f>HYPERLINK("http://www.twitter.com/NathanBLawrence/status/994612798838722562", "994612798838722562")</f>
        <v/>
      </c>
      <c r="B720" s="2" t="n">
        <v>43230.67990740741</v>
      </c>
      <c r="C720" t="n">
        <v>0</v>
      </c>
      <c r="D720" t="n">
        <v>0</v>
      </c>
      <c r="E720" t="s">
        <v>730</v>
      </c>
      <c r="F720" t="s"/>
      <c r="G720" t="s"/>
      <c r="H720" t="s"/>
      <c r="I720" t="s"/>
      <c r="J720" t="n">
        <v>0</v>
      </c>
      <c r="K720" t="n">
        <v>0</v>
      </c>
      <c r="L720" t="n">
        <v>1</v>
      </c>
      <c r="M720" t="n">
        <v>0</v>
      </c>
    </row>
    <row r="721" spans="1:13">
      <c r="A721" s="1">
        <f>HYPERLINK("http://www.twitter.com/NathanBLawrence/status/994612221736116224", "994612221736116224")</f>
        <v/>
      </c>
      <c r="B721" s="2" t="n">
        <v>43230.67832175926</v>
      </c>
      <c r="C721" t="n">
        <v>0</v>
      </c>
      <c r="D721" t="n">
        <v>0</v>
      </c>
      <c r="E721" t="s">
        <v>731</v>
      </c>
      <c r="F721" t="s"/>
      <c r="G721" t="s"/>
      <c r="H721" t="s"/>
      <c r="I721" t="s"/>
      <c r="J721" t="n">
        <v>-0.743</v>
      </c>
      <c r="K721" t="n">
        <v>0.278</v>
      </c>
      <c r="L721" t="n">
        <v>0.722</v>
      </c>
      <c r="M721" t="n">
        <v>0</v>
      </c>
    </row>
    <row r="722" spans="1:13">
      <c r="A722" s="1">
        <f>HYPERLINK("http://www.twitter.com/NathanBLawrence/status/994611274913853440", "994611274913853440")</f>
        <v/>
      </c>
      <c r="B722" s="2" t="n">
        <v>43230.67570601852</v>
      </c>
      <c r="C722" t="n">
        <v>3</v>
      </c>
      <c r="D722" t="n">
        <v>3</v>
      </c>
      <c r="E722" t="s">
        <v>732</v>
      </c>
      <c r="F722">
        <f>HYPERLINK("http://pbs.twimg.com/media/Dc2Rrb5UQAEpo7u.jpg", "http://pbs.twimg.com/media/Dc2Rrb5UQAEpo7u.jpg")</f>
        <v/>
      </c>
      <c r="G722" t="s"/>
      <c r="H722" t="s"/>
      <c r="I722" t="s"/>
      <c r="J722" t="n">
        <v>0.4019</v>
      </c>
      <c r="K722" t="n">
        <v>0</v>
      </c>
      <c r="L722" t="n">
        <v>0.886</v>
      </c>
      <c r="M722" t="n">
        <v>0.114</v>
      </c>
    </row>
    <row r="723" spans="1:13">
      <c r="A723" s="1">
        <f>HYPERLINK("http://www.twitter.com/NathanBLawrence/status/994610074046926848", "994610074046926848")</f>
        <v/>
      </c>
      <c r="B723" s="2" t="n">
        <v>43230.67239583333</v>
      </c>
      <c r="C723" t="n">
        <v>1</v>
      </c>
      <c r="D723" t="n">
        <v>0</v>
      </c>
      <c r="E723" t="s">
        <v>733</v>
      </c>
      <c r="F723">
        <f>HYPERLINK("http://pbs.twimg.com/media/Dc2QleGVwAAohRS.jpg", "http://pbs.twimg.com/media/Dc2QleGVwAAohRS.jpg")</f>
        <v/>
      </c>
      <c r="G723" t="s"/>
      <c r="H723" t="s"/>
      <c r="I723" t="s"/>
      <c r="J723" t="n">
        <v>-0.5719</v>
      </c>
      <c r="K723" t="n">
        <v>0.153</v>
      </c>
      <c r="L723" t="n">
        <v>0.847</v>
      </c>
      <c r="M723" t="n">
        <v>0</v>
      </c>
    </row>
    <row r="724" spans="1:13">
      <c r="A724" s="1">
        <f>HYPERLINK("http://www.twitter.com/NathanBLawrence/status/994606239853277185", "994606239853277185")</f>
        <v/>
      </c>
      <c r="B724" s="2" t="n">
        <v>43230.66181712963</v>
      </c>
      <c r="C724" t="n">
        <v>0</v>
      </c>
      <c r="D724" t="n">
        <v>0</v>
      </c>
      <c r="E724" t="s">
        <v>734</v>
      </c>
      <c r="F724" t="s"/>
      <c r="G724" t="s"/>
      <c r="H724" t="s"/>
      <c r="I724" t="s"/>
      <c r="J724" t="n">
        <v>0</v>
      </c>
      <c r="K724" t="n">
        <v>0</v>
      </c>
      <c r="L724" t="n">
        <v>1</v>
      </c>
      <c r="M724" t="n">
        <v>0</v>
      </c>
    </row>
    <row r="725" spans="1:13">
      <c r="A725" s="1">
        <f>HYPERLINK("http://www.twitter.com/NathanBLawrence/status/994605218867417090", "994605218867417090")</f>
        <v/>
      </c>
      <c r="B725" s="2" t="n">
        <v>43230.65899305556</v>
      </c>
      <c r="C725" t="n">
        <v>1</v>
      </c>
      <c r="D725" t="n">
        <v>1</v>
      </c>
      <c r="E725" t="s">
        <v>735</v>
      </c>
      <c r="F725" t="s"/>
      <c r="G725" t="s"/>
      <c r="H725" t="s"/>
      <c r="I725" t="s"/>
      <c r="J725" t="n">
        <v>-0.8452</v>
      </c>
      <c r="K725" t="n">
        <v>0.256</v>
      </c>
      <c r="L725" t="n">
        <v>0.653</v>
      </c>
      <c r="M725" t="n">
        <v>0.091</v>
      </c>
    </row>
    <row r="726" spans="1:13">
      <c r="A726" s="1">
        <f>HYPERLINK("http://www.twitter.com/NathanBLawrence/status/994603335083847680", "994603335083847680")</f>
        <v/>
      </c>
      <c r="B726" s="2" t="n">
        <v>43230.6537962963</v>
      </c>
      <c r="C726" t="n">
        <v>0</v>
      </c>
      <c r="D726" t="n">
        <v>1</v>
      </c>
      <c r="E726" t="s">
        <v>736</v>
      </c>
      <c r="F726">
        <f>HYPERLINK("http://pbs.twimg.com/media/Dc2Kc-nVwAAKjvl.jpg", "http://pbs.twimg.com/media/Dc2Kc-nVwAAKjvl.jpg")</f>
        <v/>
      </c>
      <c r="G726" t="s"/>
      <c r="H726" t="s"/>
      <c r="I726" t="s"/>
      <c r="J726" t="n">
        <v>-0.3612</v>
      </c>
      <c r="K726" t="n">
        <v>0.143</v>
      </c>
      <c r="L726" t="n">
        <v>0.857</v>
      </c>
      <c r="M726" t="n">
        <v>0</v>
      </c>
    </row>
    <row r="727" spans="1:13">
      <c r="A727" s="1">
        <f>HYPERLINK("http://www.twitter.com/NathanBLawrence/status/994602813534633984", "994602813534633984")</f>
        <v/>
      </c>
      <c r="B727" s="2" t="n">
        <v>43230.65236111111</v>
      </c>
      <c r="C727" t="n">
        <v>0</v>
      </c>
      <c r="D727" t="n">
        <v>1</v>
      </c>
      <c r="E727" t="s">
        <v>737</v>
      </c>
      <c r="F727" t="s"/>
      <c r="G727" t="s"/>
      <c r="H727" t="s"/>
      <c r="I727" t="s"/>
      <c r="J727" t="n">
        <v>0.4588</v>
      </c>
      <c r="K727" t="n">
        <v>0</v>
      </c>
      <c r="L727" t="n">
        <v>0.864</v>
      </c>
      <c r="M727" t="n">
        <v>0.136</v>
      </c>
    </row>
    <row r="728" spans="1:13">
      <c r="A728" s="1">
        <f>HYPERLINK("http://www.twitter.com/NathanBLawrence/status/994602582600507392", "994602582600507392")</f>
        <v/>
      </c>
      <c r="B728" s="2" t="n">
        <v>43230.65172453703</v>
      </c>
      <c r="C728" t="n">
        <v>1</v>
      </c>
      <c r="D728" t="n">
        <v>0</v>
      </c>
      <c r="E728" t="s">
        <v>738</v>
      </c>
      <c r="F728">
        <f>HYPERLINK("http://pbs.twimg.com/media/Dc2JxaWV0AAonTa.jpg", "http://pbs.twimg.com/media/Dc2JxaWV0AAonTa.jpg")</f>
        <v/>
      </c>
      <c r="G728" t="s"/>
      <c r="H728" t="s"/>
      <c r="I728" t="s"/>
      <c r="J728" t="n">
        <v>0</v>
      </c>
      <c r="K728" t="n">
        <v>0</v>
      </c>
      <c r="L728" t="n">
        <v>1</v>
      </c>
      <c r="M728" t="n">
        <v>0</v>
      </c>
    </row>
    <row r="729" spans="1:13">
      <c r="A729" s="1">
        <f>HYPERLINK("http://www.twitter.com/NathanBLawrence/status/994602118077206528", "994602118077206528")</f>
        <v/>
      </c>
      <c r="B729" s="2" t="n">
        <v>43230.65043981482</v>
      </c>
      <c r="C729" t="n">
        <v>1</v>
      </c>
      <c r="D729" t="n">
        <v>0</v>
      </c>
      <c r="E729" t="s">
        <v>739</v>
      </c>
      <c r="F729" t="s"/>
      <c r="G729" t="s"/>
      <c r="H729" t="s"/>
      <c r="I729" t="s"/>
      <c r="J729" t="n">
        <v>-0.34</v>
      </c>
      <c r="K729" t="n">
        <v>0.13</v>
      </c>
      <c r="L729" t="n">
        <v>0.87</v>
      </c>
      <c r="M729" t="n">
        <v>0</v>
      </c>
    </row>
    <row r="730" spans="1:13">
      <c r="A730" s="1">
        <f>HYPERLINK("http://www.twitter.com/NathanBLawrence/status/994596556006416391", "994596556006416391")</f>
        <v/>
      </c>
      <c r="B730" s="2" t="n">
        <v>43230.63509259259</v>
      </c>
      <c r="C730" t="n">
        <v>0</v>
      </c>
      <c r="D730" t="n">
        <v>14</v>
      </c>
      <c r="E730" t="s">
        <v>740</v>
      </c>
      <c r="F730" t="s"/>
      <c r="G730" t="s"/>
      <c r="H730" t="s"/>
      <c r="I730" t="s"/>
      <c r="J730" t="n">
        <v>0.6514</v>
      </c>
      <c r="K730" t="n">
        <v>0.105</v>
      </c>
      <c r="L730" t="n">
        <v>0.65</v>
      </c>
      <c r="M730" t="n">
        <v>0.245</v>
      </c>
    </row>
    <row r="731" spans="1:13">
      <c r="A731" s="1">
        <f>HYPERLINK("http://www.twitter.com/NathanBLawrence/status/994582978071289856", "994582978071289856")</f>
        <v/>
      </c>
      <c r="B731" s="2" t="n">
        <v>43230.59762731481</v>
      </c>
      <c r="C731" t="n">
        <v>0</v>
      </c>
      <c r="D731" t="n">
        <v>1</v>
      </c>
      <c r="E731" t="s">
        <v>741</v>
      </c>
      <c r="F731" t="s"/>
      <c r="G731" t="s"/>
      <c r="H731" t="s"/>
      <c r="I731" t="s"/>
      <c r="J731" t="n">
        <v>-0.765</v>
      </c>
      <c r="K731" t="n">
        <v>0.338</v>
      </c>
      <c r="L731" t="n">
        <v>0.586</v>
      </c>
      <c r="M731" t="n">
        <v>0.076</v>
      </c>
    </row>
    <row r="732" spans="1:13">
      <c r="A732" s="1">
        <f>HYPERLINK("http://www.twitter.com/NathanBLawrence/status/994581621788508160", "994581621788508160")</f>
        <v/>
      </c>
      <c r="B732" s="2" t="n">
        <v>43230.59387731482</v>
      </c>
      <c r="C732" t="n">
        <v>2</v>
      </c>
      <c r="D732" t="n">
        <v>0</v>
      </c>
      <c r="E732" t="s">
        <v>742</v>
      </c>
      <c r="F732">
        <f>HYPERLINK("http://pbs.twimg.com/media/Dc12tCdVQAET9fl.jpg", "http://pbs.twimg.com/media/Dc12tCdVQAET9fl.jpg")</f>
        <v/>
      </c>
      <c r="G732" t="s"/>
      <c r="H732" t="s"/>
      <c r="I732" t="s"/>
      <c r="J732" t="n">
        <v>-0.4199</v>
      </c>
      <c r="K732" t="n">
        <v>0.166</v>
      </c>
      <c r="L732" t="n">
        <v>0.834</v>
      </c>
      <c r="M732" t="n">
        <v>0</v>
      </c>
    </row>
    <row r="733" spans="1:13">
      <c r="A733" s="1">
        <f>HYPERLINK("http://www.twitter.com/NathanBLawrence/status/994575691080445953", "994575691080445953")</f>
        <v/>
      </c>
      <c r="B733" s="2" t="n">
        <v>43230.57751157408</v>
      </c>
      <c r="C733" t="n">
        <v>0</v>
      </c>
      <c r="D733" t="n">
        <v>0</v>
      </c>
      <c r="E733" t="s">
        <v>743</v>
      </c>
      <c r="F733">
        <f>HYPERLINK("http://pbs.twimg.com/media/Dc1xT1pVMAAqnDA.jpg", "http://pbs.twimg.com/media/Dc1xT1pVMAAqnDA.jpg")</f>
        <v/>
      </c>
      <c r="G733" t="s"/>
      <c r="H733" t="s"/>
      <c r="I733" t="s"/>
      <c r="J733" t="n">
        <v>-0.4995</v>
      </c>
      <c r="K733" t="n">
        <v>0.212</v>
      </c>
      <c r="L733" t="n">
        <v>0.788</v>
      </c>
      <c r="M733" t="n">
        <v>0</v>
      </c>
    </row>
    <row r="734" spans="1:13">
      <c r="A734" s="1">
        <f>HYPERLINK("http://www.twitter.com/NathanBLawrence/status/994575027872743424", "994575027872743424")</f>
        <v/>
      </c>
      <c r="B734" s="2" t="n">
        <v>43230.57568287037</v>
      </c>
      <c r="C734" t="n">
        <v>1</v>
      </c>
      <c r="D734" t="n">
        <v>0</v>
      </c>
      <c r="E734" t="s">
        <v>744</v>
      </c>
      <c r="F734">
        <f>HYPERLINK("http://pbs.twimg.com/media/Dc1wtl5U0AAihfx.jpg", "http://pbs.twimg.com/media/Dc1wtl5U0AAihfx.jpg")</f>
        <v/>
      </c>
      <c r="G734" t="s"/>
      <c r="H734" t="s"/>
      <c r="I734" t="s"/>
      <c r="J734" t="n">
        <v>0</v>
      </c>
      <c r="K734" t="n">
        <v>0</v>
      </c>
      <c r="L734" t="n">
        <v>1</v>
      </c>
      <c r="M734" t="n">
        <v>0</v>
      </c>
    </row>
    <row r="735" spans="1:13">
      <c r="A735" s="1">
        <f>HYPERLINK("http://www.twitter.com/NathanBLawrence/status/994574564486152192", "994574564486152192")</f>
        <v/>
      </c>
      <c r="B735" s="2" t="n">
        <v>43230.57440972222</v>
      </c>
      <c r="C735" t="n">
        <v>1</v>
      </c>
      <c r="D735" t="n">
        <v>0</v>
      </c>
      <c r="E735" t="s">
        <v>745</v>
      </c>
      <c r="F735">
        <f>HYPERLINK("http://pbs.twimg.com/media/Dc1wSURVwAAmL0Z.jpg", "http://pbs.twimg.com/media/Dc1wSURVwAAmL0Z.jpg")</f>
        <v/>
      </c>
      <c r="G735" t="s"/>
      <c r="H735" t="s"/>
      <c r="I735" t="s"/>
      <c r="J735" t="n">
        <v>0</v>
      </c>
      <c r="K735" t="n">
        <v>0</v>
      </c>
      <c r="L735" t="n">
        <v>1</v>
      </c>
      <c r="M735" t="n">
        <v>0</v>
      </c>
    </row>
    <row r="736" spans="1:13">
      <c r="A736" s="1">
        <f>HYPERLINK("http://www.twitter.com/NathanBLawrence/status/994571325753749504", "994571325753749504")</f>
        <v/>
      </c>
      <c r="B736" s="2" t="n">
        <v>43230.56546296296</v>
      </c>
      <c r="C736" t="n">
        <v>0</v>
      </c>
      <c r="D736" t="n">
        <v>0</v>
      </c>
      <c r="E736" t="s">
        <v>746</v>
      </c>
      <c r="F736">
        <f>HYPERLINK("http://pbs.twimg.com/media/Dc1tVzgV4AAgA5I.jpg", "http://pbs.twimg.com/media/Dc1tVzgV4AAgA5I.jpg")</f>
        <v/>
      </c>
      <c r="G736" t="s"/>
      <c r="H736" t="s"/>
      <c r="I736" t="s"/>
      <c r="J736" t="n">
        <v>0</v>
      </c>
      <c r="K736" t="n">
        <v>0</v>
      </c>
      <c r="L736" t="n">
        <v>1</v>
      </c>
      <c r="M736" t="n">
        <v>0</v>
      </c>
    </row>
    <row r="737" spans="1:13">
      <c r="A737" s="1">
        <f>HYPERLINK("http://www.twitter.com/NathanBLawrence/status/994567857152380928", "994567857152380928")</f>
        <v/>
      </c>
      <c r="B737" s="2" t="n">
        <v>43230.5558912037</v>
      </c>
      <c r="C737" t="n">
        <v>1</v>
      </c>
      <c r="D737" t="n">
        <v>1</v>
      </c>
      <c r="E737" t="s">
        <v>747</v>
      </c>
      <c r="F737">
        <f>HYPERLINK("http://pbs.twimg.com/media/Dc1qL-SW0AAKtNn.jpg", "http://pbs.twimg.com/media/Dc1qL-SW0AAKtNn.jpg")</f>
        <v/>
      </c>
      <c r="G737" t="s"/>
      <c r="H737" t="s"/>
      <c r="I737" t="s"/>
      <c r="J737" t="n">
        <v>0</v>
      </c>
      <c r="K737" t="n">
        <v>0</v>
      </c>
      <c r="L737" t="n">
        <v>1</v>
      </c>
      <c r="M737" t="n">
        <v>0</v>
      </c>
    </row>
    <row r="738" spans="1:13">
      <c r="A738" s="1">
        <f>HYPERLINK("http://www.twitter.com/NathanBLawrence/status/994566825433321472", "994566825433321472")</f>
        <v/>
      </c>
      <c r="B738" s="2" t="n">
        <v>43230.55304398148</v>
      </c>
      <c r="C738" t="n">
        <v>3</v>
      </c>
      <c r="D738" t="n">
        <v>0</v>
      </c>
      <c r="E738" t="s">
        <v>748</v>
      </c>
      <c r="F738" t="s"/>
      <c r="G738" t="s"/>
      <c r="H738" t="s"/>
      <c r="I738" t="s"/>
      <c r="J738" t="n">
        <v>0</v>
      </c>
      <c r="K738" t="n">
        <v>0</v>
      </c>
      <c r="L738" t="n">
        <v>1</v>
      </c>
      <c r="M738" t="n">
        <v>0</v>
      </c>
    </row>
    <row r="739" spans="1:13">
      <c r="A739" s="1">
        <f>HYPERLINK("http://www.twitter.com/NathanBLawrence/status/994565797870821376", "994565797870821376")</f>
        <v/>
      </c>
      <c r="B739" s="2" t="n">
        <v>43230.55021990741</v>
      </c>
      <c r="C739" t="n">
        <v>0</v>
      </c>
      <c r="D739" t="n">
        <v>2</v>
      </c>
      <c r="E739" t="s">
        <v>749</v>
      </c>
      <c r="F739">
        <f>HYPERLINK("http://pbs.twimg.com/media/DcyTXzIUQAEhxqs.jpg", "http://pbs.twimg.com/media/DcyTXzIUQAEhxqs.jpg")</f>
        <v/>
      </c>
      <c r="G739" t="s"/>
      <c r="H739" t="s"/>
      <c r="I739" t="s"/>
      <c r="J739" t="n">
        <v>0.4939</v>
      </c>
      <c r="K739" t="n">
        <v>0.147</v>
      </c>
      <c r="L739" t="n">
        <v>0.6</v>
      </c>
      <c r="M739" t="n">
        <v>0.253</v>
      </c>
    </row>
    <row r="740" spans="1:13">
      <c r="A740" s="1">
        <f>HYPERLINK("http://www.twitter.com/NathanBLawrence/status/994561671707484161", "994561671707484161")</f>
        <v/>
      </c>
      <c r="B740" s="2" t="n">
        <v>43230.53883101852</v>
      </c>
      <c r="C740" t="n">
        <v>7</v>
      </c>
      <c r="D740" t="n">
        <v>1</v>
      </c>
      <c r="E740" t="s">
        <v>750</v>
      </c>
      <c r="F740" t="s"/>
      <c r="G740" t="s"/>
      <c r="H740" t="s"/>
      <c r="I740" t="s"/>
      <c r="J740" t="n">
        <v>-0.4767</v>
      </c>
      <c r="K740" t="n">
        <v>0.237</v>
      </c>
      <c r="L740" t="n">
        <v>0.763</v>
      </c>
      <c r="M740" t="n">
        <v>0</v>
      </c>
    </row>
    <row r="741" spans="1:13">
      <c r="A741" s="1">
        <f>HYPERLINK("http://www.twitter.com/NathanBLawrence/status/994561061893427200", "994561061893427200")</f>
        <v/>
      </c>
      <c r="B741" s="2" t="n">
        <v>43230.53714120371</v>
      </c>
      <c r="C741" t="n">
        <v>10</v>
      </c>
      <c r="D741" t="n">
        <v>2</v>
      </c>
      <c r="E741" t="s">
        <v>751</v>
      </c>
      <c r="F741" t="s"/>
      <c r="G741" t="s"/>
      <c r="H741" t="s"/>
      <c r="I741" t="s"/>
      <c r="J741" t="n">
        <v>-0.4973</v>
      </c>
      <c r="K741" t="n">
        <v>0.161</v>
      </c>
      <c r="L741" t="n">
        <v>0.735</v>
      </c>
      <c r="M741" t="n">
        <v>0.104</v>
      </c>
    </row>
    <row r="742" spans="1:13">
      <c r="A742" s="1">
        <f>HYPERLINK("http://www.twitter.com/NathanBLawrence/status/994559062506463233", "994559062506463233")</f>
        <v/>
      </c>
      <c r="B742" s="2" t="n">
        <v>43230.53163194445</v>
      </c>
      <c r="C742" t="n">
        <v>5</v>
      </c>
      <c r="D742" t="n">
        <v>1</v>
      </c>
      <c r="E742" t="s">
        <v>752</v>
      </c>
      <c r="F742" t="s"/>
      <c r="G742" t="s"/>
      <c r="H742" t="s"/>
      <c r="I742" t="s"/>
      <c r="J742" t="n">
        <v>-0.8843</v>
      </c>
      <c r="K742" t="n">
        <v>0.418</v>
      </c>
      <c r="L742" t="n">
        <v>0.582</v>
      </c>
      <c r="M742" t="n">
        <v>0</v>
      </c>
    </row>
    <row r="743" spans="1:13">
      <c r="A743" s="1">
        <f>HYPERLINK("http://www.twitter.com/NathanBLawrence/status/994557451537145856", "994557451537145856")</f>
        <v/>
      </c>
      <c r="B743" s="2" t="n">
        <v>43230.5271875</v>
      </c>
      <c r="C743" t="n">
        <v>1</v>
      </c>
      <c r="D743" t="n">
        <v>1</v>
      </c>
      <c r="E743" t="s">
        <v>753</v>
      </c>
      <c r="F743">
        <f>HYPERLINK("http://pbs.twimg.com/media/Dc1guQQVMAAV2vZ.jpg", "http://pbs.twimg.com/media/Dc1guQQVMAAV2vZ.jpg")</f>
        <v/>
      </c>
      <c r="G743" t="s"/>
      <c r="H743" t="s"/>
      <c r="I743" t="s"/>
      <c r="J743" t="n">
        <v>-0.9661999999999999</v>
      </c>
      <c r="K743" t="n">
        <v>0.385</v>
      </c>
      <c r="L743" t="n">
        <v>0.615</v>
      </c>
      <c r="M743" t="n">
        <v>0</v>
      </c>
    </row>
    <row r="744" spans="1:13">
      <c r="A744" s="1">
        <f>HYPERLINK("http://www.twitter.com/NathanBLawrence/status/994552256568717313", "994552256568717313")</f>
        <v/>
      </c>
      <c r="B744" s="2" t="n">
        <v>43230.51284722222</v>
      </c>
      <c r="C744" t="n">
        <v>0</v>
      </c>
      <c r="D744" t="n">
        <v>0</v>
      </c>
      <c r="E744" t="s">
        <v>754</v>
      </c>
      <c r="F744" t="s"/>
      <c r="G744" t="s"/>
      <c r="H744" t="s"/>
      <c r="I744" t="s"/>
      <c r="J744" t="n">
        <v>0</v>
      </c>
      <c r="K744" t="n">
        <v>0</v>
      </c>
      <c r="L744" t="n">
        <v>1</v>
      </c>
      <c r="M744" t="n">
        <v>0</v>
      </c>
    </row>
    <row r="745" spans="1:13">
      <c r="A745" s="1">
        <f>HYPERLINK("http://www.twitter.com/NathanBLawrence/status/994551798483562496", "994551798483562496")</f>
        <v/>
      </c>
      <c r="B745" s="2" t="n">
        <v>43230.51158564815</v>
      </c>
      <c r="C745" t="n">
        <v>0</v>
      </c>
      <c r="D745" t="n">
        <v>0</v>
      </c>
      <c r="E745" t="s">
        <v>755</v>
      </c>
      <c r="F745" t="s"/>
      <c r="G745" t="s"/>
      <c r="H745" t="s"/>
      <c r="I745" t="s"/>
      <c r="J745" t="n">
        <v>0</v>
      </c>
      <c r="K745" t="n">
        <v>0</v>
      </c>
      <c r="L745" t="n">
        <v>1</v>
      </c>
      <c r="M745" t="n">
        <v>0</v>
      </c>
    </row>
    <row r="746" spans="1:13">
      <c r="A746" s="1">
        <f>HYPERLINK("http://www.twitter.com/NathanBLawrence/status/994551022457704448", "994551022457704448")</f>
        <v/>
      </c>
      <c r="B746" s="2" t="n">
        <v>43230.50944444445</v>
      </c>
      <c r="C746" t="n">
        <v>0</v>
      </c>
      <c r="D746" t="n">
        <v>0</v>
      </c>
      <c r="E746" t="s">
        <v>756</v>
      </c>
      <c r="F746">
        <f>HYPERLINK("http://pbs.twimg.com/media/Dc1a4I-V4AAMEtf.jpg", "http://pbs.twimg.com/media/Dc1a4I-V4AAMEtf.jpg")</f>
        <v/>
      </c>
      <c r="G746" t="s"/>
      <c r="H746" t="s"/>
      <c r="I746" t="s"/>
      <c r="J746" t="n">
        <v>0</v>
      </c>
      <c r="K746" t="n">
        <v>0</v>
      </c>
      <c r="L746" t="n">
        <v>1</v>
      </c>
      <c r="M746" t="n">
        <v>0</v>
      </c>
    </row>
    <row r="747" spans="1:13">
      <c r="A747" s="1">
        <f>HYPERLINK("http://www.twitter.com/NathanBLawrence/status/994550478208929793", "994550478208929793")</f>
        <v/>
      </c>
      <c r="B747" s="2" t="n">
        <v>43230.50793981482</v>
      </c>
      <c r="C747" t="n">
        <v>1</v>
      </c>
      <c r="D747" t="n">
        <v>0</v>
      </c>
      <c r="E747" t="s">
        <v>757</v>
      </c>
      <c r="F747">
        <f>HYPERLINK("http://pbs.twimg.com/media/Dc1aYmdV0AEE97L.jpg", "http://pbs.twimg.com/media/Dc1aYmdV0AEE97L.jpg")</f>
        <v/>
      </c>
      <c r="G747" t="s"/>
      <c r="H747" t="s"/>
      <c r="I747" t="s"/>
      <c r="J747" t="n">
        <v>-0.6597</v>
      </c>
      <c r="K747" t="n">
        <v>0.474</v>
      </c>
      <c r="L747" t="n">
        <v>0.526</v>
      </c>
      <c r="M747" t="n">
        <v>0</v>
      </c>
    </row>
    <row r="748" spans="1:13">
      <c r="A748" s="1">
        <f>HYPERLINK("http://www.twitter.com/NathanBLawrence/status/994549168692752385", "994549168692752385")</f>
        <v/>
      </c>
      <c r="B748" s="2" t="n">
        <v>43230.5043287037</v>
      </c>
      <c r="C748" t="n">
        <v>0</v>
      </c>
      <c r="D748" t="n">
        <v>1</v>
      </c>
      <c r="E748" t="s">
        <v>758</v>
      </c>
      <c r="F748">
        <f>HYPERLINK("http://pbs.twimg.com/media/DczhgeLUQAAITVG.jpg", "http://pbs.twimg.com/media/DczhgeLUQAAITVG.jpg")</f>
        <v/>
      </c>
      <c r="G748" t="s"/>
      <c r="H748" t="s"/>
      <c r="I748" t="s"/>
      <c r="J748" t="n">
        <v>-0.5266999999999999</v>
      </c>
      <c r="K748" t="n">
        <v>0.207</v>
      </c>
      <c r="L748" t="n">
        <v>0.793</v>
      </c>
      <c r="M748" t="n">
        <v>0</v>
      </c>
    </row>
    <row r="749" spans="1:13">
      <c r="A749" s="1">
        <f>HYPERLINK("http://www.twitter.com/NathanBLawrence/status/994548804551659520", "994548804551659520")</f>
        <v/>
      </c>
      <c r="B749" s="2" t="n">
        <v>43230.50332175926</v>
      </c>
      <c r="C749" t="n">
        <v>0</v>
      </c>
      <c r="D749" t="n">
        <v>0</v>
      </c>
      <c r="E749" t="s">
        <v>759</v>
      </c>
      <c r="F749" t="s"/>
      <c r="G749" t="s"/>
      <c r="H749" t="s"/>
      <c r="I749" t="s"/>
      <c r="J749" t="n">
        <v>0</v>
      </c>
      <c r="K749" t="n">
        <v>0</v>
      </c>
      <c r="L749" t="n">
        <v>1</v>
      </c>
      <c r="M749" t="n">
        <v>0</v>
      </c>
    </row>
    <row r="750" spans="1:13">
      <c r="A750" s="1">
        <f>HYPERLINK("http://www.twitter.com/NathanBLawrence/status/994546691238920192", "994546691238920192")</f>
        <v/>
      </c>
      <c r="B750" s="2" t="n">
        <v>43230.49748842593</v>
      </c>
      <c r="C750" t="n">
        <v>3</v>
      </c>
      <c r="D750" t="n">
        <v>0</v>
      </c>
      <c r="E750" t="s">
        <v>760</v>
      </c>
      <c r="F750">
        <f>HYPERLINK("http://pbs.twimg.com/media/Dc1W71fUQAI2srR.jpg", "http://pbs.twimg.com/media/Dc1W71fUQAI2srR.jpg")</f>
        <v/>
      </c>
      <c r="G750" t="s"/>
      <c r="H750" t="s"/>
      <c r="I750" t="s"/>
      <c r="J750" t="n">
        <v>0</v>
      </c>
      <c r="K750" t="n">
        <v>0</v>
      </c>
      <c r="L750" t="n">
        <v>1</v>
      </c>
      <c r="M750" t="n">
        <v>0</v>
      </c>
    </row>
    <row r="751" spans="1:13">
      <c r="A751" s="1">
        <f>HYPERLINK("http://www.twitter.com/NathanBLawrence/status/994545225023541248", "994545225023541248")</f>
        <v/>
      </c>
      <c r="B751" s="2" t="n">
        <v>43230.49344907407</v>
      </c>
      <c r="C751" t="n">
        <v>0</v>
      </c>
      <c r="D751" t="n">
        <v>0</v>
      </c>
      <c r="E751" t="s">
        <v>761</v>
      </c>
      <c r="F751">
        <f>HYPERLINK("http://pbs.twimg.com/media/Dc1VmnyUwAAvXy_.jpg", "http://pbs.twimg.com/media/Dc1VmnyUwAAvXy_.jpg")</f>
        <v/>
      </c>
      <c r="G751" t="s"/>
      <c r="H751" t="s"/>
      <c r="I751" t="s"/>
      <c r="J751" t="n">
        <v>-0.5983000000000001</v>
      </c>
      <c r="K751" t="n">
        <v>0.174</v>
      </c>
      <c r="L751" t="n">
        <v>0.766</v>
      </c>
      <c r="M751" t="n">
        <v>0.06</v>
      </c>
    </row>
    <row r="752" spans="1:13">
      <c r="A752" s="1">
        <f>HYPERLINK("http://www.twitter.com/NathanBLawrence/status/994542066683318272", "994542066683318272")</f>
        <v/>
      </c>
      <c r="B752" s="2" t="n">
        <v>43230.48473379629</v>
      </c>
      <c r="C752" t="n">
        <v>0</v>
      </c>
      <c r="D752" t="n">
        <v>3</v>
      </c>
      <c r="E752" t="s">
        <v>762</v>
      </c>
      <c r="F752">
        <f>HYPERLINK("http://pbs.twimg.com/media/Dc1SbQOVMAIdZ81.jpg", "http://pbs.twimg.com/media/Dc1SbQOVMAIdZ81.jpg")</f>
        <v/>
      </c>
      <c r="G752" t="s"/>
      <c r="H752" t="s"/>
      <c r="I752" t="s"/>
      <c r="J752" t="n">
        <v>0</v>
      </c>
      <c r="K752" t="n">
        <v>0</v>
      </c>
      <c r="L752" t="n">
        <v>1</v>
      </c>
      <c r="M752" t="n">
        <v>0</v>
      </c>
    </row>
    <row r="753" spans="1:13">
      <c r="A753" s="1">
        <f>HYPERLINK("http://www.twitter.com/NathanBLawrence/status/994541947770503169", "994541947770503169")</f>
        <v/>
      </c>
      <c r="B753" s="2" t="n">
        <v>43230.48439814815</v>
      </c>
      <c r="C753" t="n">
        <v>14</v>
      </c>
      <c r="D753" t="n">
        <v>6</v>
      </c>
      <c r="E753" t="s">
        <v>763</v>
      </c>
      <c r="F753">
        <f>HYPERLINK("http://pbs.twimg.com/media/Dc1SnztXUAA0WsP.jpg", "http://pbs.twimg.com/media/Dc1SnztXUAA0WsP.jpg")</f>
        <v/>
      </c>
      <c r="G753" t="s"/>
      <c r="H753" t="s"/>
      <c r="I753" t="s"/>
      <c r="J753" t="n">
        <v>0.3384</v>
      </c>
      <c r="K753" t="n">
        <v>0</v>
      </c>
      <c r="L753" t="n">
        <v>0.947</v>
      </c>
      <c r="M753" t="n">
        <v>0.053</v>
      </c>
    </row>
    <row r="754" spans="1:13">
      <c r="A754" s="1">
        <f>HYPERLINK("http://www.twitter.com/NathanBLawrence/status/994538244678316032", "994538244678316032")</f>
        <v/>
      </c>
      <c r="B754" s="2" t="n">
        <v>43230.47417824074</v>
      </c>
      <c r="C754" t="n">
        <v>0</v>
      </c>
      <c r="D754" t="n">
        <v>3</v>
      </c>
      <c r="E754" t="s">
        <v>764</v>
      </c>
      <c r="F754" t="s"/>
      <c r="G754" t="s"/>
      <c r="H754" t="s"/>
      <c r="I754" t="s"/>
      <c r="J754" t="n">
        <v>-0.296</v>
      </c>
      <c r="K754" t="n">
        <v>0.109</v>
      </c>
      <c r="L754" t="n">
        <v>0.891</v>
      </c>
      <c r="M754" t="n">
        <v>0</v>
      </c>
    </row>
    <row r="755" spans="1:13">
      <c r="A755" s="1">
        <f>HYPERLINK("http://www.twitter.com/NathanBLawrence/status/994536797471428608", "994536797471428608")</f>
        <v/>
      </c>
      <c r="B755" s="2" t="n">
        <v>43230.47018518519</v>
      </c>
      <c r="C755" t="n">
        <v>0</v>
      </c>
      <c r="D755" t="n">
        <v>5</v>
      </c>
      <c r="E755" t="s">
        <v>765</v>
      </c>
      <c r="F755" t="s"/>
      <c r="G755" t="s"/>
      <c r="H755" t="s"/>
      <c r="I755" t="s"/>
      <c r="J755" t="n">
        <v>0.7227</v>
      </c>
      <c r="K755" t="n">
        <v>0</v>
      </c>
      <c r="L755" t="n">
        <v>0.694</v>
      </c>
      <c r="M755" t="n">
        <v>0.306</v>
      </c>
    </row>
    <row r="756" spans="1:13">
      <c r="A756" s="1">
        <f>HYPERLINK("http://www.twitter.com/NathanBLawrence/status/994535831439380480", "994535831439380480")</f>
        <v/>
      </c>
      <c r="B756" s="2" t="n">
        <v>43230.46752314815</v>
      </c>
      <c r="C756" t="n">
        <v>0</v>
      </c>
      <c r="D756" t="n">
        <v>15</v>
      </c>
      <c r="E756" t="s">
        <v>766</v>
      </c>
      <c r="F756" t="s"/>
      <c r="G756" t="s"/>
      <c r="H756" t="s"/>
      <c r="I756" t="s"/>
      <c r="J756" t="n">
        <v>-0.8316</v>
      </c>
      <c r="K756" t="n">
        <v>0.286</v>
      </c>
      <c r="L756" t="n">
        <v>0.714</v>
      </c>
      <c r="M756" t="n">
        <v>0</v>
      </c>
    </row>
    <row r="757" spans="1:13">
      <c r="A757" s="1">
        <f>HYPERLINK("http://www.twitter.com/NathanBLawrence/status/994409357042421760", "994409357042421760")</f>
        <v/>
      </c>
      <c r="B757" s="2" t="n">
        <v>43230.11851851852</v>
      </c>
      <c r="C757" t="n">
        <v>2</v>
      </c>
      <c r="D757" t="n">
        <v>0</v>
      </c>
      <c r="E757" t="s">
        <v>767</v>
      </c>
      <c r="F757">
        <f>HYPERLINK("http://pbs.twimg.com/media/DczaCRIVQAAxmKx.jpg", "http://pbs.twimg.com/media/DczaCRIVQAAxmKx.jpg")</f>
        <v/>
      </c>
      <c r="G757" t="s"/>
      <c r="H757" t="s"/>
      <c r="I757" t="s"/>
      <c r="J757" t="n">
        <v>0</v>
      </c>
      <c r="K757" t="n">
        <v>0</v>
      </c>
      <c r="L757" t="n">
        <v>1</v>
      </c>
      <c r="M757" t="n">
        <v>0</v>
      </c>
    </row>
    <row r="758" spans="1:13">
      <c r="A758" s="1">
        <f>HYPERLINK("http://www.twitter.com/NathanBLawrence/status/994404465791954945", "994404465791954945")</f>
        <v/>
      </c>
      <c r="B758" s="2" t="n">
        <v>43230.10502314815</v>
      </c>
      <c r="C758" t="n">
        <v>0</v>
      </c>
      <c r="D758" t="n">
        <v>14</v>
      </c>
      <c r="E758" t="s">
        <v>768</v>
      </c>
      <c r="F758" t="s"/>
      <c r="G758" t="s"/>
      <c r="H758" t="s"/>
      <c r="I758" t="s"/>
      <c r="J758" t="n">
        <v>-0.8401999999999999</v>
      </c>
      <c r="K758" t="n">
        <v>0.375</v>
      </c>
      <c r="L758" t="n">
        <v>0.625</v>
      </c>
      <c r="M758" t="n">
        <v>0</v>
      </c>
    </row>
    <row r="759" spans="1:13">
      <c r="A759" s="1">
        <f>HYPERLINK("http://www.twitter.com/NathanBLawrence/status/994391769092632576", "994391769092632576")</f>
        <v/>
      </c>
      <c r="B759" s="2" t="n">
        <v>43230.06998842592</v>
      </c>
      <c r="C759" t="n">
        <v>0</v>
      </c>
      <c r="D759" t="n">
        <v>6</v>
      </c>
      <c r="E759" t="s">
        <v>769</v>
      </c>
      <c r="F759" t="s"/>
      <c r="G759" t="s"/>
      <c r="H759" t="s"/>
      <c r="I759" t="s"/>
      <c r="J759" t="n">
        <v>0.6131</v>
      </c>
      <c r="K759" t="n">
        <v>0</v>
      </c>
      <c r="L759" t="n">
        <v>0.8080000000000001</v>
      </c>
      <c r="M759" t="n">
        <v>0.192</v>
      </c>
    </row>
    <row r="760" spans="1:13">
      <c r="A760" s="1">
        <f>HYPERLINK("http://www.twitter.com/NathanBLawrence/status/994390608717533185", "994390608717533185")</f>
        <v/>
      </c>
      <c r="B760" s="2" t="n">
        <v>43230.0667824074</v>
      </c>
      <c r="C760" t="n">
        <v>1</v>
      </c>
      <c r="D760" t="n">
        <v>1</v>
      </c>
      <c r="E760" t="s">
        <v>770</v>
      </c>
      <c r="F760">
        <f>HYPERLINK("http://pbs.twimg.com/media/DczI_COU0AU8M-_.jpg", "http://pbs.twimg.com/media/DczI_COU0AU8M-_.jpg")</f>
        <v/>
      </c>
      <c r="G760" t="s"/>
      <c r="H760" t="s"/>
      <c r="I760" t="s"/>
      <c r="J760" t="n">
        <v>0</v>
      </c>
      <c r="K760" t="n">
        <v>0</v>
      </c>
      <c r="L760" t="n">
        <v>1</v>
      </c>
      <c r="M760" t="n">
        <v>0</v>
      </c>
    </row>
    <row r="761" spans="1:13">
      <c r="A761" s="1">
        <f>HYPERLINK("http://www.twitter.com/NathanBLawrence/status/994390381889576960", "994390381889576960")</f>
        <v/>
      </c>
      <c r="B761" s="2" t="n">
        <v>43230.0661574074</v>
      </c>
      <c r="C761" t="n">
        <v>0</v>
      </c>
      <c r="D761" t="n">
        <v>3</v>
      </c>
      <c r="E761" t="s">
        <v>771</v>
      </c>
      <c r="F761" t="s"/>
      <c r="G761" t="s"/>
      <c r="H761" t="s"/>
      <c r="I761" t="s"/>
      <c r="J761" t="n">
        <v>-0.5574</v>
      </c>
      <c r="K761" t="n">
        <v>0.159</v>
      </c>
      <c r="L761" t="n">
        <v>0.841</v>
      </c>
      <c r="M761" t="n">
        <v>0</v>
      </c>
    </row>
    <row r="762" spans="1:13">
      <c r="A762" s="1">
        <f>HYPERLINK("http://www.twitter.com/NathanBLawrence/status/994388509548011521", "994388509548011521")</f>
        <v/>
      </c>
      <c r="B762" s="2" t="n">
        <v>43230.06099537037</v>
      </c>
      <c r="C762" t="n">
        <v>1</v>
      </c>
      <c r="D762" t="n">
        <v>0</v>
      </c>
      <c r="E762" t="s">
        <v>772</v>
      </c>
      <c r="F762" t="s"/>
      <c r="G762" t="s"/>
      <c r="H762" t="s"/>
      <c r="I762" t="s"/>
      <c r="J762" t="n">
        <v>0.6486</v>
      </c>
      <c r="K762" t="n">
        <v>0</v>
      </c>
      <c r="L762" t="n">
        <v>0.654</v>
      </c>
      <c r="M762" t="n">
        <v>0.346</v>
      </c>
    </row>
    <row r="763" spans="1:13">
      <c r="A763" s="1">
        <f>HYPERLINK("http://www.twitter.com/NathanBLawrence/status/994386564582080513", "994386564582080513")</f>
        <v/>
      </c>
      <c r="B763" s="2" t="n">
        <v>43230.055625</v>
      </c>
      <c r="C763" t="n">
        <v>0</v>
      </c>
      <c r="D763" t="n">
        <v>10</v>
      </c>
      <c r="E763" t="s">
        <v>773</v>
      </c>
      <c r="F763">
        <f>HYPERLINK("http://pbs.twimg.com/media/DcYdFVDU0AEokT8.jpg", "http://pbs.twimg.com/media/DcYdFVDU0AEokT8.jpg")</f>
        <v/>
      </c>
      <c r="G763" t="s"/>
      <c r="H763" t="s"/>
      <c r="I763" t="s"/>
      <c r="J763" t="n">
        <v>0.8109</v>
      </c>
      <c r="K763" t="n">
        <v>0</v>
      </c>
      <c r="L763" t="n">
        <v>0.721</v>
      </c>
      <c r="M763" t="n">
        <v>0.279</v>
      </c>
    </row>
    <row r="764" spans="1:13">
      <c r="A764" s="1">
        <f>HYPERLINK("http://www.twitter.com/NathanBLawrence/status/994385680045309953", "994385680045309953")</f>
        <v/>
      </c>
      <c r="B764" s="2" t="n">
        <v>43230.05318287037</v>
      </c>
      <c r="C764" t="n">
        <v>2</v>
      </c>
      <c r="D764" t="n">
        <v>0</v>
      </c>
      <c r="E764" t="s">
        <v>774</v>
      </c>
      <c r="F764" t="s"/>
      <c r="G764" t="s"/>
      <c r="H764" t="s"/>
      <c r="I764" t="s"/>
      <c r="J764" t="n">
        <v>-0.296</v>
      </c>
      <c r="K764" t="n">
        <v>0.051</v>
      </c>
      <c r="L764" t="n">
        <v>0.949</v>
      </c>
      <c r="M764" t="n">
        <v>0</v>
      </c>
    </row>
    <row r="765" spans="1:13">
      <c r="A765" s="1">
        <f>HYPERLINK("http://www.twitter.com/NathanBLawrence/status/994383751231754240", "994383751231754240")</f>
        <v/>
      </c>
      <c r="B765" s="2" t="n">
        <v>43230.04785879629</v>
      </c>
      <c r="C765" t="n">
        <v>1</v>
      </c>
      <c r="D765" t="n">
        <v>0</v>
      </c>
      <c r="E765" t="s">
        <v>775</v>
      </c>
      <c r="F765">
        <f>HYPERLINK("http://pbs.twimg.com/media/DczCv02VQAAdS3h.jpg", "http://pbs.twimg.com/media/DczCv02VQAAdS3h.jpg")</f>
        <v/>
      </c>
      <c r="G765" t="s"/>
      <c r="H765" t="s"/>
      <c r="I765" t="s"/>
      <c r="J765" t="n">
        <v>0</v>
      </c>
      <c r="K765" t="n">
        <v>0</v>
      </c>
      <c r="L765" t="n">
        <v>1</v>
      </c>
      <c r="M765" t="n">
        <v>0</v>
      </c>
    </row>
    <row r="766" spans="1:13">
      <c r="A766" s="1">
        <f>HYPERLINK("http://www.twitter.com/NathanBLawrence/status/994383491356905473", "994383491356905473")</f>
        <v/>
      </c>
      <c r="B766" s="2" t="n">
        <v>43230.0471412037</v>
      </c>
      <c r="C766" t="n">
        <v>1</v>
      </c>
      <c r="D766" t="n">
        <v>0</v>
      </c>
      <c r="E766" t="s">
        <v>776</v>
      </c>
      <c r="F766">
        <f>HYPERLINK("http://pbs.twimg.com/media/DczCgp5VQAA-Qbo.jpg", "http://pbs.twimg.com/media/DczCgp5VQAA-Qbo.jpg")</f>
        <v/>
      </c>
      <c r="G766" t="s"/>
      <c r="H766" t="s"/>
      <c r="I766" t="s"/>
      <c r="J766" t="n">
        <v>0</v>
      </c>
      <c r="K766" t="n">
        <v>0</v>
      </c>
      <c r="L766" t="n">
        <v>1</v>
      </c>
      <c r="M766" t="n">
        <v>0</v>
      </c>
    </row>
    <row r="767" spans="1:13">
      <c r="A767" s="1">
        <f>HYPERLINK("http://www.twitter.com/NathanBLawrence/status/994381771608387585", "994381771608387585")</f>
        <v/>
      </c>
      <c r="B767" s="2" t="n">
        <v>43230.04239583333</v>
      </c>
      <c r="C767" t="n">
        <v>0</v>
      </c>
      <c r="D767" t="n">
        <v>0</v>
      </c>
      <c r="E767" t="s">
        <v>777</v>
      </c>
      <c r="F767" t="s"/>
      <c r="G767" t="s"/>
      <c r="H767" t="s"/>
      <c r="I767" t="s"/>
      <c r="J767" t="n">
        <v>0.872</v>
      </c>
      <c r="K767" t="n">
        <v>0.099</v>
      </c>
      <c r="L767" t="n">
        <v>0.639</v>
      </c>
      <c r="M767" t="n">
        <v>0.261</v>
      </c>
    </row>
    <row r="768" spans="1:13">
      <c r="A768" s="1">
        <f>HYPERLINK("http://www.twitter.com/NathanBLawrence/status/994379138516553728", "994379138516553728")</f>
        <v/>
      </c>
      <c r="B768" s="2" t="n">
        <v>43230.03512731481</v>
      </c>
      <c r="C768" t="n">
        <v>0</v>
      </c>
      <c r="D768" t="n">
        <v>9</v>
      </c>
      <c r="E768" t="s">
        <v>778</v>
      </c>
      <c r="F768" t="s"/>
      <c r="G768" t="s"/>
      <c r="H768" t="s"/>
      <c r="I768" t="s"/>
      <c r="J768" t="n">
        <v>0.5266999999999999</v>
      </c>
      <c r="K768" t="n">
        <v>0.08500000000000001</v>
      </c>
      <c r="L768" t="n">
        <v>0.6909999999999999</v>
      </c>
      <c r="M768" t="n">
        <v>0.224</v>
      </c>
    </row>
    <row r="769" spans="1:13">
      <c r="A769" s="1">
        <f>HYPERLINK("http://www.twitter.com/NathanBLawrence/status/994361337454256129", "994361337454256129")</f>
        <v/>
      </c>
      <c r="B769" s="2" t="n">
        <v>43229.98600694445</v>
      </c>
      <c r="C769" t="n">
        <v>1</v>
      </c>
      <c r="D769" t="n">
        <v>0</v>
      </c>
      <c r="E769" t="s">
        <v>779</v>
      </c>
      <c r="F769" t="s"/>
      <c r="G769" t="s"/>
      <c r="H769" t="s"/>
      <c r="I769" t="s"/>
      <c r="J769" t="n">
        <v>-0.3566</v>
      </c>
      <c r="K769" t="n">
        <v>0.261</v>
      </c>
      <c r="L769" t="n">
        <v>0.739</v>
      </c>
      <c r="M769" t="n">
        <v>0</v>
      </c>
    </row>
    <row r="770" spans="1:13">
      <c r="A770" s="1">
        <f>HYPERLINK("http://www.twitter.com/NathanBLawrence/status/994361045799104512", "994361045799104512")</f>
        <v/>
      </c>
      <c r="B770" s="2" t="n">
        <v>43229.98520833333</v>
      </c>
      <c r="C770" t="n">
        <v>0</v>
      </c>
      <c r="D770" t="n">
        <v>1</v>
      </c>
      <c r="E770" t="s">
        <v>780</v>
      </c>
      <c r="F770" t="s"/>
      <c r="G770" t="s"/>
      <c r="H770" t="s"/>
      <c r="I770" t="s"/>
      <c r="J770" t="n">
        <v>0.4449</v>
      </c>
      <c r="K770" t="n">
        <v>0</v>
      </c>
      <c r="L770" t="n">
        <v>0.79</v>
      </c>
      <c r="M770" t="n">
        <v>0.21</v>
      </c>
    </row>
    <row r="771" spans="1:13">
      <c r="A771" s="1">
        <f>HYPERLINK("http://www.twitter.com/NathanBLawrence/status/994360299682660352", "994360299682660352")</f>
        <v/>
      </c>
      <c r="B771" s="2" t="n">
        <v>43229.98314814815</v>
      </c>
      <c r="C771" t="n">
        <v>0</v>
      </c>
      <c r="D771" t="n">
        <v>0</v>
      </c>
      <c r="E771" t="s">
        <v>781</v>
      </c>
      <c r="F771" t="s"/>
      <c r="G771" t="s"/>
      <c r="H771" t="s"/>
      <c r="I771" t="s"/>
      <c r="J771" t="n">
        <v>0.855</v>
      </c>
      <c r="K771" t="n">
        <v>0.082</v>
      </c>
      <c r="L771" t="n">
        <v>0.715</v>
      </c>
      <c r="M771" t="n">
        <v>0.204</v>
      </c>
    </row>
    <row r="772" spans="1:13">
      <c r="A772" s="1">
        <f>HYPERLINK("http://www.twitter.com/NathanBLawrence/status/994358692874252289", "994358692874252289")</f>
        <v/>
      </c>
      <c r="B772" s="2" t="n">
        <v>43229.97871527778</v>
      </c>
      <c r="C772" t="n">
        <v>0</v>
      </c>
      <c r="D772" t="n">
        <v>0</v>
      </c>
      <c r="E772" t="s">
        <v>782</v>
      </c>
      <c r="F772" t="s"/>
      <c r="G772" t="s"/>
      <c r="H772" t="s"/>
      <c r="I772" t="s"/>
      <c r="J772" t="n">
        <v>0</v>
      </c>
      <c r="K772" t="n">
        <v>0</v>
      </c>
      <c r="L772" t="n">
        <v>1</v>
      </c>
      <c r="M772" t="n">
        <v>0</v>
      </c>
    </row>
    <row r="773" spans="1:13">
      <c r="A773" s="1">
        <f>HYPERLINK("http://www.twitter.com/NathanBLawrence/status/994357853665230848", "994357853665230848")</f>
        <v/>
      </c>
      <c r="B773" s="2" t="n">
        <v>43229.97640046296</v>
      </c>
      <c r="C773" t="n">
        <v>1</v>
      </c>
      <c r="D773" t="n">
        <v>0</v>
      </c>
      <c r="E773" t="s">
        <v>783</v>
      </c>
      <c r="F773" t="s"/>
      <c r="G773" t="s"/>
      <c r="H773" t="s"/>
      <c r="I773" t="s"/>
      <c r="J773" t="n">
        <v>0.2057</v>
      </c>
      <c r="K773" t="n">
        <v>0</v>
      </c>
      <c r="L773" t="n">
        <v>0.9320000000000001</v>
      </c>
      <c r="M773" t="n">
        <v>0.068</v>
      </c>
    </row>
    <row r="774" spans="1:13">
      <c r="A774" s="1">
        <f>HYPERLINK("http://www.twitter.com/NathanBLawrence/status/994355237577220096", "994355237577220096")</f>
        <v/>
      </c>
      <c r="B774" s="2" t="n">
        <v>43229.96917824074</v>
      </c>
      <c r="C774" t="n">
        <v>1</v>
      </c>
      <c r="D774" t="n">
        <v>0</v>
      </c>
      <c r="E774" t="s">
        <v>784</v>
      </c>
      <c r="F774" t="s"/>
      <c r="G774" t="s"/>
      <c r="H774" t="s"/>
      <c r="I774" t="s"/>
      <c r="J774" t="n">
        <v>0</v>
      </c>
      <c r="K774" t="n">
        <v>0</v>
      </c>
      <c r="L774" t="n">
        <v>1</v>
      </c>
      <c r="M774" t="n">
        <v>0</v>
      </c>
    </row>
    <row r="775" spans="1:13">
      <c r="A775" s="1">
        <f>HYPERLINK("http://www.twitter.com/NathanBLawrence/status/994354890657947648", "994354890657947648")</f>
        <v/>
      </c>
      <c r="B775" s="2" t="n">
        <v>43229.96821759259</v>
      </c>
      <c r="C775" t="n">
        <v>0</v>
      </c>
      <c r="D775" t="n">
        <v>0</v>
      </c>
      <c r="E775" t="s">
        <v>785</v>
      </c>
      <c r="F775" t="s"/>
      <c r="G775" t="s"/>
      <c r="H775" t="s"/>
      <c r="I775" t="s"/>
      <c r="J775" t="n">
        <v>0</v>
      </c>
      <c r="K775" t="n">
        <v>0</v>
      </c>
      <c r="L775" t="n">
        <v>1</v>
      </c>
      <c r="M775" t="n">
        <v>0</v>
      </c>
    </row>
    <row r="776" spans="1:13">
      <c r="A776" s="1">
        <f>HYPERLINK("http://www.twitter.com/NathanBLawrence/status/994347042494386176", "994347042494386176")</f>
        <v/>
      </c>
      <c r="B776" s="2" t="n">
        <v>43229.9465625</v>
      </c>
      <c r="C776" t="n">
        <v>2</v>
      </c>
      <c r="D776" t="n">
        <v>1</v>
      </c>
      <c r="E776" t="s">
        <v>786</v>
      </c>
      <c r="F776">
        <f>HYPERLINK("http://pbs.twimg.com/media/DcyhWmPU0AAb3Py.jpg", "http://pbs.twimg.com/media/DcyhWmPU0AAb3Py.jpg")</f>
        <v/>
      </c>
      <c r="G776" t="s"/>
      <c r="H776" t="s"/>
      <c r="I776" t="s"/>
      <c r="J776" t="n">
        <v>0</v>
      </c>
      <c r="K776" t="n">
        <v>0</v>
      </c>
      <c r="L776" t="n">
        <v>1</v>
      </c>
      <c r="M776" t="n">
        <v>0</v>
      </c>
    </row>
    <row r="777" spans="1:13">
      <c r="A777" s="1">
        <f>HYPERLINK("http://www.twitter.com/NathanBLawrence/status/994346239515873281", "994346239515873281")</f>
        <v/>
      </c>
      <c r="B777" s="2" t="n">
        <v>43229.94435185185</v>
      </c>
      <c r="C777" t="n">
        <v>2</v>
      </c>
      <c r="D777" t="n">
        <v>0</v>
      </c>
      <c r="E777" t="s">
        <v>787</v>
      </c>
      <c r="F777" t="s"/>
      <c r="G777" t="s"/>
      <c r="H777" t="s"/>
      <c r="I777" t="s"/>
      <c r="J777" t="n">
        <v>0</v>
      </c>
      <c r="K777" t="n">
        <v>0</v>
      </c>
      <c r="L777" t="n">
        <v>1</v>
      </c>
      <c r="M777" t="n">
        <v>0</v>
      </c>
    </row>
    <row r="778" spans="1:13">
      <c r="A778" s="1">
        <f>HYPERLINK("http://www.twitter.com/NathanBLawrence/status/994331661335752704", "994331661335752704")</f>
        <v/>
      </c>
      <c r="B778" s="2" t="n">
        <v>43229.90412037037</v>
      </c>
      <c r="C778" t="n">
        <v>5</v>
      </c>
      <c r="D778" t="n">
        <v>2</v>
      </c>
      <c r="E778" t="s">
        <v>788</v>
      </c>
      <c r="F778">
        <f>HYPERLINK("http://pbs.twimg.com/media/DcyTXzIUQAEhxqs.jpg", "http://pbs.twimg.com/media/DcyTXzIUQAEhxqs.jpg")</f>
        <v/>
      </c>
      <c r="G778" t="s"/>
      <c r="H778" t="s"/>
      <c r="I778" t="s"/>
      <c r="J778" t="n">
        <v>0.128</v>
      </c>
      <c r="K778" t="n">
        <v>0.17</v>
      </c>
      <c r="L778" t="n">
        <v>0.647</v>
      </c>
      <c r="M778" t="n">
        <v>0.182</v>
      </c>
    </row>
    <row r="779" spans="1:13">
      <c r="A779" s="1">
        <f>HYPERLINK("http://www.twitter.com/NathanBLawrence/status/994326331847532544", "994326331847532544")</f>
        <v/>
      </c>
      <c r="B779" s="2" t="n">
        <v>43229.88940972222</v>
      </c>
      <c r="C779" t="n">
        <v>0</v>
      </c>
      <c r="D779" t="n">
        <v>0</v>
      </c>
      <c r="E779" t="s">
        <v>789</v>
      </c>
      <c r="F779">
        <f>HYPERLINK("http://pbs.twimg.com/media/DcyOhbRU0AAsWbG.jpg", "http://pbs.twimg.com/media/DcyOhbRU0AAsWbG.jpg")</f>
        <v/>
      </c>
      <c r="G779" t="s"/>
      <c r="H779" t="s"/>
      <c r="I779" t="s"/>
      <c r="J779" t="n">
        <v>0</v>
      </c>
      <c r="K779" t="n">
        <v>0</v>
      </c>
      <c r="L779" t="n">
        <v>1</v>
      </c>
      <c r="M779" t="n">
        <v>0</v>
      </c>
    </row>
    <row r="780" spans="1:13">
      <c r="A780" s="1">
        <f>HYPERLINK("http://www.twitter.com/NathanBLawrence/status/994323699758223360", "994323699758223360")</f>
        <v/>
      </c>
      <c r="B780" s="2" t="n">
        <v>43229.88215277778</v>
      </c>
      <c r="C780" t="n">
        <v>1</v>
      </c>
      <c r="D780" t="n">
        <v>0</v>
      </c>
      <c r="E780" t="s">
        <v>790</v>
      </c>
      <c r="F780" t="s"/>
      <c r="G780" t="s"/>
      <c r="H780" t="s"/>
      <c r="I780" t="s"/>
      <c r="J780" t="n">
        <v>-0.0772</v>
      </c>
      <c r="K780" t="n">
        <v>0.156</v>
      </c>
      <c r="L780" t="n">
        <v>0.704</v>
      </c>
      <c r="M780" t="n">
        <v>0.141</v>
      </c>
    </row>
    <row r="781" spans="1:13">
      <c r="A781" s="1">
        <f>HYPERLINK("http://www.twitter.com/NathanBLawrence/status/994320128853594113", "994320128853594113")</f>
        <v/>
      </c>
      <c r="B781" s="2" t="n">
        <v>43229.87229166667</v>
      </c>
      <c r="C781" t="n">
        <v>14</v>
      </c>
      <c r="D781" t="n">
        <v>7</v>
      </c>
      <c r="E781" t="s">
        <v>791</v>
      </c>
      <c r="F781" t="s"/>
      <c r="G781" t="s"/>
      <c r="H781" t="s"/>
      <c r="I781" t="s"/>
      <c r="J781" t="n">
        <v>-0.6476</v>
      </c>
      <c r="K781" t="n">
        <v>0.252</v>
      </c>
      <c r="L781" t="n">
        <v>0.598</v>
      </c>
      <c r="M781" t="n">
        <v>0.15</v>
      </c>
    </row>
    <row r="782" spans="1:13">
      <c r="A782" s="1">
        <f>HYPERLINK("http://www.twitter.com/NathanBLawrence/status/994312647783919622", "994312647783919622")</f>
        <v/>
      </c>
      <c r="B782" s="2" t="n">
        <v>43229.85165509259</v>
      </c>
      <c r="C782" t="n">
        <v>0</v>
      </c>
      <c r="D782" t="n">
        <v>0</v>
      </c>
      <c r="E782" t="s">
        <v>792</v>
      </c>
      <c r="F782" t="s"/>
      <c r="G782" t="s"/>
      <c r="H782" t="s"/>
      <c r="I782" t="s"/>
      <c r="J782" t="n">
        <v>0</v>
      </c>
      <c r="K782" t="n">
        <v>0</v>
      </c>
      <c r="L782" t="n">
        <v>1</v>
      </c>
      <c r="M782" t="n">
        <v>0</v>
      </c>
    </row>
    <row r="783" spans="1:13">
      <c r="A783" s="1">
        <f>HYPERLINK("http://www.twitter.com/NathanBLawrence/status/994303226961911808", "994303226961911808")</f>
        <v/>
      </c>
      <c r="B783" s="2" t="n">
        <v>43229.82565972222</v>
      </c>
      <c r="C783" t="n">
        <v>1</v>
      </c>
      <c r="D783" t="n">
        <v>0</v>
      </c>
      <c r="E783" t="s">
        <v>793</v>
      </c>
      <c r="F783" t="s"/>
      <c r="G783" t="s"/>
      <c r="H783" t="s"/>
      <c r="I783" t="s"/>
      <c r="J783" t="n">
        <v>-0.6808</v>
      </c>
      <c r="K783" t="n">
        <v>0.248</v>
      </c>
      <c r="L783" t="n">
        <v>0.752</v>
      </c>
      <c r="M783" t="n">
        <v>0</v>
      </c>
    </row>
    <row r="784" spans="1:13">
      <c r="A784" s="1">
        <f>HYPERLINK("http://www.twitter.com/NathanBLawrence/status/994300472075935744", "994300472075935744")</f>
        <v/>
      </c>
      <c r="B784" s="2" t="n">
        <v>43229.81805555556</v>
      </c>
      <c r="C784" t="n">
        <v>6</v>
      </c>
      <c r="D784" t="n">
        <v>2</v>
      </c>
      <c r="E784" t="s">
        <v>794</v>
      </c>
      <c r="F784">
        <f>HYPERLINK("http://pbs.twimg.com/media/Dcx3AOtV4AALw63.jpg", "http://pbs.twimg.com/media/Dcx3AOtV4AALw63.jpg")</f>
        <v/>
      </c>
      <c r="G784" t="s"/>
      <c r="H784" t="s"/>
      <c r="I784" t="s"/>
      <c r="J784" t="n">
        <v>-0.5709</v>
      </c>
      <c r="K784" t="n">
        <v>0.176</v>
      </c>
      <c r="L784" t="n">
        <v>0.824</v>
      </c>
      <c r="M784" t="n">
        <v>0</v>
      </c>
    </row>
    <row r="785" spans="1:13">
      <c r="A785" s="1">
        <f>HYPERLINK("http://www.twitter.com/NathanBLawrence/status/994299637648404480", "994299637648404480")</f>
        <v/>
      </c>
      <c r="B785" s="2" t="n">
        <v>43229.81575231482</v>
      </c>
      <c r="C785" t="n">
        <v>0</v>
      </c>
      <c r="D785" t="n">
        <v>16</v>
      </c>
      <c r="E785" t="s">
        <v>795</v>
      </c>
      <c r="F785" t="s"/>
      <c r="G785" t="s"/>
      <c r="H785" t="s"/>
      <c r="I785" t="s"/>
      <c r="J785" t="n">
        <v>0.8168</v>
      </c>
      <c r="K785" t="n">
        <v>0.046</v>
      </c>
      <c r="L785" t="n">
        <v>0.66</v>
      </c>
      <c r="M785" t="n">
        <v>0.293</v>
      </c>
    </row>
    <row r="786" spans="1:13">
      <c r="A786" s="1">
        <f>HYPERLINK("http://www.twitter.com/NathanBLawrence/status/994290492002177026", "994290492002177026")</f>
        <v/>
      </c>
      <c r="B786" s="2" t="n">
        <v>43229.79050925926</v>
      </c>
      <c r="C786" t="n">
        <v>0</v>
      </c>
      <c r="D786" t="n">
        <v>0</v>
      </c>
      <c r="E786" t="s">
        <v>796</v>
      </c>
      <c r="F786">
        <f>HYPERLINK("http://pbs.twimg.com/media/Dcxt7H1X0AEJAGb.jpg", "http://pbs.twimg.com/media/Dcxt7H1X0AEJAGb.jpg")</f>
        <v/>
      </c>
      <c r="G786" t="s"/>
      <c r="H786" t="s"/>
      <c r="I786" t="s"/>
      <c r="J786" t="n">
        <v>-0.4767</v>
      </c>
      <c r="K786" t="n">
        <v>0.157</v>
      </c>
      <c r="L786" t="n">
        <v>0.843</v>
      </c>
      <c r="M786" t="n">
        <v>0</v>
      </c>
    </row>
    <row r="787" spans="1:13">
      <c r="A787" s="1">
        <f>HYPERLINK("http://www.twitter.com/NathanBLawrence/status/994288382812524544", "994288382812524544")</f>
        <v/>
      </c>
      <c r="B787" s="2" t="n">
        <v>43229.78469907407</v>
      </c>
      <c r="C787" t="n">
        <v>0</v>
      </c>
      <c r="D787" t="n">
        <v>3</v>
      </c>
      <c r="E787" t="s">
        <v>797</v>
      </c>
      <c r="F787">
        <f>HYPERLINK("http://pbs.twimg.com/media/Dct5knPVQAEswl9.jpg", "http://pbs.twimg.com/media/Dct5knPVQAEswl9.jpg")</f>
        <v/>
      </c>
      <c r="G787">
        <f>HYPERLINK("http://pbs.twimg.com/media/Dct5knQVAAA9KAg.jpg", "http://pbs.twimg.com/media/Dct5knQVAAA9KAg.jpg")</f>
        <v/>
      </c>
      <c r="H787" t="s"/>
      <c r="I787" t="s"/>
      <c r="J787" t="n">
        <v>0</v>
      </c>
      <c r="K787" t="n">
        <v>0</v>
      </c>
      <c r="L787" t="n">
        <v>1</v>
      </c>
      <c r="M787" t="n">
        <v>0</v>
      </c>
    </row>
    <row r="788" spans="1:13">
      <c r="A788" s="1">
        <f>HYPERLINK("http://www.twitter.com/NathanBLawrence/status/994268043684601856", "994268043684601856")</f>
        <v/>
      </c>
      <c r="B788" s="2" t="n">
        <v>43229.72856481482</v>
      </c>
      <c r="C788" t="n">
        <v>3</v>
      </c>
      <c r="D788" t="n">
        <v>1</v>
      </c>
      <c r="E788" t="s">
        <v>798</v>
      </c>
      <c r="F788" t="s"/>
      <c r="G788" t="s"/>
      <c r="H788" t="s"/>
      <c r="I788" t="s"/>
      <c r="J788" t="n">
        <v>-0.4588</v>
      </c>
      <c r="K788" t="n">
        <v>0.111</v>
      </c>
      <c r="L788" t="n">
        <v>0.889</v>
      </c>
      <c r="M788" t="n">
        <v>0</v>
      </c>
    </row>
    <row r="789" spans="1:13">
      <c r="A789" s="1">
        <f>HYPERLINK("http://www.twitter.com/NathanBLawrence/status/994260431257686018", "994260431257686018")</f>
        <v/>
      </c>
      <c r="B789" s="2" t="n">
        <v>43229.70755787037</v>
      </c>
      <c r="C789" t="n">
        <v>4</v>
      </c>
      <c r="D789" t="n">
        <v>2</v>
      </c>
      <c r="E789" t="s">
        <v>799</v>
      </c>
      <c r="F789">
        <f>HYPERLINK("http://pbs.twimg.com/media/DcxSk8xUQAE4X0H.jpg", "http://pbs.twimg.com/media/DcxSk8xUQAE4X0H.jpg")</f>
        <v/>
      </c>
      <c r="G789" t="s"/>
      <c r="H789" t="s"/>
      <c r="I789" t="s"/>
      <c r="J789" t="n">
        <v>-0.8098</v>
      </c>
      <c r="K789" t="n">
        <v>0.241</v>
      </c>
      <c r="L789" t="n">
        <v>0.6870000000000001</v>
      </c>
      <c r="M789" t="n">
        <v>0.07199999999999999</v>
      </c>
    </row>
    <row r="790" spans="1:13">
      <c r="A790" s="1">
        <f>HYPERLINK("http://www.twitter.com/NathanBLawrence/status/994254845891809281", "994254845891809281")</f>
        <v/>
      </c>
      <c r="B790" s="2" t="n">
        <v>43229.69215277778</v>
      </c>
      <c r="C790" t="n">
        <v>0</v>
      </c>
      <c r="D790" t="n">
        <v>3</v>
      </c>
      <c r="E790" t="s">
        <v>800</v>
      </c>
      <c r="F790" t="s"/>
      <c r="G790" t="s"/>
      <c r="H790" t="s"/>
      <c r="I790" t="s"/>
      <c r="J790" t="n">
        <v>-0.5266999999999999</v>
      </c>
      <c r="K790" t="n">
        <v>0.167</v>
      </c>
      <c r="L790" t="n">
        <v>0.833</v>
      </c>
      <c r="M790" t="n">
        <v>0</v>
      </c>
    </row>
    <row r="791" spans="1:13">
      <c r="A791" s="1">
        <f>HYPERLINK("http://www.twitter.com/NathanBLawrence/status/994249613023596544", "994249613023596544")</f>
        <v/>
      </c>
      <c r="B791" s="2" t="n">
        <v>43229.67770833334</v>
      </c>
      <c r="C791" t="n">
        <v>0</v>
      </c>
      <c r="D791" t="n">
        <v>0</v>
      </c>
      <c r="E791" t="s">
        <v>801</v>
      </c>
      <c r="F791" t="s"/>
      <c r="G791" t="s"/>
      <c r="H791" t="s"/>
      <c r="I791" t="s"/>
      <c r="J791" t="n">
        <v>0</v>
      </c>
      <c r="K791" t="n">
        <v>0</v>
      </c>
      <c r="L791" t="n">
        <v>1</v>
      </c>
      <c r="M791" t="n">
        <v>0</v>
      </c>
    </row>
    <row r="792" spans="1:13">
      <c r="A792" s="1">
        <f>HYPERLINK("http://www.twitter.com/NathanBLawrence/status/994248722698702848", "994248722698702848")</f>
        <v/>
      </c>
      <c r="B792" s="2" t="n">
        <v>43229.67525462963</v>
      </c>
      <c r="C792" t="n">
        <v>1</v>
      </c>
      <c r="D792" t="n">
        <v>0</v>
      </c>
      <c r="E792" t="s">
        <v>802</v>
      </c>
      <c r="F792">
        <f>HYPERLINK("http://pbs.twimg.com/media/DcxH8F_VMAII2Hm.jpg", "http://pbs.twimg.com/media/DcxH8F_VMAII2Hm.jpg")</f>
        <v/>
      </c>
      <c r="G792" t="s"/>
      <c r="H792" t="s"/>
      <c r="I792" t="s"/>
      <c r="J792" t="n">
        <v>0</v>
      </c>
      <c r="K792" t="n">
        <v>0</v>
      </c>
      <c r="L792" t="n">
        <v>1</v>
      </c>
      <c r="M792" t="n">
        <v>0</v>
      </c>
    </row>
    <row r="793" spans="1:13">
      <c r="A793" s="1">
        <f>HYPERLINK("http://www.twitter.com/NathanBLawrence/status/994247510259617797", "994247510259617797")</f>
        <v/>
      </c>
      <c r="B793" s="2" t="n">
        <v>43229.67190972222</v>
      </c>
      <c r="C793" t="n">
        <v>0</v>
      </c>
      <c r="D793" t="n">
        <v>0</v>
      </c>
      <c r="E793" t="s">
        <v>803</v>
      </c>
      <c r="F793">
        <f>HYPERLINK("http://pbs.twimg.com/media/DcxG1bWU8AAdgaS.jpg", "http://pbs.twimg.com/media/DcxG1bWU8AAdgaS.jpg")</f>
        <v/>
      </c>
      <c r="G793" t="s"/>
      <c r="H793" t="s"/>
      <c r="I793" t="s"/>
      <c r="J793" t="n">
        <v>0</v>
      </c>
      <c r="K793" t="n">
        <v>0</v>
      </c>
      <c r="L793" t="n">
        <v>1</v>
      </c>
      <c r="M793" t="n">
        <v>0</v>
      </c>
    </row>
    <row r="794" spans="1:13">
      <c r="A794" s="1">
        <f>HYPERLINK("http://www.twitter.com/NathanBLawrence/status/994241323707392001", "994241323707392001")</f>
        <v/>
      </c>
      <c r="B794" s="2" t="n">
        <v>43229.65483796296</v>
      </c>
      <c r="C794" t="n">
        <v>0</v>
      </c>
      <c r="D794" t="n">
        <v>8</v>
      </c>
      <c r="E794" t="s">
        <v>804</v>
      </c>
      <c r="F794" t="s"/>
      <c r="G794" t="s"/>
      <c r="H794" t="s"/>
      <c r="I794" t="s"/>
      <c r="J794" t="n">
        <v>0</v>
      </c>
      <c r="K794" t="n">
        <v>0.108</v>
      </c>
      <c r="L794" t="n">
        <v>0.784</v>
      </c>
      <c r="M794" t="n">
        <v>0.108</v>
      </c>
    </row>
    <row r="795" spans="1:13">
      <c r="A795" s="1">
        <f>HYPERLINK("http://www.twitter.com/NathanBLawrence/status/994241302744260608", "994241302744260608")</f>
        <v/>
      </c>
      <c r="B795" s="2" t="n">
        <v>43229.65478009259</v>
      </c>
      <c r="C795" t="n">
        <v>0</v>
      </c>
      <c r="D795" t="n">
        <v>15</v>
      </c>
      <c r="E795" t="s">
        <v>805</v>
      </c>
      <c r="F795" t="s"/>
      <c r="G795" t="s"/>
      <c r="H795" t="s"/>
      <c r="I795" t="s"/>
      <c r="J795" t="n">
        <v>-0.2942</v>
      </c>
      <c r="K795" t="n">
        <v>0.135</v>
      </c>
      <c r="L795" t="n">
        <v>0.865</v>
      </c>
      <c r="M795" t="n">
        <v>0</v>
      </c>
    </row>
    <row r="796" spans="1:13">
      <c r="A796" s="1">
        <f>HYPERLINK("http://www.twitter.com/NathanBLawrence/status/994241106006233088", "994241106006233088")</f>
        <v/>
      </c>
      <c r="B796" s="2" t="n">
        <v>43229.65423611111</v>
      </c>
      <c r="C796" t="n">
        <v>0</v>
      </c>
      <c r="D796" t="n">
        <v>0</v>
      </c>
      <c r="E796" t="s">
        <v>806</v>
      </c>
      <c r="F796" t="s"/>
      <c r="G796" t="s"/>
      <c r="H796" t="s"/>
      <c r="I796" t="s"/>
      <c r="J796" t="n">
        <v>-0.8074</v>
      </c>
      <c r="K796" t="n">
        <v>0.147</v>
      </c>
      <c r="L796" t="n">
        <v>0.853</v>
      </c>
      <c r="M796" t="n">
        <v>0</v>
      </c>
    </row>
    <row r="797" spans="1:13">
      <c r="A797" s="1">
        <f>HYPERLINK("http://www.twitter.com/NathanBLawrence/status/994228773041135617", "994228773041135617")</f>
        <v/>
      </c>
      <c r="B797" s="2" t="n">
        <v>43229.62020833333</v>
      </c>
      <c r="C797" t="n">
        <v>2</v>
      </c>
      <c r="D797" t="n">
        <v>0</v>
      </c>
      <c r="E797" t="s">
        <v>807</v>
      </c>
      <c r="F797" t="s"/>
      <c r="G797" t="s"/>
      <c r="H797" t="s"/>
      <c r="I797" t="s"/>
      <c r="J797" t="n">
        <v>0.5106000000000001</v>
      </c>
      <c r="K797" t="n">
        <v>0</v>
      </c>
      <c r="L797" t="n">
        <v>0.798</v>
      </c>
      <c r="M797" t="n">
        <v>0.202</v>
      </c>
    </row>
    <row r="798" spans="1:13">
      <c r="A798" s="1">
        <f>HYPERLINK("http://www.twitter.com/NathanBLawrence/status/994227022154039296", "994227022154039296")</f>
        <v/>
      </c>
      <c r="B798" s="2" t="n">
        <v>43229.61537037037</v>
      </c>
      <c r="C798" t="n">
        <v>1</v>
      </c>
      <c r="D798" t="n">
        <v>0</v>
      </c>
      <c r="E798" t="s">
        <v>808</v>
      </c>
      <c r="F798" t="s"/>
      <c r="G798" t="s"/>
      <c r="H798" t="s"/>
      <c r="I798" t="s"/>
      <c r="J798" t="n">
        <v>-0.4939</v>
      </c>
      <c r="K798" t="n">
        <v>0.225</v>
      </c>
      <c r="L798" t="n">
        <v>0.775</v>
      </c>
      <c r="M798" t="n">
        <v>0</v>
      </c>
    </row>
    <row r="799" spans="1:13">
      <c r="A799" s="1">
        <f>HYPERLINK("http://www.twitter.com/NathanBLawrence/status/994225702009491457", "994225702009491457")</f>
        <v/>
      </c>
      <c r="B799" s="2" t="n">
        <v>43229.61172453704</v>
      </c>
      <c r="C799" t="n">
        <v>2</v>
      </c>
      <c r="D799" t="n">
        <v>0</v>
      </c>
      <c r="E799" t="s">
        <v>809</v>
      </c>
      <c r="F799" t="s"/>
      <c r="G799" t="s"/>
      <c r="H799" t="s"/>
      <c r="I799" t="s"/>
      <c r="J799" t="n">
        <v>-0.8979</v>
      </c>
      <c r="K799" t="n">
        <v>0.63</v>
      </c>
      <c r="L799" t="n">
        <v>0.37</v>
      </c>
      <c r="M799" t="n">
        <v>0</v>
      </c>
    </row>
    <row r="800" spans="1:13">
      <c r="A800" s="1">
        <f>HYPERLINK("http://www.twitter.com/NathanBLawrence/status/994222637747499016", "994222637747499016")</f>
        <v/>
      </c>
      <c r="B800" s="2" t="n">
        <v>43229.60327546296</v>
      </c>
      <c r="C800" t="n">
        <v>9</v>
      </c>
      <c r="D800" t="n">
        <v>7</v>
      </c>
      <c r="E800" t="s">
        <v>810</v>
      </c>
      <c r="F800">
        <f>HYPERLINK("http://pbs.twimg.com/media/DcwwNpgUQAAjmqv.jpg", "http://pbs.twimg.com/media/DcwwNpgUQAAjmqv.jpg")</f>
        <v/>
      </c>
      <c r="G800" t="s"/>
      <c r="H800" t="s"/>
      <c r="I800" t="s"/>
      <c r="J800" t="n">
        <v>0</v>
      </c>
      <c r="K800" t="n">
        <v>0</v>
      </c>
      <c r="L800" t="n">
        <v>1</v>
      </c>
      <c r="M800" t="n">
        <v>0</v>
      </c>
    </row>
    <row r="801" spans="1:13">
      <c r="A801" s="1">
        <f>HYPERLINK("http://www.twitter.com/NathanBLawrence/status/994155532498997248", "994155532498997248")</f>
        <v/>
      </c>
      <c r="B801" s="2" t="n">
        <v>43229.41810185185</v>
      </c>
      <c r="C801" t="n">
        <v>0</v>
      </c>
      <c r="D801" t="n">
        <v>6</v>
      </c>
      <c r="E801" t="s">
        <v>811</v>
      </c>
      <c r="F801" t="s"/>
      <c r="G801" t="s"/>
      <c r="H801" t="s"/>
      <c r="I801" t="s"/>
      <c r="J801" t="n">
        <v>0</v>
      </c>
      <c r="K801" t="n">
        <v>0</v>
      </c>
      <c r="L801" t="n">
        <v>1</v>
      </c>
      <c r="M801" t="n">
        <v>0</v>
      </c>
    </row>
    <row r="802" spans="1:13">
      <c r="A802" s="1">
        <f>HYPERLINK("http://www.twitter.com/NathanBLawrence/status/994094626851221505", "994094626851221505")</f>
        <v/>
      </c>
      <c r="B802" s="2" t="n">
        <v>43229.25003472222</v>
      </c>
      <c r="C802" t="n">
        <v>0</v>
      </c>
      <c r="D802" t="n">
        <v>2</v>
      </c>
      <c r="E802" t="s">
        <v>812</v>
      </c>
      <c r="F802" t="s"/>
      <c r="G802" t="s"/>
      <c r="H802" t="s"/>
      <c r="I802" t="s"/>
      <c r="J802" t="n">
        <v>-0.68</v>
      </c>
      <c r="K802" t="n">
        <v>0.259</v>
      </c>
      <c r="L802" t="n">
        <v>0.741</v>
      </c>
      <c r="M802" t="n">
        <v>0</v>
      </c>
    </row>
    <row r="803" spans="1:13">
      <c r="A803" s="1">
        <f>HYPERLINK("http://www.twitter.com/NathanBLawrence/status/994082950957453312", "994082950957453312")</f>
        <v/>
      </c>
      <c r="B803" s="2" t="n">
        <v>43229.2178125</v>
      </c>
      <c r="C803" t="n">
        <v>0</v>
      </c>
      <c r="D803" t="n">
        <v>0</v>
      </c>
      <c r="E803" t="s">
        <v>813</v>
      </c>
      <c r="F803" t="s"/>
      <c r="G803" t="s"/>
      <c r="H803" t="s"/>
      <c r="I803" t="s"/>
      <c r="J803" t="n">
        <v>0</v>
      </c>
      <c r="K803" t="n">
        <v>0</v>
      </c>
      <c r="L803" t="n">
        <v>1</v>
      </c>
      <c r="M803" t="n">
        <v>0</v>
      </c>
    </row>
    <row r="804" spans="1:13">
      <c r="A804" s="1">
        <f>HYPERLINK("http://www.twitter.com/NathanBLawrence/status/994081826640625664", "994081826640625664")</f>
        <v/>
      </c>
      <c r="B804" s="2" t="n">
        <v>43229.21471064815</v>
      </c>
      <c r="C804" t="n">
        <v>0</v>
      </c>
      <c r="D804" t="n">
        <v>0</v>
      </c>
      <c r="E804" t="s">
        <v>814</v>
      </c>
      <c r="F804">
        <f>HYPERLINK("http://pbs.twimg.com/media/DcuwJkkXcAAQasp.jpg", "http://pbs.twimg.com/media/DcuwJkkXcAAQasp.jpg")</f>
        <v/>
      </c>
      <c r="G804" t="s"/>
      <c r="H804" t="s"/>
      <c r="I804" t="s"/>
      <c r="J804" t="n">
        <v>0</v>
      </c>
      <c r="K804" t="n">
        <v>0</v>
      </c>
      <c r="L804" t="n">
        <v>1</v>
      </c>
      <c r="M804" t="n">
        <v>0</v>
      </c>
    </row>
    <row r="805" spans="1:13">
      <c r="A805" s="1">
        <f>HYPERLINK("http://www.twitter.com/NathanBLawrence/status/994081693043740673", "994081693043740673")</f>
        <v/>
      </c>
      <c r="B805" s="2" t="n">
        <v>43229.21434027778</v>
      </c>
      <c r="C805" t="n">
        <v>1</v>
      </c>
      <c r="D805" t="n">
        <v>0</v>
      </c>
      <c r="E805" t="s">
        <v>815</v>
      </c>
      <c r="F805">
        <f>HYPERLINK("http://pbs.twimg.com/media/DcuwBYTW4AApCDT.jpg", "http://pbs.twimg.com/media/DcuwBYTW4AApCDT.jpg")</f>
        <v/>
      </c>
      <c r="G805" t="s"/>
      <c r="H805" t="s"/>
      <c r="I805" t="s"/>
      <c r="J805" t="n">
        <v>0</v>
      </c>
      <c r="K805" t="n">
        <v>0</v>
      </c>
      <c r="L805" t="n">
        <v>1</v>
      </c>
      <c r="M805" t="n">
        <v>0</v>
      </c>
    </row>
    <row r="806" spans="1:13">
      <c r="A806" s="1">
        <f>HYPERLINK("http://www.twitter.com/NathanBLawrence/status/994080892451721216", "994080892451721216")</f>
        <v/>
      </c>
      <c r="B806" s="2" t="n">
        <v>43229.21212962963</v>
      </c>
      <c r="C806" t="n">
        <v>0</v>
      </c>
      <c r="D806" t="n">
        <v>4</v>
      </c>
      <c r="E806" t="s">
        <v>816</v>
      </c>
      <c r="F806" t="s"/>
      <c r="G806" t="s"/>
      <c r="H806" t="s"/>
      <c r="I806" t="s"/>
      <c r="J806" t="n">
        <v>0</v>
      </c>
      <c r="K806" t="n">
        <v>0</v>
      </c>
      <c r="L806" t="n">
        <v>1</v>
      </c>
      <c r="M806" t="n">
        <v>0</v>
      </c>
    </row>
    <row r="807" spans="1:13">
      <c r="A807" s="1">
        <f>HYPERLINK("http://www.twitter.com/NathanBLawrence/status/994080881852735488", "994080881852735488")</f>
        <v/>
      </c>
      <c r="B807" s="2" t="n">
        <v>43229.21210648148</v>
      </c>
      <c r="C807" t="n">
        <v>0</v>
      </c>
      <c r="D807" t="n">
        <v>2</v>
      </c>
      <c r="E807" t="s">
        <v>817</v>
      </c>
      <c r="F807" t="s"/>
      <c r="G807" t="s"/>
      <c r="H807" t="s"/>
      <c r="I807" t="s"/>
      <c r="J807" t="n">
        <v>0</v>
      </c>
      <c r="K807" t="n">
        <v>0</v>
      </c>
      <c r="L807" t="n">
        <v>1</v>
      </c>
      <c r="M807" t="n">
        <v>0</v>
      </c>
    </row>
    <row r="808" spans="1:13">
      <c r="A808" s="1">
        <f>HYPERLINK("http://www.twitter.com/NathanBLawrence/status/994080787690590208", "994080787690590208")</f>
        <v/>
      </c>
      <c r="B808" s="2" t="n">
        <v>43229.21184027778</v>
      </c>
      <c r="C808" t="n">
        <v>0</v>
      </c>
      <c r="D808" t="n">
        <v>0</v>
      </c>
      <c r="E808" t="s">
        <v>818</v>
      </c>
      <c r="F808" t="s"/>
      <c r="G808" t="s"/>
      <c r="H808" t="s"/>
      <c r="I808" t="s"/>
      <c r="J808" t="n">
        <v>0.4215</v>
      </c>
      <c r="K808" t="n">
        <v>0</v>
      </c>
      <c r="L808" t="n">
        <v>0.797</v>
      </c>
      <c r="M808" t="n">
        <v>0.203</v>
      </c>
    </row>
    <row r="809" spans="1:13">
      <c r="A809" s="1">
        <f>HYPERLINK("http://www.twitter.com/NathanBLawrence/status/994080442977484803", "994080442977484803")</f>
        <v/>
      </c>
      <c r="B809" s="2" t="n">
        <v>43229.2108912037</v>
      </c>
      <c r="C809" t="n">
        <v>9</v>
      </c>
      <c r="D809" t="n">
        <v>4</v>
      </c>
      <c r="E809" t="s">
        <v>819</v>
      </c>
      <c r="F809">
        <f>HYPERLINK("http://pbs.twimg.com/media/Dcuu4lzXUAAHYOk.jpg", "http://pbs.twimg.com/media/Dcuu4lzXUAAHYOk.jpg")</f>
        <v/>
      </c>
      <c r="G809" t="s"/>
      <c r="H809" t="s"/>
      <c r="I809" t="s"/>
      <c r="J809" t="n">
        <v>0</v>
      </c>
      <c r="K809" t="n">
        <v>0</v>
      </c>
      <c r="L809" t="n">
        <v>1</v>
      </c>
      <c r="M809" t="n">
        <v>0</v>
      </c>
    </row>
    <row r="810" spans="1:13">
      <c r="A810" s="1">
        <f>HYPERLINK("http://www.twitter.com/NathanBLawrence/status/994078921577697282", "994078921577697282")</f>
        <v/>
      </c>
      <c r="B810" s="2" t="n">
        <v>43229.20668981481</v>
      </c>
      <c r="C810" t="n">
        <v>3</v>
      </c>
      <c r="D810" t="n">
        <v>2</v>
      </c>
      <c r="E810" t="s">
        <v>820</v>
      </c>
      <c r="F810">
        <f>HYPERLINK("http://pbs.twimg.com/media/DcutgDaW4AAqKHC.jpg", "http://pbs.twimg.com/media/DcutgDaW4AAqKHC.jpg")</f>
        <v/>
      </c>
      <c r="G810" t="s"/>
      <c r="H810" t="s"/>
      <c r="I810" t="s"/>
      <c r="J810" t="n">
        <v>0.4404</v>
      </c>
      <c r="K810" t="n">
        <v>0</v>
      </c>
      <c r="L810" t="n">
        <v>0.8179999999999999</v>
      </c>
      <c r="M810" t="n">
        <v>0.182</v>
      </c>
    </row>
    <row r="811" spans="1:13">
      <c r="A811" s="1">
        <f>HYPERLINK("http://www.twitter.com/NathanBLawrence/status/994077614376669184", "994077614376669184")</f>
        <v/>
      </c>
      <c r="B811" s="2" t="n">
        <v>43229.2030787037</v>
      </c>
      <c r="C811" t="n">
        <v>0</v>
      </c>
      <c r="D811" t="n">
        <v>10</v>
      </c>
      <c r="E811" t="s">
        <v>821</v>
      </c>
      <c r="F811">
        <f>HYPERLINK("http://pbs.twimg.com/media/Dct4worWsAAiN-F.jpg", "http://pbs.twimg.com/media/Dct4worWsAAiN-F.jpg")</f>
        <v/>
      </c>
      <c r="G811" t="s"/>
      <c r="H811" t="s"/>
      <c r="I811" t="s"/>
      <c r="J811" t="n">
        <v>-0.8316</v>
      </c>
      <c r="K811" t="n">
        <v>0.295</v>
      </c>
      <c r="L811" t="n">
        <v>0.705</v>
      </c>
      <c r="M811" t="n">
        <v>0</v>
      </c>
    </row>
    <row r="812" spans="1:13">
      <c r="A812" s="1">
        <f>HYPERLINK("http://www.twitter.com/NathanBLawrence/status/994077300302983168", "994077300302983168")</f>
        <v/>
      </c>
      <c r="B812" s="2" t="n">
        <v>43229.20222222222</v>
      </c>
      <c r="C812" t="n">
        <v>0</v>
      </c>
      <c r="D812" t="n">
        <v>8</v>
      </c>
      <c r="E812" t="s">
        <v>822</v>
      </c>
      <c r="F812" t="s"/>
      <c r="G812" t="s"/>
      <c r="H812" t="s"/>
      <c r="I812" t="s"/>
      <c r="J812" t="n">
        <v>-0.296</v>
      </c>
      <c r="K812" t="n">
        <v>0.095</v>
      </c>
      <c r="L812" t="n">
        <v>0.905</v>
      </c>
      <c r="M812" t="n">
        <v>0</v>
      </c>
    </row>
    <row r="813" spans="1:13">
      <c r="A813" s="1">
        <f>HYPERLINK("http://www.twitter.com/NathanBLawrence/status/994057871968129025", "994057871968129025")</f>
        <v/>
      </c>
      <c r="B813" s="2" t="n">
        <v>43229.14861111111</v>
      </c>
      <c r="C813" t="n">
        <v>1</v>
      </c>
      <c r="D813" t="n">
        <v>0</v>
      </c>
      <c r="E813" t="s">
        <v>823</v>
      </c>
      <c r="F813" t="s"/>
      <c r="G813" t="s"/>
      <c r="H813" t="s"/>
      <c r="I813" t="s"/>
      <c r="J813" t="n">
        <v>0</v>
      </c>
      <c r="K813" t="n">
        <v>0</v>
      </c>
      <c r="L813" t="n">
        <v>1</v>
      </c>
      <c r="M813" t="n">
        <v>0</v>
      </c>
    </row>
    <row r="814" spans="1:13">
      <c r="A814" s="1">
        <f>HYPERLINK("http://www.twitter.com/NathanBLawrence/status/994042034318176256", "994042034318176256")</f>
        <v/>
      </c>
      <c r="B814" s="2" t="n">
        <v>43229.10490740741</v>
      </c>
      <c r="C814" t="n">
        <v>0</v>
      </c>
      <c r="D814" t="n">
        <v>19</v>
      </c>
      <c r="E814" t="s">
        <v>824</v>
      </c>
      <c r="F814">
        <f>HYPERLINK("http://pbs.twimg.com/media/DcsMBBGX4AEcOgk.jpg", "http://pbs.twimg.com/media/DcsMBBGX4AEcOgk.jpg")</f>
        <v/>
      </c>
      <c r="G814" t="s"/>
      <c r="H814" t="s"/>
      <c r="I814" t="s"/>
      <c r="J814" t="n">
        <v>0.6597</v>
      </c>
      <c r="K814" t="n">
        <v>0</v>
      </c>
      <c r="L814" t="n">
        <v>0.759</v>
      </c>
      <c r="M814" t="n">
        <v>0.241</v>
      </c>
    </row>
    <row r="815" spans="1:13">
      <c r="A815" s="1">
        <f>HYPERLINK("http://www.twitter.com/NathanBLawrence/status/994041487154434048", "994041487154434048")</f>
        <v/>
      </c>
      <c r="B815" s="2" t="n">
        <v>43229.1033912037</v>
      </c>
      <c r="C815" t="n">
        <v>0</v>
      </c>
      <c r="D815" t="n">
        <v>12</v>
      </c>
      <c r="E815" t="s">
        <v>825</v>
      </c>
      <c r="F815">
        <f>HYPERLINK("http://pbs.twimg.com/media/DcuBtX4W4AAq2vH.jpg", "http://pbs.twimg.com/media/DcuBtX4W4AAq2vH.jpg")</f>
        <v/>
      </c>
      <c r="G815" t="s"/>
      <c r="H815" t="s"/>
      <c r="I815" t="s"/>
      <c r="J815" t="n">
        <v>0</v>
      </c>
      <c r="K815" t="n">
        <v>0</v>
      </c>
      <c r="L815" t="n">
        <v>1</v>
      </c>
      <c r="M815" t="n">
        <v>0</v>
      </c>
    </row>
    <row r="816" spans="1:13">
      <c r="A816" s="1">
        <f>HYPERLINK("http://www.twitter.com/NathanBLawrence/status/994025645821911040", "994025645821911040")</f>
        <v/>
      </c>
      <c r="B816" s="2" t="n">
        <v>43229.05967592593</v>
      </c>
      <c r="C816" t="n">
        <v>0</v>
      </c>
      <c r="D816" t="n">
        <v>4</v>
      </c>
      <c r="E816" t="s">
        <v>826</v>
      </c>
      <c r="F816">
        <f>HYPERLINK("http://pbs.twimg.com/media/Dctl6SXWkAQmTTx.jpg", "http://pbs.twimg.com/media/Dctl6SXWkAQmTTx.jpg")</f>
        <v/>
      </c>
      <c r="G816" t="s"/>
      <c r="H816" t="s"/>
      <c r="I816" t="s"/>
      <c r="J816" t="n">
        <v>0.5859</v>
      </c>
      <c r="K816" t="n">
        <v>0</v>
      </c>
      <c r="L816" t="n">
        <v>0.652</v>
      </c>
      <c r="M816" t="n">
        <v>0.348</v>
      </c>
    </row>
    <row r="817" spans="1:13">
      <c r="A817" s="1">
        <f>HYPERLINK("http://www.twitter.com/NathanBLawrence/status/994024781619003393", "994024781619003393")</f>
        <v/>
      </c>
      <c r="B817" s="2" t="n">
        <v>43229.05729166666</v>
      </c>
      <c r="C817" t="n">
        <v>1</v>
      </c>
      <c r="D817" t="n">
        <v>0</v>
      </c>
      <c r="E817" t="s">
        <v>827</v>
      </c>
      <c r="F817" t="s"/>
      <c r="G817" t="s"/>
      <c r="H817" t="s"/>
      <c r="I817" t="s"/>
      <c r="J817" t="n">
        <v>0.9081</v>
      </c>
      <c r="K817" t="n">
        <v>0</v>
      </c>
      <c r="L817" t="n">
        <v>0.5679999999999999</v>
      </c>
      <c r="M817" t="n">
        <v>0.432</v>
      </c>
    </row>
    <row r="818" spans="1:13">
      <c r="A818" s="1">
        <f>HYPERLINK("http://www.twitter.com/NathanBLawrence/status/994023563156959232", "994023563156959232")</f>
        <v/>
      </c>
      <c r="B818" s="2" t="n">
        <v>43229.05393518518</v>
      </c>
      <c r="C818" t="n">
        <v>0</v>
      </c>
      <c r="D818" t="n">
        <v>3</v>
      </c>
      <c r="E818" t="s">
        <v>828</v>
      </c>
      <c r="F818" t="s"/>
      <c r="G818" t="s"/>
      <c r="H818" t="s"/>
      <c r="I818" t="s"/>
      <c r="J818" t="n">
        <v>0.6597</v>
      </c>
      <c r="K818" t="n">
        <v>0</v>
      </c>
      <c r="L818" t="n">
        <v>0.787</v>
      </c>
      <c r="M818" t="n">
        <v>0.213</v>
      </c>
    </row>
    <row r="819" spans="1:13">
      <c r="A819" s="1">
        <f>HYPERLINK("http://www.twitter.com/NathanBLawrence/status/994023515354525696", "994023515354525696")</f>
        <v/>
      </c>
      <c r="B819" s="2" t="n">
        <v>43229.0537962963</v>
      </c>
      <c r="C819" t="n">
        <v>0</v>
      </c>
      <c r="D819" t="n">
        <v>5</v>
      </c>
      <c r="E819" t="s">
        <v>829</v>
      </c>
      <c r="F819" t="s"/>
      <c r="G819" t="s"/>
      <c r="H819" t="s"/>
      <c r="I819" t="s"/>
      <c r="J819" t="n">
        <v>-0.802</v>
      </c>
      <c r="K819" t="n">
        <v>0.275</v>
      </c>
      <c r="L819" t="n">
        <v>0.725</v>
      </c>
      <c r="M819" t="n">
        <v>0</v>
      </c>
    </row>
    <row r="820" spans="1:13">
      <c r="A820" s="1">
        <f>HYPERLINK("http://www.twitter.com/NathanBLawrence/status/994023380939628546", "994023380939628546")</f>
        <v/>
      </c>
      <c r="B820" s="2" t="n">
        <v>43229.05342592593</v>
      </c>
      <c r="C820" t="n">
        <v>0</v>
      </c>
      <c r="D820" t="n">
        <v>6</v>
      </c>
      <c r="E820" t="s">
        <v>830</v>
      </c>
      <c r="F820" t="s"/>
      <c r="G820" t="s"/>
      <c r="H820" t="s"/>
      <c r="I820" t="s"/>
      <c r="J820" t="n">
        <v>-0.1531</v>
      </c>
      <c r="K820" t="n">
        <v>0.146</v>
      </c>
      <c r="L820" t="n">
        <v>0.732</v>
      </c>
      <c r="M820" t="n">
        <v>0.122</v>
      </c>
    </row>
    <row r="821" spans="1:13">
      <c r="A821" s="1">
        <f>HYPERLINK("http://www.twitter.com/NathanBLawrence/status/994023107894575104", "994023107894575104")</f>
        <v/>
      </c>
      <c r="B821" s="2" t="n">
        <v>43229.05267361111</v>
      </c>
      <c r="C821" t="n">
        <v>0</v>
      </c>
      <c r="D821" t="n">
        <v>1</v>
      </c>
      <c r="E821" t="s">
        <v>831</v>
      </c>
      <c r="F821">
        <f>HYPERLINK("http://pbs.twimg.com/media/DctoB6fVQAASkI0.jpg", "http://pbs.twimg.com/media/DctoB6fVQAASkI0.jpg")</f>
        <v/>
      </c>
      <c r="G821" t="s"/>
      <c r="H821" t="s"/>
      <c r="I821" t="s"/>
      <c r="J821" t="n">
        <v>0</v>
      </c>
      <c r="K821" t="n">
        <v>0</v>
      </c>
      <c r="L821" t="n">
        <v>1</v>
      </c>
      <c r="M821" t="n">
        <v>0</v>
      </c>
    </row>
    <row r="822" spans="1:13">
      <c r="A822" s="1">
        <f>HYPERLINK("http://www.twitter.com/NathanBLawrence/status/994023051309338624", "994023051309338624")</f>
        <v/>
      </c>
      <c r="B822" s="2" t="n">
        <v>43229.05252314815</v>
      </c>
      <c r="C822" t="n">
        <v>0</v>
      </c>
      <c r="D822" t="n">
        <v>0</v>
      </c>
      <c r="E822" t="s">
        <v>832</v>
      </c>
      <c r="F822" t="s"/>
      <c r="G822" t="s"/>
      <c r="H822" t="s"/>
      <c r="I822" t="s"/>
      <c r="J822" t="n">
        <v>0</v>
      </c>
      <c r="K822" t="n">
        <v>0</v>
      </c>
      <c r="L822" t="n">
        <v>1</v>
      </c>
      <c r="M822" t="n">
        <v>0</v>
      </c>
    </row>
    <row r="823" spans="1:13">
      <c r="A823" s="1">
        <f>HYPERLINK("http://www.twitter.com/NathanBLawrence/status/994022599570198529", "994022599570198529")</f>
        <v/>
      </c>
      <c r="B823" s="2" t="n">
        <v>43229.05127314815</v>
      </c>
      <c r="C823" t="n">
        <v>0</v>
      </c>
      <c r="D823" t="n">
        <v>13</v>
      </c>
      <c r="E823" t="s">
        <v>833</v>
      </c>
      <c r="F823" t="s"/>
      <c r="G823" t="s"/>
      <c r="H823" t="s"/>
      <c r="I823" t="s"/>
      <c r="J823" t="n">
        <v>0</v>
      </c>
      <c r="K823" t="n">
        <v>0</v>
      </c>
      <c r="L823" t="n">
        <v>1</v>
      </c>
      <c r="M823" t="n">
        <v>0</v>
      </c>
    </row>
    <row r="824" spans="1:13">
      <c r="A824" s="1">
        <f>HYPERLINK("http://www.twitter.com/NathanBLawrence/status/994002805378699265", "994002805378699265")</f>
        <v/>
      </c>
      <c r="B824" s="2" t="n">
        <v>43228.99665509259</v>
      </c>
      <c r="C824" t="n">
        <v>0</v>
      </c>
      <c r="D824" t="n">
        <v>10</v>
      </c>
      <c r="E824" t="s">
        <v>834</v>
      </c>
      <c r="F824">
        <f>HYPERLINK("http://pbs.twimg.com/media/DctmJTzWsAgWs27.jpg", "http://pbs.twimg.com/media/DctmJTzWsAgWs27.jpg")</f>
        <v/>
      </c>
      <c r="G824" t="s"/>
      <c r="H824" t="s"/>
      <c r="I824" t="s"/>
      <c r="J824" t="n">
        <v>0.5859</v>
      </c>
      <c r="K824" t="n">
        <v>0</v>
      </c>
      <c r="L824" t="n">
        <v>0.652</v>
      </c>
      <c r="M824" t="n">
        <v>0.348</v>
      </c>
    </row>
    <row r="825" spans="1:13">
      <c r="A825" s="1">
        <f>HYPERLINK("http://www.twitter.com/NathanBLawrence/status/993999103125344256", "993999103125344256")</f>
        <v/>
      </c>
      <c r="B825" s="2" t="n">
        <v>43228.98643518519</v>
      </c>
      <c r="C825" t="n">
        <v>0</v>
      </c>
      <c r="D825" t="n">
        <v>0</v>
      </c>
      <c r="E825" t="s">
        <v>835</v>
      </c>
      <c r="F825">
        <f>HYPERLINK("http://pbs.twimg.com/media/Dctk6VAU0AAeds5.jpg", "http://pbs.twimg.com/media/Dctk6VAU0AAeds5.jpg")</f>
        <v/>
      </c>
      <c r="G825" t="s"/>
      <c r="H825" t="s"/>
      <c r="I825" t="s"/>
      <c r="J825" t="n">
        <v>-0.4912</v>
      </c>
      <c r="K825" t="n">
        <v>0.132</v>
      </c>
      <c r="L825" t="n">
        <v>0.868</v>
      </c>
      <c r="M825" t="n">
        <v>0</v>
      </c>
    </row>
    <row r="826" spans="1:13">
      <c r="A826" s="1">
        <f>HYPERLINK("http://www.twitter.com/NathanBLawrence/status/993998612467212289", "993998612467212289")</f>
        <v/>
      </c>
      <c r="B826" s="2" t="n">
        <v>43228.98508101852</v>
      </c>
      <c r="C826" t="n">
        <v>0</v>
      </c>
      <c r="D826" t="n">
        <v>9</v>
      </c>
      <c r="E826" t="s">
        <v>836</v>
      </c>
      <c r="F826" t="s"/>
      <c r="G826" t="s"/>
      <c r="H826" t="s"/>
      <c r="I826" t="s"/>
      <c r="J826" t="n">
        <v>-0.5574</v>
      </c>
      <c r="K826" t="n">
        <v>0.146</v>
      </c>
      <c r="L826" t="n">
        <v>0.854</v>
      </c>
      <c r="M826" t="n">
        <v>0</v>
      </c>
    </row>
    <row r="827" spans="1:13">
      <c r="A827" s="1">
        <f>HYPERLINK("http://www.twitter.com/NathanBLawrence/status/993998449292070912", "993998449292070912")</f>
        <v/>
      </c>
      <c r="B827" s="2" t="n">
        <v>43228.98462962963</v>
      </c>
      <c r="C827" t="n">
        <v>16</v>
      </c>
      <c r="D827" t="n">
        <v>9</v>
      </c>
      <c r="E827" t="s">
        <v>837</v>
      </c>
      <c r="F827">
        <f>HYPERLINK("http://pbs.twimg.com/media/DctkULVV4AA45cm.jpg", "http://pbs.twimg.com/media/DctkULVV4AA45cm.jpg")</f>
        <v/>
      </c>
      <c r="G827" t="s"/>
      <c r="H827" t="s"/>
      <c r="I827" t="s"/>
      <c r="J827" t="n">
        <v>0.3182</v>
      </c>
      <c r="K827" t="n">
        <v>0</v>
      </c>
      <c r="L827" t="n">
        <v>0.6850000000000001</v>
      </c>
      <c r="M827" t="n">
        <v>0.315</v>
      </c>
    </row>
    <row r="828" spans="1:13">
      <c r="A828" s="1">
        <f>HYPERLINK("http://www.twitter.com/NathanBLawrence/status/993997921313021953", "993997921313021953")</f>
        <v/>
      </c>
      <c r="B828" s="2" t="n">
        <v>43228.9831712963</v>
      </c>
      <c r="C828" t="n">
        <v>0</v>
      </c>
      <c r="D828" t="n">
        <v>15</v>
      </c>
      <c r="E828" t="s">
        <v>838</v>
      </c>
      <c r="F828">
        <f>HYPERLINK("http://pbs.twimg.com/media/DctSesfX4AA6NFD.jpg", "http://pbs.twimg.com/media/DctSesfX4AA6NFD.jpg")</f>
        <v/>
      </c>
      <c r="G828" t="s"/>
      <c r="H828" t="s"/>
      <c r="I828" t="s"/>
      <c r="J828" t="n">
        <v>0</v>
      </c>
      <c r="K828" t="n">
        <v>0</v>
      </c>
      <c r="L828" t="n">
        <v>1</v>
      </c>
      <c r="M828" t="n">
        <v>0</v>
      </c>
    </row>
    <row r="829" spans="1:13">
      <c r="A829" s="1">
        <f>HYPERLINK("http://www.twitter.com/NathanBLawrence/status/993997669642199042", "993997669642199042")</f>
        <v/>
      </c>
      <c r="B829" s="2" t="n">
        <v>43228.98247685185</v>
      </c>
      <c r="C829" t="n">
        <v>0</v>
      </c>
      <c r="D829" t="n">
        <v>0</v>
      </c>
      <c r="E829" t="s">
        <v>839</v>
      </c>
      <c r="F829" t="s"/>
      <c r="G829" t="s"/>
      <c r="H829" t="s"/>
      <c r="I829" t="s"/>
      <c r="J829" t="n">
        <v>0.4215</v>
      </c>
      <c r="K829" t="n">
        <v>0</v>
      </c>
      <c r="L829" t="n">
        <v>0.877</v>
      </c>
      <c r="M829" t="n">
        <v>0.123</v>
      </c>
    </row>
    <row r="830" spans="1:13">
      <c r="A830" s="1">
        <f>HYPERLINK("http://www.twitter.com/NathanBLawrence/status/993978123304697856", "993978123304697856")</f>
        <v/>
      </c>
      <c r="B830" s="2" t="n">
        <v>43228.92854166667</v>
      </c>
      <c r="C830" t="n">
        <v>2</v>
      </c>
      <c r="D830" t="n">
        <v>0</v>
      </c>
      <c r="E830" t="s">
        <v>840</v>
      </c>
      <c r="F830" t="s"/>
      <c r="G830" t="s"/>
      <c r="H830" t="s"/>
      <c r="I830" t="s"/>
      <c r="J830" t="n">
        <v>0</v>
      </c>
      <c r="K830" t="n">
        <v>0</v>
      </c>
      <c r="L830" t="n">
        <v>1</v>
      </c>
      <c r="M830" t="n">
        <v>0</v>
      </c>
    </row>
    <row r="831" spans="1:13">
      <c r="A831" s="1">
        <f>HYPERLINK("http://www.twitter.com/NathanBLawrence/status/993976896516915200", "993976896516915200")</f>
        <v/>
      </c>
      <c r="B831" s="2" t="n">
        <v>43228.92515046296</v>
      </c>
      <c r="C831" t="n">
        <v>2</v>
      </c>
      <c r="D831" t="n">
        <v>0</v>
      </c>
      <c r="E831" t="s">
        <v>841</v>
      </c>
      <c r="F831" t="s"/>
      <c r="G831" t="s"/>
      <c r="H831" t="s"/>
      <c r="I831" t="s"/>
      <c r="J831" t="n">
        <v>0.886</v>
      </c>
      <c r="K831" t="n">
        <v>0</v>
      </c>
      <c r="L831" t="n">
        <v>0.718</v>
      </c>
      <c r="M831" t="n">
        <v>0.282</v>
      </c>
    </row>
    <row r="832" spans="1:13">
      <c r="A832" s="1">
        <f>HYPERLINK("http://www.twitter.com/NathanBLawrence/status/993974641059336193", "993974641059336193")</f>
        <v/>
      </c>
      <c r="B832" s="2" t="n">
        <v>43228.91893518518</v>
      </c>
      <c r="C832" t="n">
        <v>0</v>
      </c>
      <c r="D832" t="n">
        <v>133</v>
      </c>
      <c r="E832" t="s">
        <v>842</v>
      </c>
      <c r="F832" t="s"/>
      <c r="G832" t="s"/>
      <c r="H832" t="s"/>
      <c r="I832" t="s"/>
      <c r="J832" t="n">
        <v>0</v>
      </c>
      <c r="K832" t="n">
        <v>0</v>
      </c>
      <c r="L832" t="n">
        <v>1</v>
      </c>
      <c r="M832" t="n">
        <v>0</v>
      </c>
    </row>
    <row r="833" spans="1:13">
      <c r="A833" s="1">
        <f>HYPERLINK("http://www.twitter.com/NathanBLawrence/status/993967696592162823", "993967696592162823")</f>
        <v/>
      </c>
      <c r="B833" s="2" t="n">
        <v>43228.89976851852</v>
      </c>
      <c r="C833" t="n">
        <v>0</v>
      </c>
      <c r="D833" t="n">
        <v>9</v>
      </c>
      <c r="E833" t="s">
        <v>843</v>
      </c>
      <c r="F833">
        <f>HYPERLINK("http://pbs.twimg.com/media/Dcsw6OxW0AAHrK4.jpg", "http://pbs.twimg.com/media/Dcsw6OxW0AAHrK4.jpg")</f>
        <v/>
      </c>
      <c r="G833" t="s"/>
      <c r="H833" t="s"/>
      <c r="I833" t="s"/>
      <c r="J833" t="n">
        <v>0</v>
      </c>
      <c r="K833" t="n">
        <v>0</v>
      </c>
      <c r="L833" t="n">
        <v>1</v>
      </c>
      <c r="M833" t="n">
        <v>0</v>
      </c>
    </row>
    <row r="834" spans="1:13">
      <c r="A834" s="1">
        <f>HYPERLINK("http://www.twitter.com/NathanBLawrence/status/993966874886057984", "993966874886057984")</f>
        <v/>
      </c>
      <c r="B834" s="2" t="n">
        <v>43228.8975</v>
      </c>
      <c r="C834" t="n">
        <v>1</v>
      </c>
      <c r="D834" t="n">
        <v>0</v>
      </c>
      <c r="E834" t="s">
        <v>844</v>
      </c>
      <c r="F834" t="s"/>
      <c r="G834" t="s"/>
      <c r="H834" t="s"/>
      <c r="I834" t="s"/>
      <c r="J834" t="n">
        <v>0.5994</v>
      </c>
      <c r="K834" t="n">
        <v>0</v>
      </c>
      <c r="L834" t="n">
        <v>0.435</v>
      </c>
      <c r="M834" t="n">
        <v>0.5649999999999999</v>
      </c>
    </row>
    <row r="835" spans="1:13">
      <c r="A835" s="1">
        <f>HYPERLINK("http://www.twitter.com/NathanBLawrence/status/993965673238941696", "993965673238941696")</f>
        <v/>
      </c>
      <c r="B835" s="2" t="n">
        <v>43228.89418981481</v>
      </c>
      <c r="C835" t="n">
        <v>0</v>
      </c>
      <c r="D835" t="n">
        <v>0</v>
      </c>
      <c r="E835" t="s">
        <v>845</v>
      </c>
      <c r="F835" t="s"/>
      <c r="G835" t="s"/>
      <c r="H835" t="s"/>
      <c r="I835" t="s"/>
      <c r="J835" t="n">
        <v>0</v>
      </c>
      <c r="K835" t="n">
        <v>0</v>
      </c>
      <c r="L835" t="n">
        <v>1</v>
      </c>
      <c r="M835" t="n">
        <v>0</v>
      </c>
    </row>
    <row r="836" spans="1:13">
      <c r="A836" s="1">
        <f>HYPERLINK("http://www.twitter.com/NathanBLawrence/status/993964075989307393", "993964075989307393")</f>
        <v/>
      </c>
      <c r="B836" s="2" t="n">
        <v>43228.88978009259</v>
      </c>
      <c r="C836" t="n">
        <v>0</v>
      </c>
      <c r="D836" t="n">
        <v>3</v>
      </c>
      <c r="E836" t="s">
        <v>846</v>
      </c>
      <c r="F836" t="s"/>
      <c r="G836" t="s"/>
      <c r="H836" t="s"/>
      <c r="I836" t="s"/>
      <c r="J836" t="n">
        <v>-0.296</v>
      </c>
      <c r="K836" t="n">
        <v>0.104</v>
      </c>
      <c r="L836" t="n">
        <v>0.896</v>
      </c>
      <c r="M836" t="n">
        <v>0</v>
      </c>
    </row>
    <row r="837" spans="1:13">
      <c r="A837" s="1">
        <f>HYPERLINK("http://www.twitter.com/NathanBLawrence/status/993944205104951298", "993944205104951298")</f>
        <v/>
      </c>
      <c r="B837" s="2" t="n">
        <v>43228.83494212963</v>
      </c>
      <c r="C837" t="n">
        <v>2</v>
      </c>
      <c r="D837" t="n">
        <v>0</v>
      </c>
      <c r="E837" t="s">
        <v>847</v>
      </c>
      <c r="F837" t="s"/>
      <c r="G837" t="s"/>
      <c r="H837" t="s"/>
      <c r="I837" t="s"/>
      <c r="J837" t="n">
        <v>0</v>
      </c>
      <c r="K837" t="n">
        <v>0</v>
      </c>
      <c r="L837" t="n">
        <v>1</v>
      </c>
      <c r="M837" t="n">
        <v>0</v>
      </c>
    </row>
    <row r="838" spans="1:13">
      <c r="A838" s="1">
        <f>HYPERLINK("http://www.twitter.com/NathanBLawrence/status/993926145954537472", "993926145954537472")</f>
        <v/>
      </c>
      <c r="B838" s="2" t="n">
        <v>43228.78511574074</v>
      </c>
      <c r="C838" t="n">
        <v>7</v>
      </c>
      <c r="D838" t="n">
        <v>2</v>
      </c>
      <c r="E838" t="s">
        <v>848</v>
      </c>
      <c r="F838">
        <f>HYPERLINK("http://pbs.twimg.com/media/DcsijWGUQAAxtcK.jpg", "http://pbs.twimg.com/media/DcsijWGUQAAxtcK.jpg")</f>
        <v/>
      </c>
      <c r="G838" t="s"/>
      <c r="H838" t="s"/>
      <c r="I838" t="s"/>
      <c r="J838" t="n">
        <v>-0.3182</v>
      </c>
      <c r="K838" t="n">
        <v>0.074</v>
      </c>
      <c r="L838" t="n">
        <v>0.888</v>
      </c>
      <c r="M838" t="n">
        <v>0.038</v>
      </c>
    </row>
    <row r="839" spans="1:13">
      <c r="A839" s="1">
        <f>HYPERLINK("http://www.twitter.com/NathanBLawrence/status/993924796449742848", "993924796449742848")</f>
        <v/>
      </c>
      <c r="B839" s="2" t="n">
        <v>43228.78138888889</v>
      </c>
      <c r="C839" t="n">
        <v>2</v>
      </c>
      <c r="D839" t="n">
        <v>0</v>
      </c>
      <c r="E839" t="s">
        <v>849</v>
      </c>
      <c r="F839">
        <f>HYPERLINK("http://pbs.twimg.com/media/DcshUrCU8AIGrJZ.jpg", "http://pbs.twimg.com/media/DcshUrCU8AIGrJZ.jpg")</f>
        <v/>
      </c>
      <c r="G839" t="s"/>
      <c r="H839" t="s"/>
      <c r="I839" t="s"/>
      <c r="J839" t="n">
        <v>-0.9217</v>
      </c>
      <c r="K839" t="n">
        <v>0.423</v>
      </c>
      <c r="L839" t="n">
        <v>0.577</v>
      </c>
      <c r="M839" t="n">
        <v>0</v>
      </c>
    </row>
    <row r="840" spans="1:13">
      <c r="A840" s="1">
        <f>HYPERLINK("http://www.twitter.com/NathanBLawrence/status/993903113709989888", "993903113709989888")</f>
        <v/>
      </c>
      <c r="B840" s="2" t="n">
        <v>43228.72155092593</v>
      </c>
      <c r="C840" t="n">
        <v>15</v>
      </c>
      <c r="D840" t="n">
        <v>9</v>
      </c>
      <c r="E840" t="s">
        <v>850</v>
      </c>
      <c r="F840">
        <f>HYPERLINK("http://pbs.twimg.com/media/DcsNmriUwAA5Hol.jpg", "http://pbs.twimg.com/media/DcsNmriUwAA5Hol.jpg")</f>
        <v/>
      </c>
      <c r="G840" t="s"/>
      <c r="H840" t="s"/>
      <c r="I840" t="s"/>
      <c r="J840" t="n">
        <v>-0.6908</v>
      </c>
      <c r="K840" t="n">
        <v>0.155</v>
      </c>
      <c r="L840" t="n">
        <v>0.845</v>
      </c>
      <c r="M840" t="n">
        <v>0</v>
      </c>
    </row>
    <row r="841" spans="1:13">
      <c r="A841" s="1">
        <f>HYPERLINK("http://www.twitter.com/NathanBLawrence/status/993898644461023232", "993898644461023232")</f>
        <v/>
      </c>
      <c r="B841" s="2" t="n">
        <v>43228.70922453704</v>
      </c>
      <c r="C841" t="n">
        <v>0</v>
      </c>
      <c r="D841" t="n">
        <v>1</v>
      </c>
      <c r="E841" t="s">
        <v>851</v>
      </c>
      <c r="F841" t="s"/>
      <c r="G841" t="s"/>
      <c r="H841" t="s"/>
      <c r="I841" t="s"/>
      <c r="J841" t="n">
        <v>0</v>
      </c>
      <c r="K841" t="n">
        <v>0</v>
      </c>
      <c r="L841" t="n">
        <v>1</v>
      </c>
      <c r="M841" t="n">
        <v>0</v>
      </c>
    </row>
    <row r="842" spans="1:13">
      <c r="A842" s="1">
        <f>HYPERLINK("http://www.twitter.com/NathanBLawrence/status/993898591314960386", "993898591314960386")</f>
        <v/>
      </c>
      <c r="B842" s="2" t="n">
        <v>43228.70907407408</v>
      </c>
      <c r="C842" t="n">
        <v>0</v>
      </c>
      <c r="D842" t="n">
        <v>1</v>
      </c>
      <c r="E842" t="s">
        <v>852</v>
      </c>
      <c r="F842" t="s"/>
      <c r="G842" t="s"/>
      <c r="H842" t="s"/>
      <c r="I842" t="s"/>
      <c r="J842" t="n">
        <v>0</v>
      </c>
      <c r="K842" t="n">
        <v>0</v>
      </c>
      <c r="L842" t="n">
        <v>1</v>
      </c>
      <c r="M842" t="n">
        <v>0</v>
      </c>
    </row>
    <row r="843" spans="1:13">
      <c r="A843" s="1">
        <f>HYPERLINK("http://www.twitter.com/NathanBLawrence/status/993895977781223424", "993895977781223424")</f>
        <v/>
      </c>
      <c r="B843" s="2" t="n">
        <v>43228.70186342593</v>
      </c>
      <c r="C843" t="n">
        <v>0</v>
      </c>
      <c r="D843" t="n">
        <v>2</v>
      </c>
      <c r="E843" t="s">
        <v>853</v>
      </c>
      <c r="F843" t="s"/>
      <c r="G843" t="s"/>
      <c r="H843" t="s"/>
      <c r="I843" t="s"/>
      <c r="J843" t="n">
        <v>-0.7964</v>
      </c>
      <c r="K843" t="n">
        <v>0.262</v>
      </c>
      <c r="L843" t="n">
        <v>0.738</v>
      </c>
      <c r="M843" t="n">
        <v>0</v>
      </c>
    </row>
    <row r="844" spans="1:13">
      <c r="A844" s="1">
        <f>HYPERLINK("http://www.twitter.com/NathanBLawrence/status/993889416124010497", "993889416124010497")</f>
        <v/>
      </c>
      <c r="B844" s="2" t="n">
        <v>43228.68376157407</v>
      </c>
      <c r="C844" t="n">
        <v>7</v>
      </c>
      <c r="D844" t="n">
        <v>1</v>
      </c>
      <c r="E844" t="s">
        <v>854</v>
      </c>
      <c r="F844" t="s"/>
      <c r="G844" t="s"/>
      <c r="H844" t="s"/>
      <c r="I844" t="s"/>
      <c r="J844" t="n">
        <v>-0.9343</v>
      </c>
      <c r="K844" t="n">
        <v>0.323</v>
      </c>
      <c r="L844" t="n">
        <v>0.628</v>
      </c>
      <c r="M844" t="n">
        <v>0.049</v>
      </c>
    </row>
    <row r="845" spans="1:13">
      <c r="A845" s="1">
        <f>HYPERLINK("http://www.twitter.com/NathanBLawrence/status/993883214379876352", "993883214379876352")</f>
        <v/>
      </c>
      <c r="B845" s="2" t="n">
        <v>43228.66664351852</v>
      </c>
      <c r="C845" t="n">
        <v>1</v>
      </c>
      <c r="D845" t="n">
        <v>0</v>
      </c>
      <c r="E845" t="s">
        <v>855</v>
      </c>
      <c r="F845" t="s"/>
      <c r="G845" t="s"/>
      <c r="H845" t="s"/>
      <c r="I845" t="s"/>
      <c r="J845" t="n">
        <v>-0.8442</v>
      </c>
      <c r="K845" t="n">
        <v>0.291</v>
      </c>
      <c r="L845" t="n">
        <v>0.709</v>
      </c>
      <c r="M845" t="n">
        <v>0</v>
      </c>
    </row>
    <row r="846" spans="1:13">
      <c r="A846" s="1">
        <f>HYPERLINK("http://www.twitter.com/NathanBLawrence/status/993876304285110272", "993876304285110272")</f>
        <v/>
      </c>
      <c r="B846" s="2" t="n">
        <v>43228.64756944445</v>
      </c>
      <c r="C846" t="n">
        <v>0</v>
      </c>
      <c r="D846" t="n">
        <v>1</v>
      </c>
      <c r="E846" t="s">
        <v>856</v>
      </c>
      <c r="F846" t="s"/>
      <c r="G846" t="s"/>
      <c r="H846" t="s"/>
      <c r="I846" t="s"/>
      <c r="J846" t="n">
        <v>-0.5266999999999999</v>
      </c>
      <c r="K846" t="n">
        <v>0.289</v>
      </c>
      <c r="L846" t="n">
        <v>0.588</v>
      </c>
      <c r="M846" t="n">
        <v>0.123</v>
      </c>
    </row>
    <row r="847" spans="1:13">
      <c r="A847" s="1">
        <f>HYPERLINK("http://www.twitter.com/NathanBLawrence/status/993876216900935680", "993876216900935680")</f>
        <v/>
      </c>
      <c r="B847" s="2" t="n">
        <v>43228.64733796296</v>
      </c>
      <c r="C847" t="n">
        <v>0</v>
      </c>
      <c r="D847" t="n">
        <v>0</v>
      </c>
      <c r="E847" t="s">
        <v>857</v>
      </c>
      <c r="F847" t="s"/>
      <c r="G847" t="s"/>
      <c r="H847" t="s"/>
      <c r="I847" t="s"/>
      <c r="J847" t="n">
        <v>0.8225</v>
      </c>
      <c r="K847" t="n">
        <v>0.097</v>
      </c>
      <c r="L847" t="n">
        <v>0.655</v>
      </c>
      <c r="M847" t="n">
        <v>0.248</v>
      </c>
    </row>
    <row r="848" spans="1:13">
      <c r="A848" s="1">
        <f>HYPERLINK("http://www.twitter.com/NathanBLawrence/status/993868719171555328", "993868719171555328")</f>
        <v/>
      </c>
      <c r="B848" s="2" t="n">
        <v>43228.62664351852</v>
      </c>
      <c r="C848" t="n">
        <v>0</v>
      </c>
      <c r="D848" t="n">
        <v>1</v>
      </c>
      <c r="E848" t="s">
        <v>858</v>
      </c>
      <c r="F848" t="s"/>
      <c r="G848" t="s"/>
      <c r="H848" t="s"/>
      <c r="I848" t="s"/>
      <c r="J848" t="n">
        <v>-0.6597</v>
      </c>
      <c r="K848" t="n">
        <v>0.253</v>
      </c>
      <c r="L848" t="n">
        <v>0.747</v>
      </c>
      <c r="M848" t="n">
        <v>0</v>
      </c>
    </row>
    <row r="849" spans="1:13">
      <c r="A849" s="1">
        <f>HYPERLINK("http://www.twitter.com/NathanBLawrence/status/993868379055419392", "993868379055419392")</f>
        <v/>
      </c>
      <c r="B849" s="2" t="n">
        <v>43228.62570601852</v>
      </c>
      <c r="C849" t="n">
        <v>0</v>
      </c>
      <c r="D849" t="n">
        <v>2</v>
      </c>
      <c r="E849" t="s">
        <v>859</v>
      </c>
      <c r="F849" t="s"/>
      <c r="G849" t="s"/>
      <c r="H849" t="s"/>
      <c r="I849" t="s"/>
      <c r="J849" t="n">
        <v>-0.9081</v>
      </c>
      <c r="K849" t="n">
        <v>0.508</v>
      </c>
      <c r="L849" t="n">
        <v>0.492</v>
      </c>
      <c r="M849" t="n">
        <v>0</v>
      </c>
    </row>
    <row r="850" spans="1:13">
      <c r="A850" s="1">
        <f>HYPERLINK("http://www.twitter.com/NathanBLawrence/status/993867032415358976", "993867032415358976")</f>
        <v/>
      </c>
      <c r="B850" s="2" t="n">
        <v>43228.62199074074</v>
      </c>
      <c r="C850" t="n">
        <v>0</v>
      </c>
      <c r="D850" t="n">
        <v>16</v>
      </c>
      <c r="E850" t="s">
        <v>860</v>
      </c>
      <c r="F850" t="s"/>
      <c r="G850" t="s"/>
      <c r="H850" t="s"/>
      <c r="I850" t="s"/>
      <c r="J850" t="n">
        <v>0.6553</v>
      </c>
      <c r="K850" t="n">
        <v>0</v>
      </c>
      <c r="L850" t="n">
        <v>0.789</v>
      </c>
      <c r="M850" t="n">
        <v>0.211</v>
      </c>
    </row>
    <row r="851" spans="1:13">
      <c r="A851" s="1">
        <f>HYPERLINK("http://www.twitter.com/NathanBLawrence/status/993866989323112448", "993866989323112448")</f>
        <v/>
      </c>
      <c r="B851" s="2" t="n">
        <v>43228.621875</v>
      </c>
      <c r="C851" t="n">
        <v>0</v>
      </c>
      <c r="D851" t="n">
        <v>12</v>
      </c>
      <c r="E851" t="s">
        <v>861</v>
      </c>
      <c r="F851">
        <f>HYPERLINK("http://pbs.twimg.com/media/DcroDbPW4AEoFoK.jpg", "http://pbs.twimg.com/media/DcroDbPW4AEoFoK.jpg")</f>
        <v/>
      </c>
      <c r="G851" t="s"/>
      <c r="H851" t="s"/>
      <c r="I851" t="s"/>
      <c r="J851" t="n">
        <v>0</v>
      </c>
      <c r="K851" t="n">
        <v>0</v>
      </c>
      <c r="L851" t="n">
        <v>1</v>
      </c>
      <c r="M851" t="n">
        <v>0</v>
      </c>
    </row>
    <row r="852" spans="1:13">
      <c r="A852" s="1">
        <f>HYPERLINK("http://www.twitter.com/NathanBLawrence/status/993858623901241346", "993858623901241346")</f>
        <v/>
      </c>
      <c r="B852" s="2" t="n">
        <v>43228.59878472222</v>
      </c>
      <c r="C852" t="n">
        <v>0</v>
      </c>
      <c r="D852" t="n">
        <v>0</v>
      </c>
      <c r="E852" t="s">
        <v>862</v>
      </c>
      <c r="F852" t="s"/>
      <c r="G852" t="s"/>
      <c r="H852" t="s"/>
      <c r="I852" t="s"/>
      <c r="J852" t="n">
        <v>0.3612</v>
      </c>
      <c r="K852" t="n">
        <v>0</v>
      </c>
      <c r="L852" t="n">
        <v>0.857</v>
      </c>
      <c r="M852" t="n">
        <v>0.143</v>
      </c>
    </row>
    <row r="853" spans="1:13">
      <c r="A853" s="1">
        <f>HYPERLINK("http://www.twitter.com/NathanBLawrence/status/993849299481124864", "993849299481124864")</f>
        <v/>
      </c>
      <c r="B853" s="2" t="n">
        <v>43228.57305555556</v>
      </c>
      <c r="C853" t="n">
        <v>0</v>
      </c>
      <c r="D853" t="n">
        <v>3</v>
      </c>
      <c r="E853" t="s">
        <v>863</v>
      </c>
      <c r="F853" t="s"/>
      <c r="G853" t="s"/>
      <c r="H853" t="s"/>
      <c r="I853" t="s"/>
      <c r="J853" t="n">
        <v>-0.5574</v>
      </c>
      <c r="K853" t="n">
        <v>0.283</v>
      </c>
      <c r="L853" t="n">
        <v>0.583</v>
      </c>
      <c r="M853" t="n">
        <v>0.133</v>
      </c>
    </row>
    <row r="854" spans="1:13">
      <c r="A854" s="1">
        <f>HYPERLINK("http://www.twitter.com/NathanBLawrence/status/993848967665463298", "993848967665463298")</f>
        <v/>
      </c>
      <c r="B854" s="2" t="n">
        <v>43228.5721412037</v>
      </c>
      <c r="C854" t="n">
        <v>1</v>
      </c>
      <c r="D854" t="n">
        <v>1</v>
      </c>
      <c r="E854" t="s">
        <v>864</v>
      </c>
      <c r="F854">
        <f>HYPERLINK("http://pbs.twimg.com/media/DcrcXUcVAAEiHxZ.jpg", "http://pbs.twimg.com/media/DcrcXUcVAAEiHxZ.jpg")</f>
        <v/>
      </c>
      <c r="G854" t="s"/>
      <c r="H854" t="s"/>
      <c r="I854" t="s"/>
      <c r="J854" t="n">
        <v>0.0258</v>
      </c>
      <c r="K854" t="n">
        <v>0.152</v>
      </c>
      <c r="L854" t="n">
        <v>0.6899999999999999</v>
      </c>
      <c r="M854" t="n">
        <v>0.159</v>
      </c>
    </row>
    <row r="855" spans="1:13">
      <c r="A855" s="1">
        <f>HYPERLINK("http://www.twitter.com/NathanBLawrence/status/993847916132552704", "993847916132552704")</f>
        <v/>
      </c>
      <c r="B855" s="2" t="n">
        <v>43228.56923611111</v>
      </c>
      <c r="C855" t="n">
        <v>0</v>
      </c>
      <c r="D855" t="n">
        <v>2</v>
      </c>
      <c r="E855" t="s">
        <v>865</v>
      </c>
      <c r="F855" t="s"/>
      <c r="G855" t="s"/>
      <c r="H855" t="s"/>
      <c r="I855" t="s"/>
      <c r="J855" t="n">
        <v>-0.5574</v>
      </c>
      <c r="K855" t="n">
        <v>0.184</v>
      </c>
      <c r="L855" t="n">
        <v>0.8159999999999999</v>
      </c>
      <c r="M855" t="n">
        <v>0</v>
      </c>
    </row>
    <row r="856" spans="1:13">
      <c r="A856" s="1">
        <f>HYPERLINK("http://www.twitter.com/NathanBLawrence/status/993844094274359296", "993844094274359296")</f>
        <v/>
      </c>
      <c r="B856" s="2" t="n">
        <v>43228.55869212963</v>
      </c>
      <c r="C856" t="n">
        <v>0</v>
      </c>
      <c r="D856" t="n">
        <v>1</v>
      </c>
      <c r="E856" t="s">
        <v>866</v>
      </c>
      <c r="F856" t="s"/>
      <c r="G856" t="s"/>
      <c r="H856" t="s"/>
      <c r="I856" t="s"/>
      <c r="J856" t="n">
        <v>-0.2732</v>
      </c>
      <c r="K856" t="n">
        <v>0.095</v>
      </c>
      <c r="L856" t="n">
        <v>0.905</v>
      </c>
      <c r="M856" t="n">
        <v>0</v>
      </c>
    </row>
    <row r="857" spans="1:13">
      <c r="A857" s="1">
        <f>HYPERLINK("http://www.twitter.com/NathanBLawrence/status/993844023084376070", "993844023084376070")</f>
        <v/>
      </c>
      <c r="B857" s="2" t="n">
        <v>43228.55849537037</v>
      </c>
      <c r="C857" t="n">
        <v>0</v>
      </c>
      <c r="D857" t="n">
        <v>0</v>
      </c>
      <c r="E857" t="s">
        <v>867</v>
      </c>
      <c r="F857" t="s"/>
      <c r="G857" t="s"/>
      <c r="H857" t="s"/>
      <c r="I857" t="s"/>
      <c r="J857" t="n">
        <v>0</v>
      </c>
      <c r="K857" t="n">
        <v>0</v>
      </c>
      <c r="L857" t="n">
        <v>1</v>
      </c>
      <c r="M857" t="n">
        <v>0</v>
      </c>
    </row>
    <row r="858" spans="1:13">
      <c r="A858" s="1">
        <f>HYPERLINK("http://www.twitter.com/NathanBLawrence/status/993842469790998533", "993842469790998533")</f>
        <v/>
      </c>
      <c r="B858" s="2" t="n">
        <v>43228.55421296296</v>
      </c>
      <c r="C858" t="n">
        <v>0</v>
      </c>
      <c r="D858" t="n">
        <v>160</v>
      </c>
      <c r="E858" t="s">
        <v>868</v>
      </c>
      <c r="F858" t="s"/>
      <c r="G858" t="s"/>
      <c r="H858" t="s"/>
      <c r="I858" t="s"/>
      <c r="J858" t="n">
        <v>0.4588</v>
      </c>
      <c r="K858" t="n">
        <v>0</v>
      </c>
      <c r="L858" t="n">
        <v>0.727</v>
      </c>
      <c r="M858" t="n">
        <v>0.273</v>
      </c>
    </row>
    <row r="859" spans="1:13">
      <c r="A859" s="1">
        <f>HYPERLINK("http://www.twitter.com/NathanBLawrence/status/993840580152233984", "993840580152233984")</f>
        <v/>
      </c>
      <c r="B859" s="2" t="n">
        <v>43228.54899305556</v>
      </c>
      <c r="C859" t="n">
        <v>2</v>
      </c>
      <c r="D859" t="n">
        <v>0</v>
      </c>
      <c r="E859" t="s">
        <v>869</v>
      </c>
      <c r="F859" t="s"/>
      <c r="G859" t="s"/>
      <c r="H859" t="s"/>
      <c r="I859" t="s"/>
      <c r="J859" t="n">
        <v>0.9042</v>
      </c>
      <c r="K859" t="n">
        <v>0</v>
      </c>
      <c r="L859" t="n">
        <v>0.596</v>
      </c>
      <c r="M859" t="n">
        <v>0.404</v>
      </c>
    </row>
    <row r="860" spans="1:13">
      <c r="A860" s="1">
        <f>HYPERLINK("http://www.twitter.com/NathanBLawrence/status/993835164970176512", "993835164970176512")</f>
        <v/>
      </c>
      <c r="B860" s="2" t="n">
        <v>43228.53405092593</v>
      </c>
      <c r="C860" t="n">
        <v>0</v>
      </c>
      <c r="D860" t="n">
        <v>77</v>
      </c>
      <c r="E860" t="s">
        <v>870</v>
      </c>
      <c r="F860" t="s"/>
      <c r="G860" t="s"/>
      <c r="H860" t="s"/>
      <c r="I860" t="s"/>
      <c r="J860" t="n">
        <v>0</v>
      </c>
      <c r="K860" t="n">
        <v>0</v>
      </c>
      <c r="L860" t="n">
        <v>1</v>
      </c>
      <c r="M860" t="n">
        <v>0</v>
      </c>
    </row>
    <row r="861" spans="1:13">
      <c r="A861" s="1">
        <f>HYPERLINK("http://www.twitter.com/NathanBLawrence/status/993835141263953920", "993835141263953920")</f>
        <v/>
      </c>
      <c r="B861" s="2" t="n">
        <v>43228.53398148148</v>
      </c>
      <c r="C861" t="n">
        <v>0</v>
      </c>
      <c r="D861" t="n">
        <v>47</v>
      </c>
      <c r="E861" t="s">
        <v>871</v>
      </c>
      <c r="F861" t="s"/>
      <c r="G861" t="s"/>
      <c r="H861" t="s"/>
      <c r="I861" t="s"/>
      <c r="J861" t="n">
        <v>0.6369</v>
      </c>
      <c r="K861" t="n">
        <v>0.158</v>
      </c>
      <c r="L861" t="n">
        <v>0.548</v>
      </c>
      <c r="M861" t="n">
        <v>0.294</v>
      </c>
    </row>
    <row r="862" spans="1:13">
      <c r="A862" s="1">
        <f>HYPERLINK("http://www.twitter.com/NathanBLawrence/status/993835115104100352", "993835115104100352")</f>
        <v/>
      </c>
      <c r="B862" s="2" t="n">
        <v>43228.53391203703</v>
      </c>
      <c r="C862" t="n">
        <v>0</v>
      </c>
      <c r="D862" t="n">
        <v>81</v>
      </c>
      <c r="E862" t="s">
        <v>872</v>
      </c>
      <c r="F862" t="s"/>
      <c r="G862" t="s"/>
      <c r="H862" t="s"/>
      <c r="I862" t="s"/>
      <c r="J862" t="n">
        <v>-0.5266999999999999</v>
      </c>
      <c r="K862" t="n">
        <v>0.217</v>
      </c>
      <c r="L862" t="n">
        <v>0.6879999999999999</v>
      </c>
      <c r="M862" t="n">
        <v>0.094</v>
      </c>
    </row>
    <row r="863" spans="1:13">
      <c r="A863" s="1">
        <f>HYPERLINK("http://www.twitter.com/NathanBLawrence/status/993835033453629440", "993835033453629440")</f>
        <v/>
      </c>
      <c r="B863" s="2" t="n">
        <v>43228.53369212963</v>
      </c>
      <c r="C863" t="n">
        <v>0</v>
      </c>
      <c r="D863" t="n">
        <v>61</v>
      </c>
      <c r="E863" t="s">
        <v>873</v>
      </c>
      <c r="F863" t="s"/>
      <c r="G863" t="s"/>
      <c r="H863" t="s"/>
      <c r="I863" t="s"/>
      <c r="J863" t="n">
        <v>-0.0516</v>
      </c>
      <c r="K863" t="n">
        <v>0.12</v>
      </c>
      <c r="L863" t="n">
        <v>0.769</v>
      </c>
      <c r="M863" t="n">
        <v>0.111</v>
      </c>
    </row>
    <row r="864" spans="1:13">
      <c r="A864" s="1">
        <f>HYPERLINK("http://www.twitter.com/NathanBLawrence/status/993834986200616961", "993834986200616961")</f>
        <v/>
      </c>
      <c r="B864" s="2" t="n">
        <v>43228.53355324074</v>
      </c>
      <c r="C864" t="n">
        <v>0</v>
      </c>
      <c r="D864" t="n">
        <v>57</v>
      </c>
      <c r="E864" t="s">
        <v>874</v>
      </c>
      <c r="F864" t="s"/>
      <c r="G864" t="s"/>
      <c r="H864" t="s"/>
      <c r="I864" t="s"/>
      <c r="J864" t="n">
        <v>0</v>
      </c>
      <c r="K864" t="n">
        <v>0</v>
      </c>
      <c r="L864" t="n">
        <v>1</v>
      </c>
      <c r="M864" t="n">
        <v>0</v>
      </c>
    </row>
    <row r="865" spans="1:13">
      <c r="A865" s="1">
        <f>HYPERLINK("http://www.twitter.com/NathanBLawrence/status/993834932068696064", "993834932068696064")</f>
        <v/>
      </c>
      <c r="B865" s="2" t="n">
        <v>43228.53341435185</v>
      </c>
      <c r="C865" t="n">
        <v>0</v>
      </c>
      <c r="D865" t="n">
        <v>104</v>
      </c>
      <c r="E865" t="s">
        <v>875</v>
      </c>
      <c r="F865" t="s"/>
      <c r="G865" t="s"/>
      <c r="H865" t="s"/>
      <c r="I865" t="s"/>
      <c r="J865" t="n">
        <v>-0.25</v>
      </c>
      <c r="K865" t="n">
        <v>0.08699999999999999</v>
      </c>
      <c r="L865" t="n">
        <v>0.913</v>
      </c>
      <c r="M865" t="n">
        <v>0</v>
      </c>
    </row>
    <row r="866" spans="1:13">
      <c r="A866" s="1">
        <f>HYPERLINK("http://www.twitter.com/NathanBLawrence/status/993834853366947842", "993834853366947842")</f>
        <v/>
      </c>
      <c r="B866" s="2" t="n">
        <v>43228.53319444445</v>
      </c>
      <c r="C866" t="n">
        <v>0</v>
      </c>
      <c r="D866" t="n">
        <v>78</v>
      </c>
      <c r="E866" t="s">
        <v>876</v>
      </c>
      <c r="F866" t="s"/>
      <c r="G866" t="s"/>
      <c r="H866" t="s"/>
      <c r="I866" t="s"/>
      <c r="J866" t="n">
        <v>0</v>
      </c>
      <c r="K866" t="n">
        <v>0</v>
      </c>
      <c r="L866" t="n">
        <v>1</v>
      </c>
      <c r="M866" t="n">
        <v>0</v>
      </c>
    </row>
    <row r="867" spans="1:13">
      <c r="A867" s="1">
        <f>HYPERLINK("http://www.twitter.com/NathanBLawrence/status/993833988602114048", "993833988602114048")</f>
        <v/>
      </c>
      <c r="B867" s="2" t="n">
        <v>43228.53081018518</v>
      </c>
      <c r="C867" t="n">
        <v>0</v>
      </c>
      <c r="D867" t="n">
        <v>4</v>
      </c>
      <c r="E867" t="s">
        <v>877</v>
      </c>
      <c r="F867">
        <f>HYPERLINK("http://pbs.twimg.com/media/DcrKsrLWsAAc5z1.jpg", "http://pbs.twimg.com/media/DcrKsrLWsAAc5z1.jpg")</f>
        <v/>
      </c>
      <c r="G867" t="s"/>
      <c r="H867" t="s"/>
      <c r="I867" t="s"/>
      <c r="J867" t="n">
        <v>-0.5423</v>
      </c>
      <c r="K867" t="n">
        <v>0.143</v>
      </c>
      <c r="L867" t="n">
        <v>0.857</v>
      </c>
      <c r="M867" t="n">
        <v>0</v>
      </c>
    </row>
    <row r="868" spans="1:13">
      <c r="A868" s="1">
        <f>HYPERLINK("http://www.twitter.com/NathanBLawrence/status/993833743717732353", "993833743717732353")</f>
        <v/>
      </c>
      <c r="B868" s="2" t="n">
        <v>43228.53012731481</v>
      </c>
      <c r="C868" t="n">
        <v>0</v>
      </c>
      <c r="D868" t="n">
        <v>0</v>
      </c>
      <c r="E868" t="s">
        <v>878</v>
      </c>
      <c r="F868" t="s"/>
      <c r="G868" t="s"/>
      <c r="H868" t="s"/>
      <c r="I868" t="s"/>
      <c r="J868" t="n">
        <v>0</v>
      </c>
      <c r="K868" t="n">
        <v>0</v>
      </c>
      <c r="L868" t="n">
        <v>1</v>
      </c>
      <c r="M868" t="n">
        <v>0</v>
      </c>
    </row>
    <row r="869" spans="1:13">
      <c r="A869" s="1">
        <f>HYPERLINK("http://www.twitter.com/NathanBLawrence/status/993810315367370754", "993810315367370754")</f>
        <v/>
      </c>
      <c r="B869" s="2" t="n">
        <v>43228.46547453704</v>
      </c>
      <c r="C869" t="n">
        <v>4</v>
      </c>
      <c r="D869" t="n">
        <v>0</v>
      </c>
      <c r="E869" t="s">
        <v>879</v>
      </c>
      <c r="F869" t="s"/>
      <c r="G869" t="s"/>
      <c r="H869" t="s"/>
      <c r="I869" t="s"/>
      <c r="J869" t="n">
        <v>-0.75</v>
      </c>
      <c r="K869" t="n">
        <v>0.251</v>
      </c>
      <c r="L869" t="n">
        <v>0.669</v>
      </c>
      <c r="M869" t="n">
        <v>0.08</v>
      </c>
    </row>
    <row r="870" spans="1:13">
      <c r="A870" s="1">
        <f>HYPERLINK("http://www.twitter.com/NathanBLawrence/status/993712178061508608", "993712178061508608")</f>
        <v/>
      </c>
      <c r="B870" s="2" t="n">
        <v>43228.19467592592</v>
      </c>
      <c r="C870" t="n">
        <v>0</v>
      </c>
      <c r="D870" t="n">
        <v>0</v>
      </c>
      <c r="E870" t="s">
        <v>880</v>
      </c>
      <c r="F870" t="s"/>
      <c r="G870" t="s"/>
      <c r="H870" t="s"/>
      <c r="I870" t="s"/>
      <c r="J870" t="n">
        <v>0.1027</v>
      </c>
      <c r="K870" t="n">
        <v>0.286</v>
      </c>
      <c r="L870" t="n">
        <v>0.317</v>
      </c>
      <c r="M870" t="n">
        <v>0.397</v>
      </c>
    </row>
    <row r="871" spans="1:13">
      <c r="A871" s="1">
        <f>HYPERLINK("http://www.twitter.com/NathanBLawrence/status/993702098486341637", "993702098486341637")</f>
        <v/>
      </c>
      <c r="B871" s="2" t="n">
        <v>43228.16686342593</v>
      </c>
      <c r="C871" t="n">
        <v>0</v>
      </c>
      <c r="D871" t="n">
        <v>11</v>
      </c>
      <c r="E871" t="s">
        <v>881</v>
      </c>
      <c r="F871" t="s"/>
      <c r="G871" t="s"/>
      <c r="H871" t="s"/>
      <c r="I871" t="s"/>
      <c r="J871" t="n">
        <v>-0.8455</v>
      </c>
      <c r="K871" t="n">
        <v>0.337</v>
      </c>
      <c r="L871" t="n">
        <v>0.663</v>
      </c>
      <c r="M871" t="n">
        <v>0</v>
      </c>
    </row>
    <row r="872" spans="1:13">
      <c r="A872" s="1">
        <f>HYPERLINK("http://www.twitter.com/NathanBLawrence/status/993700089360191488", "993700089360191488")</f>
        <v/>
      </c>
      <c r="B872" s="2" t="n">
        <v>43228.16131944444</v>
      </c>
      <c r="C872" t="n">
        <v>0</v>
      </c>
      <c r="D872" t="n">
        <v>13</v>
      </c>
      <c r="E872" t="s">
        <v>882</v>
      </c>
      <c r="F872" t="s"/>
      <c r="G872" t="s"/>
      <c r="H872" t="s"/>
      <c r="I872" t="s"/>
      <c r="J872" t="n">
        <v>-0.7059</v>
      </c>
      <c r="K872" t="n">
        <v>0.246</v>
      </c>
      <c r="L872" t="n">
        <v>0.754</v>
      </c>
      <c r="M872" t="n">
        <v>0</v>
      </c>
    </row>
    <row r="873" spans="1:13">
      <c r="A873" s="1">
        <f>HYPERLINK("http://www.twitter.com/NathanBLawrence/status/993699913958608897", "993699913958608897")</f>
        <v/>
      </c>
      <c r="B873" s="2" t="n">
        <v>43228.16083333334</v>
      </c>
      <c r="C873" t="n">
        <v>3</v>
      </c>
      <c r="D873" t="n">
        <v>0</v>
      </c>
      <c r="E873" t="s">
        <v>883</v>
      </c>
      <c r="F873" t="s"/>
      <c r="G873" t="s"/>
      <c r="H873" t="s"/>
      <c r="I873" t="s"/>
      <c r="J873" t="n">
        <v>-0.6705</v>
      </c>
      <c r="K873" t="n">
        <v>0.176</v>
      </c>
      <c r="L873" t="n">
        <v>0.824</v>
      </c>
      <c r="M873" t="n">
        <v>0</v>
      </c>
    </row>
    <row r="874" spans="1:13">
      <c r="A874" s="1">
        <f>HYPERLINK("http://www.twitter.com/NathanBLawrence/status/993696085167222785", "993696085167222785")</f>
        <v/>
      </c>
      <c r="B874" s="2" t="n">
        <v>43228.1502662037</v>
      </c>
      <c r="C874" t="n">
        <v>0</v>
      </c>
      <c r="D874" t="n">
        <v>3</v>
      </c>
      <c r="E874" t="s">
        <v>884</v>
      </c>
      <c r="F874">
        <f>HYPERLINK("http://pbs.twimg.com/media/DcpQ3PFV4AAe0Va.jpg", "http://pbs.twimg.com/media/DcpQ3PFV4AAe0Va.jpg")</f>
        <v/>
      </c>
      <c r="G874" t="s"/>
      <c r="H874" t="s"/>
      <c r="I874" t="s"/>
      <c r="J874" t="n">
        <v>-0.5523</v>
      </c>
      <c r="K874" t="n">
        <v>0.202</v>
      </c>
      <c r="L874" t="n">
        <v>0.798</v>
      </c>
      <c r="M874" t="n">
        <v>0</v>
      </c>
    </row>
    <row r="875" spans="1:13">
      <c r="A875" s="1">
        <f>HYPERLINK("http://www.twitter.com/NathanBLawrence/status/993685259265994752", "993685259265994752")</f>
        <v/>
      </c>
      <c r="B875" s="2" t="n">
        <v>43228.12039351852</v>
      </c>
      <c r="C875" t="n">
        <v>0</v>
      </c>
      <c r="D875" t="n">
        <v>16</v>
      </c>
      <c r="E875" t="s">
        <v>885</v>
      </c>
      <c r="F875">
        <f>HYPERLINK("http://pbs.twimg.com/media/DcpCFzdVMAAgSJn.jpg", "http://pbs.twimg.com/media/DcpCFzdVMAAgSJn.jpg")</f>
        <v/>
      </c>
      <c r="G875" t="s"/>
      <c r="H875" t="s"/>
      <c r="I875" t="s"/>
      <c r="J875" t="n">
        <v>-0.4767</v>
      </c>
      <c r="K875" t="n">
        <v>0.193</v>
      </c>
      <c r="L875" t="n">
        <v>0.8070000000000001</v>
      </c>
      <c r="M875" t="n">
        <v>0</v>
      </c>
    </row>
    <row r="876" spans="1:13">
      <c r="A876" s="1">
        <f>HYPERLINK("http://www.twitter.com/NathanBLawrence/status/993676617770815489", "993676617770815489")</f>
        <v/>
      </c>
      <c r="B876" s="2" t="n">
        <v>43228.09653935185</v>
      </c>
      <c r="C876" t="n">
        <v>2</v>
      </c>
      <c r="D876" t="n">
        <v>0</v>
      </c>
      <c r="E876" t="s">
        <v>886</v>
      </c>
      <c r="F876">
        <f>HYPERLINK("http://pbs.twimg.com/media/Dco_nIuUwAAE9XL.jpg", "http://pbs.twimg.com/media/Dco_nIuUwAAE9XL.jpg")</f>
        <v/>
      </c>
      <c r="G876" t="s"/>
      <c r="H876" t="s"/>
      <c r="I876" t="s"/>
      <c r="J876" t="n">
        <v>-0.5214</v>
      </c>
      <c r="K876" t="n">
        <v>0.206</v>
      </c>
      <c r="L876" t="n">
        <v>0.794</v>
      </c>
      <c r="M876" t="n">
        <v>0</v>
      </c>
    </row>
    <row r="877" spans="1:13">
      <c r="A877" s="1">
        <f>HYPERLINK("http://www.twitter.com/NathanBLawrence/status/993673385799544833", "993673385799544833")</f>
        <v/>
      </c>
      <c r="B877" s="2" t="n">
        <v>43228.08762731482</v>
      </c>
      <c r="C877" t="n">
        <v>0</v>
      </c>
      <c r="D877" t="n">
        <v>0</v>
      </c>
      <c r="E877" t="s">
        <v>887</v>
      </c>
      <c r="F877" t="s"/>
      <c r="G877" t="s"/>
      <c r="H877" t="s"/>
      <c r="I877" t="s"/>
      <c r="J877" t="n">
        <v>-0.628</v>
      </c>
      <c r="K877" t="n">
        <v>0.34</v>
      </c>
      <c r="L877" t="n">
        <v>0.66</v>
      </c>
      <c r="M877" t="n">
        <v>0</v>
      </c>
    </row>
    <row r="878" spans="1:13">
      <c r="A878" s="1">
        <f>HYPERLINK("http://www.twitter.com/NathanBLawrence/status/993672676978896899", "993672676978896899")</f>
        <v/>
      </c>
      <c r="B878" s="2" t="n">
        <v>43228.0856712963</v>
      </c>
      <c r="C878" t="n">
        <v>0</v>
      </c>
      <c r="D878" t="n">
        <v>5</v>
      </c>
      <c r="E878" t="s">
        <v>888</v>
      </c>
      <c r="F878" t="s"/>
      <c r="G878" t="s"/>
      <c r="H878" t="s"/>
      <c r="I878" t="s"/>
      <c r="J878" t="n">
        <v>-0.296</v>
      </c>
      <c r="K878" t="n">
        <v>0.08400000000000001</v>
      </c>
      <c r="L878" t="n">
        <v>0.916</v>
      </c>
      <c r="M878" t="n">
        <v>0</v>
      </c>
    </row>
    <row r="879" spans="1:13">
      <c r="A879" s="1">
        <f>HYPERLINK("http://www.twitter.com/NathanBLawrence/status/993671470382505985", "993671470382505985")</f>
        <v/>
      </c>
      <c r="B879" s="2" t="n">
        <v>43228.08233796297</v>
      </c>
      <c r="C879" t="n">
        <v>0</v>
      </c>
      <c r="D879" t="n">
        <v>18</v>
      </c>
      <c r="E879" t="s">
        <v>889</v>
      </c>
      <c r="F879">
        <f>HYPERLINK("http://pbs.twimg.com/media/Dcnq525U0AAroQj.jpg", "http://pbs.twimg.com/media/Dcnq525U0AAroQj.jpg")</f>
        <v/>
      </c>
      <c r="G879">
        <f>HYPERLINK("http://pbs.twimg.com/media/Dcnq6z9VAAAL5br.jpg", "http://pbs.twimg.com/media/Dcnq6z9VAAAL5br.jpg")</f>
        <v/>
      </c>
      <c r="H879">
        <f>HYPERLINK("http://pbs.twimg.com/media/Dcnq7MsUwAAZadH.jpg", "http://pbs.twimg.com/media/Dcnq7MsUwAAZadH.jpg")</f>
        <v/>
      </c>
      <c r="I879" t="s"/>
      <c r="J879" t="n">
        <v>0.5204</v>
      </c>
      <c r="K879" t="n">
        <v>0</v>
      </c>
      <c r="L879" t="n">
        <v>0.856</v>
      </c>
      <c r="M879" t="n">
        <v>0.144</v>
      </c>
    </row>
    <row r="880" spans="1:13">
      <c r="A880" s="1">
        <f>HYPERLINK("http://www.twitter.com/NathanBLawrence/status/993671449947918336", "993671449947918336")</f>
        <v/>
      </c>
      <c r="B880" s="2" t="n">
        <v>43228.0822800926</v>
      </c>
      <c r="C880" t="n">
        <v>0</v>
      </c>
      <c r="D880" t="n">
        <v>19</v>
      </c>
      <c r="E880" t="s">
        <v>890</v>
      </c>
      <c r="F880">
        <f>HYPERLINK("http://pbs.twimg.com/media/DcmK_xuXUAIlMnd.jpg", "http://pbs.twimg.com/media/DcmK_xuXUAIlMnd.jpg")</f>
        <v/>
      </c>
      <c r="G880" t="s"/>
      <c r="H880" t="s"/>
      <c r="I880" t="s"/>
      <c r="J880" t="n">
        <v>0.5162</v>
      </c>
      <c r="K880" t="n">
        <v>0.068</v>
      </c>
      <c r="L880" t="n">
        <v>0.73</v>
      </c>
      <c r="M880" t="n">
        <v>0.203</v>
      </c>
    </row>
    <row r="881" spans="1:13">
      <c r="A881" s="1">
        <f>HYPERLINK("http://www.twitter.com/NathanBLawrence/status/993671430154878983", "993671430154878983")</f>
        <v/>
      </c>
      <c r="B881" s="2" t="n">
        <v>43228.0822337963</v>
      </c>
      <c r="C881" t="n">
        <v>0</v>
      </c>
      <c r="D881" t="n">
        <v>33</v>
      </c>
      <c r="E881" t="s">
        <v>891</v>
      </c>
      <c r="F881">
        <f>HYPERLINK("http://pbs.twimg.com/media/DcmEK5wWsAUm-8m.jpg", "http://pbs.twimg.com/media/DcmEK5wWsAUm-8m.jpg")</f>
        <v/>
      </c>
      <c r="G881" t="s"/>
      <c r="H881" t="s"/>
      <c r="I881" t="s"/>
      <c r="J881" t="n">
        <v>0</v>
      </c>
      <c r="K881" t="n">
        <v>0</v>
      </c>
      <c r="L881" t="n">
        <v>1</v>
      </c>
      <c r="M881" t="n">
        <v>0</v>
      </c>
    </row>
    <row r="882" spans="1:13">
      <c r="A882" s="1">
        <f>HYPERLINK("http://www.twitter.com/NathanBLawrence/status/993657314245783558", "993657314245783558")</f>
        <v/>
      </c>
      <c r="B882" s="2" t="n">
        <v>43228.04327546297</v>
      </c>
      <c r="C882" t="n">
        <v>0</v>
      </c>
      <c r="D882" t="n">
        <v>0</v>
      </c>
      <c r="E882" t="s">
        <v>892</v>
      </c>
      <c r="F882" t="s"/>
      <c r="G882" t="s"/>
      <c r="H882" t="s"/>
      <c r="I882" t="s"/>
      <c r="J882" t="n">
        <v>-0.0772</v>
      </c>
      <c r="K882" t="n">
        <v>0.075</v>
      </c>
      <c r="L882" t="n">
        <v>0.925</v>
      </c>
      <c r="M882" t="n">
        <v>0</v>
      </c>
    </row>
    <row r="883" spans="1:13">
      <c r="A883" s="1">
        <f>HYPERLINK("http://www.twitter.com/NathanBLawrence/status/993656904680427521", "993656904680427521")</f>
        <v/>
      </c>
      <c r="B883" s="2" t="n">
        <v>43228.0421412037</v>
      </c>
      <c r="C883" t="n">
        <v>1</v>
      </c>
      <c r="D883" t="n">
        <v>0</v>
      </c>
      <c r="E883" t="s">
        <v>893</v>
      </c>
      <c r="F883" t="s"/>
      <c r="G883" t="s"/>
      <c r="H883" t="s"/>
      <c r="I883" t="s"/>
      <c r="J883" t="n">
        <v>-0.6249</v>
      </c>
      <c r="K883" t="n">
        <v>0.223</v>
      </c>
      <c r="L883" t="n">
        <v>0.704</v>
      </c>
      <c r="M883" t="n">
        <v>0.073</v>
      </c>
    </row>
    <row r="884" spans="1:13">
      <c r="A884" s="1">
        <f>HYPERLINK("http://www.twitter.com/NathanBLawrence/status/993643331992326145", "993643331992326145")</f>
        <v/>
      </c>
      <c r="B884" s="2" t="n">
        <v>43228.00469907407</v>
      </c>
      <c r="C884" t="n">
        <v>2</v>
      </c>
      <c r="D884" t="n">
        <v>0</v>
      </c>
      <c r="E884" t="s">
        <v>894</v>
      </c>
      <c r="F884" t="s"/>
      <c r="G884" t="s"/>
      <c r="H884" t="s"/>
      <c r="I884" t="s"/>
      <c r="J884" t="n">
        <v>0.4019</v>
      </c>
      <c r="K884" t="n">
        <v>0</v>
      </c>
      <c r="L884" t="n">
        <v>0.27</v>
      </c>
      <c r="M884" t="n">
        <v>0.73</v>
      </c>
    </row>
    <row r="885" spans="1:13">
      <c r="A885" s="1">
        <f>HYPERLINK("http://www.twitter.com/NathanBLawrence/status/993643255509192705", "993643255509192705")</f>
        <v/>
      </c>
      <c r="B885" s="2" t="n">
        <v>43228.00447916667</v>
      </c>
      <c r="C885" t="n">
        <v>10</v>
      </c>
      <c r="D885" t="n">
        <v>4</v>
      </c>
      <c r="E885" t="s">
        <v>895</v>
      </c>
      <c r="F885" t="s"/>
      <c r="G885" t="s"/>
      <c r="H885" t="s"/>
      <c r="I885" t="s"/>
      <c r="J885" t="n">
        <v>0</v>
      </c>
      <c r="K885" t="n">
        <v>0</v>
      </c>
      <c r="L885" t="n">
        <v>1</v>
      </c>
      <c r="M885" t="n">
        <v>0</v>
      </c>
    </row>
    <row r="886" spans="1:13">
      <c r="A886" s="1">
        <f>HYPERLINK("http://www.twitter.com/NathanBLawrence/status/993641692157894657", "993641692157894657")</f>
        <v/>
      </c>
      <c r="B886" s="2" t="n">
        <v>43228.00017361111</v>
      </c>
      <c r="C886" t="n">
        <v>1</v>
      </c>
      <c r="D886" t="n">
        <v>0</v>
      </c>
      <c r="E886" t="s">
        <v>896</v>
      </c>
      <c r="F886" t="s"/>
      <c r="G886" t="s"/>
      <c r="H886" t="s"/>
      <c r="I886" t="s"/>
      <c r="J886" t="n">
        <v>0</v>
      </c>
      <c r="K886" t="n">
        <v>0</v>
      </c>
      <c r="L886" t="n">
        <v>1</v>
      </c>
      <c r="M886" t="n">
        <v>0</v>
      </c>
    </row>
    <row r="887" spans="1:13">
      <c r="A887" s="1">
        <f>HYPERLINK("http://www.twitter.com/NathanBLawrence/status/993637244333445120", "993637244333445120")</f>
        <v/>
      </c>
      <c r="B887" s="2" t="n">
        <v>43227.98789351852</v>
      </c>
      <c r="C887" t="n">
        <v>2</v>
      </c>
      <c r="D887" t="n">
        <v>0</v>
      </c>
      <c r="E887" t="s">
        <v>897</v>
      </c>
      <c r="F887" t="s"/>
      <c r="G887" t="s"/>
      <c r="H887" t="s"/>
      <c r="I887" t="s"/>
      <c r="J887" t="n">
        <v>0</v>
      </c>
      <c r="K887" t="n">
        <v>0</v>
      </c>
      <c r="L887" t="n">
        <v>1</v>
      </c>
      <c r="M887" t="n">
        <v>0</v>
      </c>
    </row>
    <row r="888" spans="1:13">
      <c r="A888" s="1">
        <f>HYPERLINK("http://www.twitter.com/NathanBLawrence/status/993614210176356352", "993614210176356352")</f>
        <v/>
      </c>
      <c r="B888" s="2" t="n">
        <v>43227.9243287037</v>
      </c>
      <c r="C888" t="n">
        <v>0</v>
      </c>
      <c r="D888" t="n">
        <v>9</v>
      </c>
      <c r="E888" t="s">
        <v>898</v>
      </c>
      <c r="F888" t="s"/>
      <c r="G888" t="s"/>
      <c r="H888" t="s"/>
      <c r="I888" t="s"/>
      <c r="J888" t="n">
        <v>-0.4939</v>
      </c>
      <c r="K888" t="n">
        <v>0.167</v>
      </c>
      <c r="L888" t="n">
        <v>0.833</v>
      </c>
      <c r="M888" t="n">
        <v>0</v>
      </c>
    </row>
    <row r="889" spans="1:13">
      <c r="A889" s="1">
        <f>HYPERLINK("http://www.twitter.com/NathanBLawrence/status/993597723092889601", "993597723092889601")</f>
        <v/>
      </c>
      <c r="B889" s="2" t="n">
        <v>43227.87883101852</v>
      </c>
      <c r="C889" t="n">
        <v>6</v>
      </c>
      <c r="D889" t="n">
        <v>1</v>
      </c>
      <c r="E889" t="s">
        <v>899</v>
      </c>
      <c r="F889" t="s"/>
      <c r="G889" t="s"/>
      <c r="H889" t="s"/>
      <c r="I889" t="s"/>
      <c r="J889" t="n">
        <v>0.5106000000000001</v>
      </c>
      <c r="K889" t="n">
        <v>0</v>
      </c>
      <c r="L889" t="n">
        <v>0.769</v>
      </c>
      <c r="M889" t="n">
        <v>0.231</v>
      </c>
    </row>
    <row r="890" spans="1:13">
      <c r="A890" s="1">
        <f>HYPERLINK("http://www.twitter.com/NathanBLawrence/status/993594536944455680", "993594536944455680")</f>
        <v/>
      </c>
      <c r="B890" s="2" t="n">
        <v>43227.8700462963</v>
      </c>
      <c r="C890" t="n">
        <v>11</v>
      </c>
      <c r="D890" t="n">
        <v>6</v>
      </c>
      <c r="E890" t="s">
        <v>900</v>
      </c>
      <c r="F890" t="s"/>
      <c r="G890" t="s"/>
      <c r="H890" t="s"/>
      <c r="I890" t="s"/>
      <c r="J890" t="n">
        <v>-0.9391</v>
      </c>
      <c r="K890" t="n">
        <v>0.421</v>
      </c>
      <c r="L890" t="n">
        <v>0.45</v>
      </c>
      <c r="M890" t="n">
        <v>0.129</v>
      </c>
    </row>
    <row r="891" spans="1:13">
      <c r="A891" s="1">
        <f>HYPERLINK("http://www.twitter.com/NathanBLawrence/status/993586779017154560", "993586779017154560")</f>
        <v/>
      </c>
      <c r="B891" s="2" t="n">
        <v>43227.84863425926</v>
      </c>
      <c r="C891" t="n">
        <v>13</v>
      </c>
      <c r="D891" t="n">
        <v>10</v>
      </c>
      <c r="E891" t="s">
        <v>901</v>
      </c>
      <c r="F891">
        <f>HYPERLINK("http://pbs.twimg.com/media/Dcnt56NVAAABA8g.jpg", "http://pbs.twimg.com/media/Dcnt56NVAAABA8g.jpg")</f>
        <v/>
      </c>
      <c r="G891" t="s"/>
      <c r="H891" t="s"/>
      <c r="I891" t="s"/>
      <c r="J891" t="n">
        <v>0.5052</v>
      </c>
      <c r="K891" t="n">
        <v>0.091</v>
      </c>
      <c r="L891" t="n">
        <v>0.6850000000000001</v>
      </c>
      <c r="M891" t="n">
        <v>0.224</v>
      </c>
    </row>
    <row r="892" spans="1:13">
      <c r="A892" s="1">
        <f>HYPERLINK("http://www.twitter.com/NathanBLawrence/status/993585769985044480", "993585769985044480")</f>
        <v/>
      </c>
      <c r="B892" s="2" t="n">
        <v>43227.84585648148</v>
      </c>
      <c r="C892" t="n">
        <v>15</v>
      </c>
      <c r="D892" t="n">
        <v>10</v>
      </c>
      <c r="E892" t="s">
        <v>902</v>
      </c>
      <c r="F892">
        <f>HYPERLINK("http://pbs.twimg.com/media/Dcns-1xVAAACqzL.jpg", "http://pbs.twimg.com/media/Dcns-1xVAAACqzL.jpg")</f>
        <v/>
      </c>
      <c r="G892" t="s"/>
      <c r="H892" t="s"/>
      <c r="I892" t="s"/>
      <c r="J892" t="n">
        <v>-0.8788</v>
      </c>
      <c r="K892" t="n">
        <v>0.257</v>
      </c>
      <c r="L892" t="n">
        <v>0.6879999999999999</v>
      </c>
      <c r="M892" t="n">
        <v>0.055</v>
      </c>
    </row>
    <row r="893" spans="1:13">
      <c r="A893" s="1">
        <f>HYPERLINK("http://www.twitter.com/NathanBLawrence/status/993582166733938689", "993582166733938689")</f>
        <v/>
      </c>
      <c r="B893" s="2" t="n">
        <v>43227.83591435185</v>
      </c>
      <c r="C893" t="n">
        <v>7</v>
      </c>
      <c r="D893" t="n">
        <v>2</v>
      </c>
      <c r="E893" t="s">
        <v>903</v>
      </c>
      <c r="F893">
        <f>HYPERLINK("http://pbs.twimg.com/media/DcnptSOV4AEsclj.jpg", "http://pbs.twimg.com/media/DcnptSOV4AEsclj.jpg")</f>
        <v/>
      </c>
      <c r="G893" t="s"/>
      <c r="H893" t="s"/>
      <c r="I893" t="s"/>
      <c r="J893" t="n">
        <v>0</v>
      </c>
      <c r="K893" t="n">
        <v>0</v>
      </c>
      <c r="L893" t="n">
        <v>1</v>
      </c>
      <c r="M893" t="n">
        <v>0</v>
      </c>
    </row>
    <row r="894" spans="1:13">
      <c r="A894" s="1">
        <f>HYPERLINK("http://www.twitter.com/NathanBLawrence/status/993580959164456960", "993580959164456960")</f>
        <v/>
      </c>
      <c r="B894" s="2" t="n">
        <v>43227.83258101852</v>
      </c>
      <c r="C894" t="n">
        <v>10</v>
      </c>
      <c r="D894" t="n">
        <v>7</v>
      </c>
      <c r="E894" t="s">
        <v>904</v>
      </c>
      <c r="F894">
        <f>HYPERLINK("http://pbs.twimg.com/media/Dcnom7LV0AMeSHp.jpg", "http://pbs.twimg.com/media/Dcnom7LV0AMeSHp.jpg")</f>
        <v/>
      </c>
      <c r="G894" t="s"/>
      <c r="H894" t="s"/>
      <c r="I894" t="s"/>
      <c r="J894" t="n">
        <v>-0.3818</v>
      </c>
      <c r="K894" t="n">
        <v>0.126</v>
      </c>
      <c r="L894" t="n">
        <v>0.874</v>
      </c>
      <c r="M894" t="n">
        <v>0</v>
      </c>
    </row>
    <row r="895" spans="1:13">
      <c r="A895" s="1">
        <f>HYPERLINK("http://www.twitter.com/NathanBLawrence/status/993580186670194688", "993580186670194688")</f>
        <v/>
      </c>
      <c r="B895" s="2" t="n">
        <v>43227.83043981482</v>
      </c>
      <c r="C895" t="n">
        <v>8</v>
      </c>
      <c r="D895" t="n">
        <v>5</v>
      </c>
      <c r="E895" t="s">
        <v>905</v>
      </c>
      <c r="F895">
        <f>HYPERLINK("http://pbs.twimg.com/media/Dcnn6IiUQAAqMSn.jpg", "http://pbs.twimg.com/media/Dcnn6IiUQAAqMSn.jpg")</f>
        <v/>
      </c>
      <c r="G895" t="s"/>
      <c r="H895" t="s"/>
      <c r="I895" t="s"/>
      <c r="J895" t="n">
        <v>-0.5266999999999999</v>
      </c>
      <c r="K895" t="n">
        <v>0.145</v>
      </c>
      <c r="L895" t="n">
        <v>0.855</v>
      </c>
      <c r="M895" t="n">
        <v>0</v>
      </c>
    </row>
    <row r="896" spans="1:13">
      <c r="A896" s="1">
        <f>HYPERLINK("http://www.twitter.com/NathanBLawrence/status/993578784044482565", "993578784044482565")</f>
        <v/>
      </c>
      <c r="B896" s="2" t="n">
        <v>43227.82657407408</v>
      </c>
      <c r="C896" t="n">
        <v>7</v>
      </c>
      <c r="D896" t="n">
        <v>4</v>
      </c>
      <c r="E896" t="s">
        <v>906</v>
      </c>
      <c r="F896">
        <f>HYPERLINK("http://pbs.twimg.com/media/DcnmnoTUwAAazhw.jpg", "http://pbs.twimg.com/media/DcnmnoTUwAAazhw.jpg")</f>
        <v/>
      </c>
      <c r="G896" t="s"/>
      <c r="H896" t="s"/>
      <c r="I896" t="s"/>
      <c r="J896" t="n">
        <v>0</v>
      </c>
      <c r="K896" t="n">
        <v>0</v>
      </c>
      <c r="L896" t="n">
        <v>1</v>
      </c>
      <c r="M896" t="n">
        <v>0</v>
      </c>
    </row>
    <row r="897" spans="1:13">
      <c r="A897" s="1">
        <f>HYPERLINK("http://www.twitter.com/NathanBLawrence/status/993577827722317829", "993577827722317829")</f>
        <v/>
      </c>
      <c r="B897" s="2" t="n">
        <v>43227.82393518519</v>
      </c>
      <c r="C897" t="n">
        <v>22</v>
      </c>
      <c r="D897" t="n">
        <v>13</v>
      </c>
      <c r="E897" t="s">
        <v>907</v>
      </c>
      <c r="F897">
        <f>HYPERLINK("http://pbs.twimg.com/media/DcnlwuYV0AE_eoy.jpg", "http://pbs.twimg.com/media/DcnlwuYV0AE_eoy.jpg")</f>
        <v/>
      </c>
      <c r="G897" t="s"/>
      <c r="H897" t="s"/>
      <c r="I897" t="s"/>
      <c r="J897" t="n">
        <v>-0.5423</v>
      </c>
      <c r="K897" t="n">
        <v>0.171</v>
      </c>
      <c r="L897" t="n">
        <v>0.829</v>
      </c>
      <c r="M897" t="n">
        <v>0</v>
      </c>
    </row>
    <row r="898" spans="1:13">
      <c r="A898" s="1">
        <f>HYPERLINK("http://www.twitter.com/NathanBLawrence/status/993577384573112321", "993577384573112321")</f>
        <v/>
      </c>
      <c r="B898" s="2" t="n">
        <v>43227.82270833333</v>
      </c>
      <c r="C898" t="n">
        <v>0</v>
      </c>
      <c r="D898" t="n">
        <v>0</v>
      </c>
      <c r="E898" t="s">
        <v>908</v>
      </c>
      <c r="F898" t="s"/>
      <c r="G898" t="s"/>
      <c r="H898" t="s"/>
      <c r="I898" t="s"/>
      <c r="J898" t="n">
        <v>-0.3612</v>
      </c>
      <c r="K898" t="n">
        <v>0.07199999999999999</v>
      </c>
      <c r="L898" t="n">
        <v>0.928</v>
      </c>
      <c r="M898" t="n">
        <v>0</v>
      </c>
    </row>
    <row r="899" spans="1:13">
      <c r="A899" s="1">
        <f>HYPERLINK("http://www.twitter.com/NathanBLawrence/status/993573504200138752", "993573504200138752")</f>
        <v/>
      </c>
      <c r="B899" s="2" t="n">
        <v>43227.81200231481</v>
      </c>
      <c r="C899" t="n">
        <v>0</v>
      </c>
      <c r="D899" t="n">
        <v>0</v>
      </c>
      <c r="E899" t="s">
        <v>909</v>
      </c>
      <c r="F899" t="s"/>
      <c r="G899" t="s"/>
      <c r="H899" t="s"/>
      <c r="I899" t="s"/>
      <c r="J899" t="n">
        <v>0</v>
      </c>
      <c r="K899" t="n">
        <v>0</v>
      </c>
      <c r="L899" t="n">
        <v>1</v>
      </c>
      <c r="M899" t="n">
        <v>0</v>
      </c>
    </row>
    <row r="900" spans="1:13">
      <c r="A900" s="1">
        <f>HYPERLINK("http://www.twitter.com/NathanBLawrence/status/993569233266200577", "993569233266200577")</f>
        <v/>
      </c>
      <c r="B900" s="2" t="n">
        <v>43227.80021990741</v>
      </c>
      <c r="C900" t="n">
        <v>3</v>
      </c>
      <c r="D900" t="n">
        <v>1</v>
      </c>
      <c r="E900" t="s">
        <v>910</v>
      </c>
      <c r="F900">
        <f>HYPERLINK("http://pbs.twimg.com/media/Dcnd8ijV0AccqtS.jpg", "http://pbs.twimg.com/media/Dcnd8ijV0AccqtS.jpg")</f>
        <v/>
      </c>
      <c r="G900" t="s"/>
      <c r="H900" t="s"/>
      <c r="I900" t="s"/>
      <c r="J900" t="n">
        <v>0.0961</v>
      </c>
      <c r="K900" t="n">
        <v>0.22</v>
      </c>
      <c r="L900" t="n">
        <v>0.57</v>
      </c>
      <c r="M900" t="n">
        <v>0.21</v>
      </c>
    </row>
    <row r="901" spans="1:13">
      <c r="A901" s="1">
        <f>HYPERLINK("http://www.twitter.com/NathanBLawrence/status/993568377305264128", "993568377305264128")</f>
        <v/>
      </c>
      <c r="B901" s="2" t="n">
        <v>43227.79785879629</v>
      </c>
      <c r="C901" t="n">
        <v>1</v>
      </c>
      <c r="D901" t="n">
        <v>0</v>
      </c>
      <c r="E901" t="s">
        <v>911</v>
      </c>
      <c r="F901" t="s"/>
      <c r="G901" t="s"/>
      <c r="H901" t="s"/>
      <c r="I901" t="s"/>
      <c r="J901" t="n">
        <v>-0.5423</v>
      </c>
      <c r="K901" t="n">
        <v>0.304</v>
      </c>
      <c r="L901" t="n">
        <v>0.696</v>
      </c>
      <c r="M901" t="n">
        <v>0</v>
      </c>
    </row>
    <row r="902" spans="1:13">
      <c r="A902" s="1">
        <f>HYPERLINK("http://www.twitter.com/NathanBLawrence/status/993568165081833474", "993568165081833474")</f>
        <v/>
      </c>
      <c r="B902" s="2" t="n">
        <v>43227.79726851852</v>
      </c>
      <c r="C902" t="n">
        <v>0</v>
      </c>
      <c r="D902" t="n">
        <v>0</v>
      </c>
      <c r="E902" t="s">
        <v>912</v>
      </c>
      <c r="F902" t="s"/>
      <c r="G902" t="s"/>
      <c r="H902" t="s"/>
      <c r="I902" t="s"/>
      <c r="J902" t="n">
        <v>0</v>
      </c>
      <c r="K902" t="n">
        <v>0</v>
      </c>
      <c r="L902" t="n">
        <v>1</v>
      </c>
      <c r="M902" t="n">
        <v>0</v>
      </c>
    </row>
    <row r="903" spans="1:13">
      <c r="A903" s="1">
        <f>HYPERLINK("http://www.twitter.com/NathanBLawrence/status/993563661758291971", "993563661758291971")</f>
        <v/>
      </c>
      <c r="B903" s="2" t="n">
        <v>43227.78484953703</v>
      </c>
      <c r="C903" t="n">
        <v>1</v>
      </c>
      <c r="D903" t="n">
        <v>0</v>
      </c>
      <c r="E903" t="s">
        <v>913</v>
      </c>
      <c r="F903" t="s"/>
      <c r="G903" t="s"/>
      <c r="H903" t="s"/>
      <c r="I903" t="s"/>
      <c r="J903" t="n">
        <v>-0.296</v>
      </c>
      <c r="K903" t="n">
        <v>0.062</v>
      </c>
      <c r="L903" t="n">
        <v>0.9370000000000001</v>
      </c>
      <c r="M903" t="n">
        <v>0</v>
      </c>
    </row>
    <row r="904" spans="1:13">
      <c r="A904" s="1">
        <f>HYPERLINK("http://www.twitter.com/NathanBLawrence/status/993562144191995906", "993562144191995906")</f>
        <v/>
      </c>
      <c r="B904" s="2" t="n">
        <v>43227.78065972222</v>
      </c>
      <c r="C904" t="n">
        <v>3</v>
      </c>
      <c r="D904" t="n">
        <v>1</v>
      </c>
      <c r="E904" t="s">
        <v>914</v>
      </c>
      <c r="F904" t="s"/>
      <c r="G904" t="s"/>
      <c r="H904" t="s"/>
      <c r="I904" t="s"/>
      <c r="J904" t="n">
        <v>-0.3736</v>
      </c>
      <c r="K904" t="n">
        <v>0.113</v>
      </c>
      <c r="L904" t="n">
        <v>0.887</v>
      </c>
      <c r="M904" t="n">
        <v>0</v>
      </c>
    </row>
    <row r="905" spans="1:13">
      <c r="A905" s="1">
        <f>HYPERLINK("http://www.twitter.com/NathanBLawrence/status/993556607219961856", "993556607219961856")</f>
        <v/>
      </c>
      <c r="B905" s="2" t="n">
        <v>43227.76538194445</v>
      </c>
      <c r="C905" t="n">
        <v>1</v>
      </c>
      <c r="D905" t="n">
        <v>0</v>
      </c>
      <c r="E905" t="s">
        <v>915</v>
      </c>
      <c r="F905" t="s"/>
      <c r="G905" t="s"/>
      <c r="H905" t="s"/>
      <c r="I905" t="s"/>
      <c r="J905" t="n">
        <v>0.3164</v>
      </c>
      <c r="K905" t="n">
        <v>0.101</v>
      </c>
      <c r="L905" t="n">
        <v>0.738</v>
      </c>
      <c r="M905" t="n">
        <v>0.161</v>
      </c>
    </row>
    <row r="906" spans="1:13">
      <c r="A906" s="1">
        <f>HYPERLINK("http://www.twitter.com/NathanBLawrence/status/993551010923761664", "993551010923761664")</f>
        <v/>
      </c>
      <c r="B906" s="2" t="n">
        <v>43227.74993055555</v>
      </c>
      <c r="C906" t="n">
        <v>1</v>
      </c>
      <c r="D906" t="n">
        <v>0</v>
      </c>
      <c r="E906" t="s">
        <v>916</v>
      </c>
      <c r="F906" t="s"/>
      <c r="G906" t="s"/>
      <c r="H906" t="s"/>
      <c r="I906" t="s"/>
      <c r="J906" t="n">
        <v>0.4201</v>
      </c>
      <c r="K906" t="n">
        <v>0</v>
      </c>
      <c r="L906" t="n">
        <v>0.823</v>
      </c>
      <c r="M906" t="n">
        <v>0.177</v>
      </c>
    </row>
    <row r="907" spans="1:13">
      <c r="A907" s="1">
        <f>HYPERLINK("http://www.twitter.com/NathanBLawrence/status/993549886804119553", "993549886804119553")</f>
        <v/>
      </c>
      <c r="B907" s="2" t="n">
        <v>43227.7468287037</v>
      </c>
      <c r="C907" t="n">
        <v>3</v>
      </c>
      <c r="D907" t="n">
        <v>1</v>
      </c>
      <c r="E907" t="s">
        <v>917</v>
      </c>
      <c r="F907" t="s"/>
      <c r="G907" t="s"/>
      <c r="H907" t="s"/>
      <c r="I907" t="s"/>
      <c r="J907" t="n">
        <v>0.5994</v>
      </c>
      <c r="K907" t="n">
        <v>0</v>
      </c>
      <c r="L907" t="n">
        <v>0.755</v>
      </c>
      <c r="M907" t="n">
        <v>0.245</v>
      </c>
    </row>
    <row r="908" spans="1:13">
      <c r="A908" s="1">
        <f>HYPERLINK("http://www.twitter.com/NathanBLawrence/status/993549407701389312", "993549407701389312")</f>
        <v/>
      </c>
      <c r="B908" s="2" t="n">
        <v>43227.74550925926</v>
      </c>
      <c r="C908" t="n">
        <v>1</v>
      </c>
      <c r="D908" t="n">
        <v>0</v>
      </c>
      <c r="E908" t="s">
        <v>918</v>
      </c>
      <c r="F908" t="s"/>
      <c r="G908" t="s"/>
      <c r="H908" t="s"/>
      <c r="I908" t="s"/>
      <c r="J908" t="n">
        <v>0.891</v>
      </c>
      <c r="K908" t="n">
        <v>0.051</v>
      </c>
      <c r="L908" t="n">
        <v>0.6879999999999999</v>
      </c>
      <c r="M908" t="n">
        <v>0.261</v>
      </c>
    </row>
    <row r="909" spans="1:13">
      <c r="A909" s="1">
        <f>HYPERLINK("http://www.twitter.com/NathanBLawrence/status/993548717427916800", "993548717427916800")</f>
        <v/>
      </c>
      <c r="B909" s="2" t="n">
        <v>43227.74361111111</v>
      </c>
      <c r="C909" t="n">
        <v>8</v>
      </c>
      <c r="D909" t="n">
        <v>4</v>
      </c>
      <c r="E909" t="s">
        <v>919</v>
      </c>
      <c r="F909" t="s"/>
      <c r="G909" t="s"/>
      <c r="H909" t="s"/>
      <c r="I909" t="s"/>
      <c r="J909" t="n">
        <v>0.7717000000000001</v>
      </c>
      <c r="K909" t="n">
        <v>0</v>
      </c>
      <c r="L909" t="n">
        <v>0.822</v>
      </c>
      <c r="M909" t="n">
        <v>0.178</v>
      </c>
    </row>
    <row r="910" spans="1:13">
      <c r="A910" s="1">
        <f>HYPERLINK("http://www.twitter.com/NathanBLawrence/status/993548011505627137", "993548011505627137")</f>
        <v/>
      </c>
      <c r="B910" s="2" t="n">
        <v>43227.74165509259</v>
      </c>
      <c r="C910" t="n">
        <v>0</v>
      </c>
      <c r="D910" t="n">
        <v>8</v>
      </c>
      <c r="E910" t="s">
        <v>920</v>
      </c>
      <c r="F910" t="s"/>
      <c r="G910" t="s"/>
      <c r="H910" t="s"/>
      <c r="I910" t="s"/>
      <c r="J910" t="n">
        <v>-0.34</v>
      </c>
      <c r="K910" t="n">
        <v>0.123</v>
      </c>
      <c r="L910" t="n">
        <v>0.8080000000000001</v>
      </c>
      <c r="M910" t="n">
        <v>0.06900000000000001</v>
      </c>
    </row>
    <row r="911" spans="1:13">
      <c r="A911" s="1">
        <f>HYPERLINK("http://www.twitter.com/NathanBLawrence/status/993547983391256577", "993547983391256577")</f>
        <v/>
      </c>
      <c r="B911" s="2" t="n">
        <v>43227.74158564815</v>
      </c>
      <c r="C911" t="n">
        <v>8</v>
      </c>
      <c r="D911" t="n">
        <v>4</v>
      </c>
      <c r="E911" t="s">
        <v>921</v>
      </c>
      <c r="F911" t="s"/>
      <c r="G911" t="s"/>
      <c r="H911" t="s"/>
      <c r="I911" t="s"/>
      <c r="J911" t="n">
        <v>-0.765</v>
      </c>
      <c r="K911" t="n">
        <v>0.208</v>
      </c>
      <c r="L911" t="n">
        <v>0.792</v>
      </c>
      <c r="M911" t="n">
        <v>0</v>
      </c>
    </row>
    <row r="912" spans="1:13">
      <c r="A912" s="1">
        <f>HYPERLINK("http://www.twitter.com/NathanBLawrence/status/993545901418467329", "993545901418467329")</f>
        <v/>
      </c>
      <c r="B912" s="2" t="n">
        <v>43227.73583333333</v>
      </c>
      <c r="C912" t="n">
        <v>0</v>
      </c>
      <c r="D912" t="n">
        <v>0</v>
      </c>
      <c r="E912" t="s">
        <v>922</v>
      </c>
      <c r="F912">
        <f>HYPERLINK("http://pbs.twimg.com/media/DcnIuc3UwAEoC9n.jpg", "http://pbs.twimg.com/media/DcnIuc3UwAEoC9n.jpg")</f>
        <v/>
      </c>
      <c r="G912" t="s"/>
      <c r="H912" t="s"/>
      <c r="I912" t="s"/>
      <c r="J912" t="n">
        <v>0</v>
      </c>
      <c r="K912" t="n">
        <v>0</v>
      </c>
      <c r="L912" t="n">
        <v>1</v>
      </c>
      <c r="M912" t="n">
        <v>0</v>
      </c>
    </row>
    <row r="913" spans="1:13">
      <c r="A913" s="1">
        <f>HYPERLINK("http://www.twitter.com/NathanBLawrence/status/993545443966685184", "993545443966685184")</f>
        <v/>
      </c>
      <c r="B913" s="2" t="n">
        <v>43227.73457175926</v>
      </c>
      <c r="C913" t="n">
        <v>2</v>
      </c>
      <c r="D913" t="n">
        <v>0</v>
      </c>
      <c r="E913" t="s">
        <v>923</v>
      </c>
      <c r="F913" t="s"/>
      <c r="G913" t="s"/>
      <c r="H913" t="s"/>
      <c r="I913" t="s"/>
      <c r="J913" t="n">
        <v>0</v>
      </c>
      <c r="K913" t="n">
        <v>0</v>
      </c>
      <c r="L913" t="n">
        <v>1</v>
      </c>
      <c r="M913" t="n">
        <v>0</v>
      </c>
    </row>
    <row r="914" spans="1:13">
      <c r="A914" s="1">
        <f>HYPERLINK("http://www.twitter.com/NathanBLawrence/status/993538496487882752", "993538496487882752")</f>
        <v/>
      </c>
      <c r="B914" s="2" t="n">
        <v>43227.71540509259</v>
      </c>
      <c r="C914" t="n">
        <v>0</v>
      </c>
      <c r="D914" t="n">
        <v>5</v>
      </c>
      <c r="E914" t="s">
        <v>924</v>
      </c>
      <c r="F914" t="s"/>
      <c r="G914" t="s"/>
      <c r="H914" t="s"/>
      <c r="I914" t="s"/>
      <c r="J914" t="n">
        <v>0</v>
      </c>
      <c r="K914" t="n">
        <v>0</v>
      </c>
      <c r="L914" t="n">
        <v>1</v>
      </c>
      <c r="M914" t="n">
        <v>0</v>
      </c>
    </row>
    <row r="915" spans="1:13">
      <c r="A915" s="1">
        <f>HYPERLINK("http://www.twitter.com/NathanBLawrence/status/993534047522623490", "993534047522623490")</f>
        <v/>
      </c>
      <c r="B915" s="2" t="n">
        <v>43227.703125</v>
      </c>
      <c r="C915" t="n">
        <v>6</v>
      </c>
      <c r="D915" t="n">
        <v>4</v>
      </c>
      <c r="E915" t="s">
        <v>925</v>
      </c>
      <c r="F915" t="s"/>
      <c r="G915" t="s"/>
      <c r="H915" t="s"/>
      <c r="I915" t="s"/>
      <c r="J915" t="n">
        <v>-0.7262999999999999</v>
      </c>
      <c r="K915" t="n">
        <v>0.145</v>
      </c>
      <c r="L915" t="n">
        <v>0.855</v>
      </c>
      <c r="M915" t="n">
        <v>0</v>
      </c>
    </row>
    <row r="916" spans="1:13">
      <c r="A916" s="1">
        <f>HYPERLINK("http://www.twitter.com/NathanBLawrence/status/993530067446878211", "993530067446878211")</f>
        <v/>
      </c>
      <c r="B916" s="2" t="n">
        <v>43227.6921412037</v>
      </c>
      <c r="C916" t="n">
        <v>16</v>
      </c>
      <c r="D916" t="n">
        <v>11</v>
      </c>
      <c r="E916" t="s">
        <v>926</v>
      </c>
      <c r="F916" t="s"/>
      <c r="G916" t="s"/>
      <c r="H916" t="s"/>
      <c r="I916" t="s"/>
      <c r="J916" t="n">
        <v>-0.8225</v>
      </c>
      <c r="K916" t="n">
        <v>0.16</v>
      </c>
      <c r="L916" t="n">
        <v>0.84</v>
      </c>
      <c r="M916" t="n">
        <v>0</v>
      </c>
    </row>
    <row r="917" spans="1:13">
      <c r="A917" s="1">
        <f>HYPERLINK("http://www.twitter.com/NathanBLawrence/status/993527706489942017", "993527706489942017")</f>
        <v/>
      </c>
      <c r="B917" s="2" t="n">
        <v>43227.685625</v>
      </c>
      <c r="C917" t="n">
        <v>1</v>
      </c>
      <c r="D917" t="n">
        <v>0</v>
      </c>
      <c r="E917" t="s">
        <v>927</v>
      </c>
      <c r="F917" t="s"/>
      <c r="G917" t="s"/>
      <c r="H917" t="s"/>
      <c r="I917" t="s"/>
      <c r="J917" t="n">
        <v>0</v>
      </c>
      <c r="K917" t="n">
        <v>0</v>
      </c>
      <c r="L917" t="n">
        <v>1</v>
      </c>
      <c r="M917" t="n">
        <v>0</v>
      </c>
    </row>
    <row r="918" spans="1:13">
      <c r="A918" s="1">
        <f>HYPERLINK("http://www.twitter.com/NathanBLawrence/status/993524824457834496", "993524824457834496")</f>
        <v/>
      </c>
      <c r="B918" s="2" t="n">
        <v>43227.67767361111</v>
      </c>
      <c r="C918" t="n">
        <v>0</v>
      </c>
      <c r="D918" t="n">
        <v>0</v>
      </c>
      <c r="E918" t="s">
        <v>928</v>
      </c>
      <c r="F918" t="s"/>
      <c r="G918" t="s"/>
      <c r="H918" t="s"/>
      <c r="I918" t="s"/>
      <c r="J918" t="n">
        <v>0.5719</v>
      </c>
      <c r="K918" t="n">
        <v>0.151</v>
      </c>
      <c r="L918" t="n">
        <v>0.489</v>
      </c>
      <c r="M918" t="n">
        <v>0.36</v>
      </c>
    </row>
    <row r="919" spans="1:13">
      <c r="A919" s="1">
        <f>HYPERLINK("http://www.twitter.com/NathanBLawrence/status/993521017145479168", "993521017145479168")</f>
        <v/>
      </c>
      <c r="B919" s="2" t="n">
        <v>43227.66716435185</v>
      </c>
      <c r="C919" t="n">
        <v>0</v>
      </c>
      <c r="D919" t="n">
        <v>0</v>
      </c>
      <c r="E919" t="s">
        <v>929</v>
      </c>
      <c r="F919" t="s"/>
      <c r="G919" t="s"/>
      <c r="H919" t="s"/>
      <c r="I919" t="s"/>
      <c r="J919" t="n">
        <v>-0.7351</v>
      </c>
      <c r="K919" t="n">
        <v>0.279</v>
      </c>
      <c r="L919" t="n">
        <v>0.721</v>
      </c>
      <c r="M919" t="n">
        <v>0</v>
      </c>
    </row>
    <row r="920" spans="1:13">
      <c r="A920" s="1">
        <f>HYPERLINK("http://www.twitter.com/NathanBLawrence/status/993512713086230536", "993512713086230536")</f>
        <v/>
      </c>
      <c r="B920" s="2" t="n">
        <v>43227.64425925926</v>
      </c>
      <c r="C920" t="n">
        <v>2</v>
      </c>
      <c r="D920" t="n">
        <v>1</v>
      </c>
      <c r="E920" t="s">
        <v>930</v>
      </c>
      <c r="F920" t="s"/>
      <c r="G920" t="s"/>
      <c r="H920" t="s"/>
      <c r="I920" t="s"/>
      <c r="J920" t="n">
        <v>-0.4188</v>
      </c>
      <c r="K920" t="n">
        <v>0.176</v>
      </c>
      <c r="L920" t="n">
        <v>0.711</v>
      </c>
      <c r="M920" t="n">
        <v>0.114</v>
      </c>
    </row>
    <row r="921" spans="1:13">
      <c r="A921" s="1">
        <f>HYPERLINK("http://www.twitter.com/NathanBLawrence/status/993511738904645632", "993511738904645632")</f>
        <v/>
      </c>
      <c r="B921" s="2" t="n">
        <v>43227.6415625</v>
      </c>
      <c r="C921" t="n">
        <v>1</v>
      </c>
      <c r="D921" t="n">
        <v>0</v>
      </c>
      <c r="E921" t="s">
        <v>931</v>
      </c>
      <c r="F921" t="s"/>
      <c r="G921" t="s"/>
      <c r="H921" t="s"/>
      <c r="I921" t="s"/>
      <c r="J921" t="n">
        <v>0</v>
      </c>
      <c r="K921" t="n">
        <v>0</v>
      </c>
      <c r="L921" t="n">
        <v>1</v>
      </c>
      <c r="M921" t="n">
        <v>0</v>
      </c>
    </row>
    <row r="922" spans="1:13">
      <c r="A922" s="1">
        <f>HYPERLINK("http://www.twitter.com/NathanBLawrence/status/993508232357466112", "993508232357466112")</f>
        <v/>
      </c>
      <c r="B922" s="2" t="n">
        <v>43227.63188657408</v>
      </c>
      <c r="C922" t="n">
        <v>2</v>
      </c>
      <c r="D922" t="n">
        <v>0</v>
      </c>
      <c r="E922" t="s">
        <v>932</v>
      </c>
      <c r="F922" t="s"/>
      <c r="G922" t="s"/>
      <c r="H922" t="s"/>
      <c r="I922" t="s"/>
      <c r="J922" t="n">
        <v>-0.2315</v>
      </c>
      <c r="K922" t="n">
        <v>0.143</v>
      </c>
      <c r="L922" t="n">
        <v>0.737</v>
      </c>
      <c r="M922" t="n">
        <v>0.121</v>
      </c>
    </row>
    <row r="923" spans="1:13">
      <c r="A923" s="1">
        <f>HYPERLINK("http://www.twitter.com/NathanBLawrence/status/993507776365252608", "993507776365252608")</f>
        <v/>
      </c>
      <c r="B923" s="2" t="n">
        <v>43227.63063657407</v>
      </c>
      <c r="C923" t="n">
        <v>0</v>
      </c>
      <c r="D923" t="n">
        <v>1</v>
      </c>
      <c r="E923" t="s">
        <v>933</v>
      </c>
      <c r="F923" t="s"/>
      <c r="G923" t="s"/>
      <c r="H923" t="s"/>
      <c r="I923" t="s"/>
      <c r="J923" t="n">
        <v>0</v>
      </c>
      <c r="K923" t="n">
        <v>0</v>
      </c>
      <c r="L923" t="n">
        <v>1</v>
      </c>
      <c r="M923" t="n">
        <v>0</v>
      </c>
    </row>
    <row r="924" spans="1:13">
      <c r="A924" s="1">
        <f>HYPERLINK("http://www.twitter.com/NathanBLawrence/status/993499335794085888", "993499335794085888")</f>
        <v/>
      </c>
      <c r="B924" s="2" t="n">
        <v>43227.60733796296</v>
      </c>
      <c r="C924" t="n">
        <v>0</v>
      </c>
      <c r="D924" t="n">
        <v>0</v>
      </c>
      <c r="E924" t="s">
        <v>934</v>
      </c>
      <c r="F924" t="s"/>
      <c r="G924" t="s"/>
      <c r="H924" t="s"/>
      <c r="I924" t="s"/>
      <c r="J924" t="n">
        <v>0.3182</v>
      </c>
      <c r="K924" t="n">
        <v>0</v>
      </c>
      <c r="L924" t="n">
        <v>0.723</v>
      </c>
      <c r="M924" t="n">
        <v>0.277</v>
      </c>
    </row>
    <row r="925" spans="1:13">
      <c r="A925" s="1">
        <f>HYPERLINK("http://www.twitter.com/NathanBLawrence/status/993497397975310337", "993497397975310337")</f>
        <v/>
      </c>
      <c r="B925" s="2" t="n">
        <v>43227.60199074074</v>
      </c>
      <c r="C925" t="n">
        <v>4</v>
      </c>
      <c r="D925" t="n">
        <v>1</v>
      </c>
      <c r="E925" t="s">
        <v>935</v>
      </c>
      <c r="F925" t="s"/>
      <c r="G925" t="s"/>
      <c r="H925" t="s"/>
      <c r="I925" t="s"/>
      <c r="J925" t="n">
        <v>0.6369</v>
      </c>
      <c r="K925" t="n">
        <v>0</v>
      </c>
      <c r="L925" t="n">
        <v>0.756</v>
      </c>
      <c r="M925" t="n">
        <v>0.244</v>
      </c>
    </row>
    <row r="926" spans="1:13">
      <c r="A926" s="1">
        <f>HYPERLINK("http://www.twitter.com/NathanBLawrence/status/993495913988534272", "993495913988534272")</f>
        <v/>
      </c>
      <c r="B926" s="2" t="n">
        <v>43227.59789351852</v>
      </c>
      <c r="C926" t="n">
        <v>2</v>
      </c>
      <c r="D926" t="n">
        <v>1</v>
      </c>
      <c r="E926" t="s">
        <v>936</v>
      </c>
      <c r="F926">
        <f>HYPERLINK("http://pbs.twimg.com/media/DcmbQ8iVQAAhvwj.jpg", "http://pbs.twimg.com/media/DcmbQ8iVQAAhvwj.jpg")</f>
        <v/>
      </c>
      <c r="G926" t="s"/>
      <c r="H926" t="s"/>
      <c r="I926" t="s"/>
      <c r="J926" t="n">
        <v>0</v>
      </c>
      <c r="K926" t="n">
        <v>0</v>
      </c>
      <c r="L926" t="n">
        <v>1</v>
      </c>
      <c r="M926" t="n">
        <v>0</v>
      </c>
    </row>
    <row r="927" spans="1:13">
      <c r="A927" s="1">
        <f>HYPERLINK("http://www.twitter.com/NathanBLawrence/status/993491545310539781", "993491545310539781")</f>
        <v/>
      </c>
      <c r="B927" s="2" t="n">
        <v>43227.58584490741</v>
      </c>
      <c r="C927" t="n">
        <v>0</v>
      </c>
      <c r="D927" t="n">
        <v>12</v>
      </c>
      <c r="E927" t="s">
        <v>937</v>
      </c>
      <c r="F927">
        <f>HYPERLINK("http://pbs.twimg.com/media/DcmWMWYXcAEUvvx.jpg", "http://pbs.twimg.com/media/DcmWMWYXcAEUvvx.jpg")</f>
        <v/>
      </c>
      <c r="G927" t="s"/>
      <c r="H927" t="s"/>
      <c r="I927" t="s"/>
      <c r="J927" t="n">
        <v>-0.4098</v>
      </c>
      <c r="K927" t="n">
        <v>0.154</v>
      </c>
      <c r="L927" t="n">
        <v>0.846</v>
      </c>
      <c r="M927" t="n">
        <v>0</v>
      </c>
    </row>
    <row r="928" spans="1:13">
      <c r="A928" s="1">
        <f>HYPERLINK("http://www.twitter.com/NathanBLawrence/status/993491488997769217", "993491488997769217")</f>
        <v/>
      </c>
      <c r="B928" s="2" t="n">
        <v>43227.58568287037</v>
      </c>
      <c r="C928" t="n">
        <v>9</v>
      </c>
      <c r="D928" t="n">
        <v>7</v>
      </c>
      <c r="E928" t="s">
        <v>938</v>
      </c>
      <c r="F928">
        <f>HYPERLINK("http://pbs.twimg.com/media/DcmXPO-V0AEn9uD.jpg", "http://pbs.twimg.com/media/DcmXPO-V0AEn9uD.jpg")</f>
        <v/>
      </c>
      <c r="G928" t="s"/>
      <c r="H928" t="s"/>
      <c r="I928" t="s"/>
      <c r="J928" t="n">
        <v>0.6289</v>
      </c>
      <c r="K928" t="n">
        <v>0.044</v>
      </c>
      <c r="L928" t="n">
        <v>0.828</v>
      </c>
      <c r="M928" t="n">
        <v>0.128</v>
      </c>
    </row>
    <row r="929" spans="1:13">
      <c r="A929" s="1">
        <f>HYPERLINK("http://www.twitter.com/NathanBLawrence/status/993488964848930820", "993488964848930820")</f>
        <v/>
      </c>
      <c r="B929" s="2" t="n">
        <v>43227.57872685185</v>
      </c>
      <c r="C929" t="n">
        <v>1</v>
      </c>
      <c r="D929" t="n">
        <v>0</v>
      </c>
      <c r="E929" t="s">
        <v>939</v>
      </c>
      <c r="F929" t="s"/>
      <c r="G929" t="s"/>
      <c r="H929" t="s"/>
      <c r="I929" t="s"/>
      <c r="J929" t="n">
        <v>-0.7423999999999999</v>
      </c>
      <c r="K929" t="n">
        <v>0.181</v>
      </c>
      <c r="L929" t="n">
        <v>0.762</v>
      </c>
      <c r="M929" t="n">
        <v>0.058</v>
      </c>
    </row>
    <row r="930" spans="1:13">
      <c r="A930" s="1">
        <f>HYPERLINK("http://www.twitter.com/NathanBLawrence/status/993483076117368832", "993483076117368832")</f>
        <v/>
      </c>
      <c r="B930" s="2" t="n">
        <v>43227.56247685185</v>
      </c>
      <c r="C930" t="n">
        <v>5</v>
      </c>
      <c r="D930" t="n">
        <v>3</v>
      </c>
      <c r="E930" t="s">
        <v>940</v>
      </c>
      <c r="F930" t="s"/>
      <c r="G930" t="s"/>
      <c r="H930" t="s"/>
      <c r="I930" t="s"/>
      <c r="J930" t="n">
        <v>-0.2003</v>
      </c>
      <c r="K930" t="n">
        <v>0.081</v>
      </c>
      <c r="L930" t="n">
        <v>0.857</v>
      </c>
      <c r="M930" t="n">
        <v>0.063</v>
      </c>
    </row>
    <row r="931" spans="1:13">
      <c r="A931" s="1">
        <f>HYPERLINK("http://www.twitter.com/NathanBLawrence/status/993479841474338817", "993479841474338817")</f>
        <v/>
      </c>
      <c r="B931" s="2" t="n">
        <v>43227.55354166667</v>
      </c>
      <c r="C931" t="n">
        <v>4</v>
      </c>
      <c r="D931" t="n">
        <v>2</v>
      </c>
      <c r="E931" t="s">
        <v>941</v>
      </c>
      <c r="F931" t="s"/>
      <c r="G931" t="s"/>
      <c r="H931" t="s"/>
      <c r="I931" t="s"/>
      <c r="J931" t="n">
        <v>0.4084</v>
      </c>
      <c r="K931" t="n">
        <v>0.054</v>
      </c>
      <c r="L931" t="n">
        <v>0.84</v>
      </c>
      <c r="M931" t="n">
        <v>0.106</v>
      </c>
    </row>
    <row r="932" spans="1:13">
      <c r="A932" s="1">
        <f>HYPERLINK("http://www.twitter.com/NathanBLawrence/status/993479602466115584", "993479602466115584")</f>
        <v/>
      </c>
      <c r="B932" s="2" t="n">
        <v>43227.55288194444</v>
      </c>
      <c r="C932" t="n">
        <v>1</v>
      </c>
      <c r="D932" t="n">
        <v>0</v>
      </c>
      <c r="E932" t="s">
        <v>942</v>
      </c>
      <c r="F932" t="s"/>
      <c r="G932" t="s"/>
      <c r="H932" t="s"/>
      <c r="I932" t="s"/>
      <c r="J932" t="n">
        <v>0.4084</v>
      </c>
      <c r="K932" t="n">
        <v>0.048</v>
      </c>
      <c r="L932" t="n">
        <v>0.857</v>
      </c>
      <c r="M932" t="n">
        <v>0.095</v>
      </c>
    </row>
    <row r="933" spans="1:13">
      <c r="A933" s="1">
        <f>HYPERLINK("http://www.twitter.com/NathanBLawrence/status/993477255337791489", "993477255337791489")</f>
        <v/>
      </c>
      <c r="B933" s="2" t="n">
        <v>43227.54641203704</v>
      </c>
      <c r="C933" t="n">
        <v>0</v>
      </c>
      <c r="D933" t="n">
        <v>0</v>
      </c>
      <c r="E933" t="s">
        <v>943</v>
      </c>
      <c r="F933" t="s"/>
      <c r="G933" t="s"/>
      <c r="H933" t="s"/>
      <c r="I933" t="s"/>
      <c r="J933" t="n">
        <v>-0.508</v>
      </c>
      <c r="K933" t="n">
        <v>0.177</v>
      </c>
      <c r="L933" t="n">
        <v>0.6850000000000001</v>
      </c>
      <c r="M933" t="n">
        <v>0.139</v>
      </c>
    </row>
    <row r="934" spans="1:13">
      <c r="A934" s="1">
        <f>HYPERLINK("http://www.twitter.com/NathanBLawrence/status/993475382878797826", "993475382878797826")</f>
        <v/>
      </c>
      <c r="B934" s="2" t="n">
        <v>43227.54123842593</v>
      </c>
      <c r="C934" t="n">
        <v>0</v>
      </c>
      <c r="D934" t="n">
        <v>0</v>
      </c>
      <c r="E934" t="s">
        <v>944</v>
      </c>
      <c r="F934" t="s"/>
      <c r="G934" t="s"/>
      <c r="H934" t="s"/>
      <c r="I934" t="s"/>
      <c r="J934" t="n">
        <v>0.782</v>
      </c>
      <c r="K934" t="n">
        <v>0.039</v>
      </c>
      <c r="L934" t="n">
        <v>0.798</v>
      </c>
      <c r="M934" t="n">
        <v>0.163</v>
      </c>
    </row>
    <row r="935" spans="1:13">
      <c r="A935" s="1">
        <f>HYPERLINK("http://www.twitter.com/NathanBLawrence/status/993469181470367745", "993469181470367745")</f>
        <v/>
      </c>
      <c r="B935" s="2" t="n">
        <v>43227.52413194445</v>
      </c>
      <c r="C935" t="n">
        <v>1</v>
      </c>
      <c r="D935" t="n">
        <v>0</v>
      </c>
      <c r="E935" t="s">
        <v>945</v>
      </c>
      <c r="F935" t="s"/>
      <c r="G935" t="s"/>
      <c r="H935" t="s"/>
      <c r="I935" t="s"/>
      <c r="J935" t="n">
        <v>-0.7906</v>
      </c>
      <c r="K935" t="n">
        <v>0.19</v>
      </c>
      <c r="L935" t="n">
        <v>0.769</v>
      </c>
      <c r="M935" t="n">
        <v>0.041</v>
      </c>
    </row>
    <row r="936" spans="1:13">
      <c r="A936" s="1">
        <f>HYPERLINK("http://www.twitter.com/NathanBLawrence/status/993468634155683840", "993468634155683840")</f>
        <v/>
      </c>
      <c r="B936" s="2" t="n">
        <v>43227.52261574074</v>
      </c>
      <c r="C936" t="n">
        <v>1</v>
      </c>
      <c r="D936" t="n">
        <v>0</v>
      </c>
      <c r="E936" t="s">
        <v>946</v>
      </c>
      <c r="F936" t="s"/>
      <c r="G936" t="s"/>
      <c r="H936" t="s"/>
      <c r="I936" t="s"/>
      <c r="J936" t="n">
        <v>-0.7494</v>
      </c>
      <c r="K936" t="n">
        <v>0.198</v>
      </c>
      <c r="L936" t="n">
        <v>0.755</v>
      </c>
      <c r="M936" t="n">
        <v>0.047</v>
      </c>
    </row>
    <row r="937" spans="1:13">
      <c r="A937" s="1">
        <f>HYPERLINK("http://www.twitter.com/NathanBLawrence/status/993462413818286080", "993462413818286080")</f>
        <v/>
      </c>
      <c r="B937" s="2" t="n">
        <v>43227.50545138889</v>
      </c>
      <c r="C937" t="n">
        <v>0</v>
      </c>
      <c r="D937" t="n">
        <v>0</v>
      </c>
      <c r="E937" t="s">
        <v>947</v>
      </c>
      <c r="F937" t="s"/>
      <c r="G937" t="s"/>
      <c r="H937" t="s"/>
      <c r="I937" t="s"/>
      <c r="J937" t="n">
        <v>0.3197</v>
      </c>
      <c r="K937" t="n">
        <v>0.139</v>
      </c>
      <c r="L937" t="n">
        <v>0.619</v>
      </c>
      <c r="M937" t="n">
        <v>0.242</v>
      </c>
    </row>
    <row r="938" spans="1:13">
      <c r="A938" s="1">
        <f>HYPERLINK("http://www.twitter.com/NathanBLawrence/status/993459646206705666", "993459646206705666")</f>
        <v/>
      </c>
      <c r="B938" s="2" t="n">
        <v>43227.4978125</v>
      </c>
      <c r="C938" t="n">
        <v>5</v>
      </c>
      <c r="D938" t="n">
        <v>3</v>
      </c>
      <c r="E938" t="s">
        <v>948</v>
      </c>
      <c r="F938">
        <f>HYPERLINK("http://pbs.twimg.com/media/Dcl6R7EW0AAHL2G.jpg", "http://pbs.twimg.com/media/Dcl6R7EW0AAHL2G.jpg")</f>
        <v/>
      </c>
      <c r="G938" t="s"/>
      <c r="H938" t="s"/>
      <c r="I938" t="s"/>
      <c r="J938" t="n">
        <v>0</v>
      </c>
      <c r="K938" t="n">
        <v>0</v>
      </c>
      <c r="L938" t="n">
        <v>1</v>
      </c>
      <c r="M938" t="n">
        <v>0</v>
      </c>
    </row>
    <row r="939" spans="1:13">
      <c r="A939" s="1">
        <f>HYPERLINK("http://www.twitter.com/NathanBLawrence/status/993454287773753346", "993454287773753346")</f>
        <v/>
      </c>
      <c r="B939" s="2" t="n">
        <v>43227.48303240741</v>
      </c>
      <c r="C939" t="n">
        <v>0</v>
      </c>
      <c r="D939" t="n">
        <v>0</v>
      </c>
      <c r="E939" t="s">
        <v>949</v>
      </c>
      <c r="F939" t="s"/>
      <c r="G939" t="s"/>
      <c r="H939" t="s"/>
      <c r="I939" t="s"/>
      <c r="J939" t="n">
        <v>0.4753</v>
      </c>
      <c r="K939" t="n">
        <v>0</v>
      </c>
      <c r="L939" t="n">
        <v>0.928</v>
      </c>
      <c r="M939" t="n">
        <v>0.07199999999999999</v>
      </c>
    </row>
    <row r="940" spans="1:13">
      <c r="A940" s="1">
        <f>HYPERLINK("http://www.twitter.com/NathanBLawrence/status/993452509820833792", "993452509820833792")</f>
        <v/>
      </c>
      <c r="B940" s="2" t="n">
        <v>43227.478125</v>
      </c>
      <c r="C940" t="n">
        <v>3</v>
      </c>
      <c r="D940" t="n">
        <v>1</v>
      </c>
      <c r="E940" t="s">
        <v>950</v>
      </c>
      <c r="F940">
        <f>HYPERLINK("http://pbs.twimg.com/media/Dclzyh4W4AEm8yF.jpg", "http://pbs.twimg.com/media/Dclzyh4W4AEm8yF.jpg")</f>
        <v/>
      </c>
      <c r="G940" t="s"/>
      <c r="H940" t="s"/>
      <c r="I940" t="s"/>
      <c r="J940" t="n">
        <v>0</v>
      </c>
      <c r="K940" t="n">
        <v>0</v>
      </c>
      <c r="L940" t="n">
        <v>1</v>
      </c>
      <c r="M940" t="n">
        <v>0</v>
      </c>
    </row>
    <row r="941" spans="1:13">
      <c r="A941" s="1">
        <f>HYPERLINK("http://www.twitter.com/NathanBLawrence/status/993449983922798593", "993449983922798593")</f>
        <v/>
      </c>
      <c r="B941" s="2" t="n">
        <v>43227.47115740741</v>
      </c>
      <c r="C941" t="n">
        <v>1</v>
      </c>
      <c r="D941" t="n">
        <v>1</v>
      </c>
      <c r="E941" t="s">
        <v>951</v>
      </c>
      <c r="F941" t="s"/>
      <c r="G941" t="s"/>
      <c r="H941" t="s"/>
      <c r="I941" t="s"/>
      <c r="J941" t="n">
        <v>0.7925</v>
      </c>
      <c r="K941" t="n">
        <v>0</v>
      </c>
      <c r="L941" t="n">
        <v>0.499</v>
      </c>
      <c r="M941" t="n">
        <v>0.501</v>
      </c>
    </row>
    <row r="942" spans="1:13">
      <c r="A942" s="1">
        <f>HYPERLINK("http://www.twitter.com/NathanBLawrence/status/993448905332416512", "993448905332416512")</f>
        <v/>
      </c>
      <c r="B942" s="2" t="n">
        <v>43227.46818287037</v>
      </c>
      <c r="C942" t="n">
        <v>0</v>
      </c>
      <c r="D942" t="n">
        <v>3</v>
      </c>
      <c r="E942" t="s">
        <v>952</v>
      </c>
      <c r="F942" t="s"/>
      <c r="G942" t="s"/>
      <c r="H942" t="s"/>
      <c r="I942" t="s"/>
      <c r="J942" t="n">
        <v>0</v>
      </c>
      <c r="K942" t="n">
        <v>0</v>
      </c>
      <c r="L942" t="n">
        <v>1</v>
      </c>
      <c r="M942" t="n">
        <v>0</v>
      </c>
    </row>
    <row r="943" spans="1:13">
      <c r="A943" s="1">
        <f>HYPERLINK("http://www.twitter.com/NathanBLawrence/status/993448339151687681", "993448339151687681")</f>
        <v/>
      </c>
      <c r="B943" s="2" t="n">
        <v>43227.46662037037</v>
      </c>
      <c r="C943" t="n">
        <v>3</v>
      </c>
      <c r="D943" t="n">
        <v>1</v>
      </c>
      <c r="E943" t="s">
        <v>953</v>
      </c>
      <c r="F943" t="s"/>
      <c r="G943" t="s"/>
      <c r="H943" t="s"/>
      <c r="I943" t="s"/>
      <c r="J943" t="n">
        <v>0.3294</v>
      </c>
      <c r="K943" t="n">
        <v>0.186</v>
      </c>
      <c r="L943" t="n">
        <v>0.642</v>
      </c>
      <c r="M943" t="n">
        <v>0.172</v>
      </c>
    </row>
    <row r="944" spans="1:13">
      <c r="A944" s="1">
        <f>HYPERLINK("http://www.twitter.com/NathanBLawrence/status/993444847217504257", "993444847217504257")</f>
        <v/>
      </c>
      <c r="B944" s="2" t="n">
        <v>43227.45697916667</v>
      </c>
      <c r="C944" t="n">
        <v>0</v>
      </c>
      <c r="D944" t="n">
        <v>12</v>
      </c>
      <c r="E944" t="s">
        <v>954</v>
      </c>
      <c r="F944" t="s"/>
      <c r="G944" t="s"/>
      <c r="H944" t="s"/>
      <c r="I944" t="s"/>
      <c r="J944" t="n">
        <v>0</v>
      </c>
      <c r="K944" t="n">
        <v>0.101</v>
      </c>
      <c r="L944" t="n">
        <v>0.798</v>
      </c>
      <c r="M944" t="n">
        <v>0.101</v>
      </c>
    </row>
    <row r="945" spans="1:13">
      <c r="A945" s="1">
        <f>HYPERLINK("http://www.twitter.com/NathanBLawrence/status/993444545860907008", "993444545860907008")</f>
        <v/>
      </c>
      <c r="B945" s="2" t="n">
        <v>43227.45614583333</v>
      </c>
      <c r="C945" t="n">
        <v>0</v>
      </c>
      <c r="D945" t="n">
        <v>9</v>
      </c>
      <c r="E945" t="s">
        <v>955</v>
      </c>
      <c r="F945" t="s"/>
      <c r="G945" t="s"/>
      <c r="H945" t="s"/>
      <c r="I945" t="s"/>
      <c r="J945" t="n">
        <v>-0.25</v>
      </c>
      <c r="K945" t="n">
        <v>0.167</v>
      </c>
      <c r="L945" t="n">
        <v>0.833</v>
      </c>
      <c r="M945" t="n">
        <v>0</v>
      </c>
    </row>
    <row r="946" spans="1:13">
      <c r="A946" s="1">
        <f>HYPERLINK("http://www.twitter.com/NathanBLawrence/status/993443381580914689", "993443381580914689")</f>
        <v/>
      </c>
      <c r="B946" s="2" t="n">
        <v>43227.45293981482</v>
      </c>
      <c r="C946" t="n">
        <v>5</v>
      </c>
      <c r="D946" t="n">
        <v>3</v>
      </c>
      <c r="E946" t="s">
        <v>956</v>
      </c>
      <c r="F946" t="s"/>
      <c r="G946" t="s"/>
      <c r="H946" t="s"/>
      <c r="I946" t="s"/>
      <c r="J946" t="n">
        <v>0.34</v>
      </c>
      <c r="K946" t="n">
        <v>0</v>
      </c>
      <c r="L946" t="n">
        <v>0.625</v>
      </c>
      <c r="M946" t="n">
        <v>0.375</v>
      </c>
    </row>
    <row r="947" spans="1:13">
      <c r="A947" s="1">
        <f>HYPERLINK("http://www.twitter.com/NathanBLawrence/status/993331934653710336", "993331934653710336")</f>
        <v/>
      </c>
      <c r="B947" s="2" t="n">
        <v>43227.14540509259</v>
      </c>
      <c r="C947" t="n">
        <v>2</v>
      </c>
      <c r="D947" t="n">
        <v>1</v>
      </c>
      <c r="E947" t="s">
        <v>957</v>
      </c>
      <c r="F947" t="s"/>
      <c r="G947" t="s"/>
      <c r="H947" t="s"/>
      <c r="I947" t="s"/>
      <c r="J947" t="n">
        <v>0.296</v>
      </c>
      <c r="K947" t="n">
        <v>0</v>
      </c>
      <c r="L947" t="n">
        <v>0.864</v>
      </c>
      <c r="M947" t="n">
        <v>0.136</v>
      </c>
    </row>
    <row r="948" spans="1:13">
      <c r="A948" s="1">
        <f>HYPERLINK("http://www.twitter.com/NathanBLawrence/status/993331051136249861", "993331051136249861")</f>
        <v/>
      </c>
      <c r="B948" s="2" t="n">
        <v>43227.14296296296</v>
      </c>
      <c r="C948" t="n">
        <v>1</v>
      </c>
      <c r="D948" t="n">
        <v>1</v>
      </c>
      <c r="E948" t="s">
        <v>958</v>
      </c>
      <c r="F948" t="s"/>
      <c r="G948" t="s"/>
      <c r="H948" t="s"/>
      <c r="I948" t="s"/>
      <c r="J948" t="n">
        <v>-0.34</v>
      </c>
      <c r="K948" t="n">
        <v>0.324</v>
      </c>
      <c r="L948" t="n">
        <v>0.676</v>
      </c>
      <c r="M948" t="n">
        <v>0</v>
      </c>
    </row>
    <row r="949" spans="1:13">
      <c r="A949" s="1">
        <f>HYPERLINK("http://www.twitter.com/NathanBLawrence/status/993326382187937792", "993326382187937792")</f>
        <v/>
      </c>
      <c r="B949" s="2" t="n">
        <v>43227.13008101852</v>
      </c>
      <c r="C949" t="n">
        <v>0</v>
      </c>
      <c r="D949" t="n">
        <v>0</v>
      </c>
      <c r="E949" t="s">
        <v>959</v>
      </c>
      <c r="F949" t="s"/>
      <c r="G949" t="s"/>
      <c r="H949" t="s"/>
      <c r="I949" t="s"/>
      <c r="J949" t="n">
        <v>-0.4215</v>
      </c>
      <c r="K949" t="n">
        <v>0.203</v>
      </c>
      <c r="L949" t="n">
        <v>0.797</v>
      </c>
      <c r="M949" t="n">
        <v>0</v>
      </c>
    </row>
    <row r="950" spans="1:13">
      <c r="A950" s="1">
        <f>HYPERLINK("http://www.twitter.com/NathanBLawrence/status/993317004533731328", "993317004533731328")</f>
        <v/>
      </c>
      <c r="B950" s="2" t="n">
        <v>43227.10420138889</v>
      </c>
      <c r="C950" t="n">
        <v>0</v>
      </c>
      <c r="D950" t="n">
        <v>22</v>
      </c>
      <c r="E950" t="s">
        <v>960</v>
      </c>
      <c r="F950">
        <f>HYPERLINK("http://pbs.twimg.com/media/Dcjv9DmXkAIYevh.jpg", "http://pbs.twimg.com/media/Dcjv9DmXkAIYevh.jpg")</f>
        <v/>
      </c>
      <c r="G950" t="s"/>
      <c r="H950" t="s"/>
      <c r="I950" t="s"/>
      <c r="J950" t="n">
        <v>0.7177</v>
      </c>
      <c r="K950" t="n">
        <v>0</v>
      </c>
      <c r="L950" t="n">
        <v>0.7</v>
      </c>
      <c r="M950" t="n">
        <v>0.3</v>
      </c>
    </row>
    <row r="951" spans="1:13">
      <c r="A951" s="1">
        <f>HYPERLINK("http://www.twitter.com/NathanBLawrence/status/993316942361526272", "993316942361526272")</f>
        <v/>
      </c>
      <c r="B951" s="2" t="n">
        <v>43227.10402777778</v>
      </c>
      <c r="C951" t="n">
        <v>0</v>
      </c>
      <c r="D951" t="n">
        <v>19</v>
      </c>
      <c r="E951" t="s">
        <v>961</v>
      </c>
      <c r="F951">
        <f>HYPERLINK("http://pbs.twimg.com/media/DcjyMBCVwAAfETo.jpg", "http://pbs.twimg.com/media/DcjyMBCVwAAfETo.jpg")</f>
        <v/>
      </c>
      <c r="G951" t="s"/>
      <c r="H951" t="s"/>
      <c r="I951" t="s"/>
      <c r="J951" t="n">
        <v>0.5106000000000001</v>
      </c>
      <c r="K951" t="n">
        <v>0</v>
      </c>
      <c r="L951" t="n">
        <v>0.829</v>
      </c>
      <c r="M951" t="n">
        <v>0.171</v>
      </c>
    </row>
    <row r="952" spans="1:13">
      <c r="A952" s="1">
        <f>HYPERLINK("http://www.twitter.com/NathanBLawrence/status/993316920639348736", "993316920639348736")</f>
        <v/>
      </c>
      <c r="B952" s="2" t="n">
        <v>43227.10396990741</v>
      </c>
      <c r="C952" t="n">
        <v>15</v>
      </c>
      <c r="D952" t="n">
        <v>9</v>
      </c>
      <c r="E952" t="s">
        <v>962</v>
      </c>
      <c r="F952" t="s"/>
      <c r="G952" t="s"/>
      <c r="H952" t="s"/>
      <c r="I952" t="s"/>
      <c r="J952" t="n">
        <v>-0.25</v>
      </c>
      <c r="K952" t="n">
        <v>0.2</v>
      </c>
      <c r="L952" t="n">
        <v>0.8</v>
      </c>
      <c r="M952" t="n">
        <v>0</v>
      </c>
    </row>
    <row r="953" spans="1:13">
      <c r="A953" s="1">
        <f>HYPERLINK("http://www.twitter.com/NathanBLawrence/status/993315591741169665", "993315591741169665")</f>
        <v/>
      </c>
      <c r="B953" s="2" t="n">
        <v>43227.10030092593</v>
      </c>
      <c r="C953" t="n">
        <v>6</v>
      </c>
      <c r="D953" t="n">
        <v>2</v>
      </c>
      <c r="E953" t="s">
        <v>963</v>
      </c>
      <c r="F953" t="s"/>
      <c r="G953" t="s"/>
      <c r="H953" t="s"/>
      <c r="I953" t="s"/>
      <c r="J953" t="n">
        <v>0.4574</v>
      </c>
      <c r="K953" t="n">
        <v>0</v>
      </c>
      <c r="L953" t="n">
        <v>0.8129999999999999</v>
      </c>
      <c r="M953" t="n">
        <v>0.187</v>
      </c>
    </row>
    <row r="954" spans="1:13">
      <c r="A954" s="1">
        <f>HYPERLINK("http://www.twitter.com/NathanBLawrence/status/993314577529090048", "993314577529090048")</f>
        <v/>
      </c>
      <c r="B954" s="2" t="n">
        <v>43227.0975</v>
      </c>
      <c r="C954" t="n">
        <v>0</v>
      </c>
      <c r="D954" t="n">
        <v>0</v>
      </c>
      <c r="E954" t="s">
        <v>964</v>
      </c>
      <c r="F954" t="s"/>
      <c r="G954" t="s"/>
      <c r="H954" t="s"/>
      <c r="I954" t="s"/>
      <c r="J954" t="n">
        <v>0.1779</v>
      </c>
      <c r="K954" t="n">
        <v>0.04</v>
      </c>
      <c r="L954" t="n">
        <v>0.902</v>
      </c>
      <c r="M954" t="n">
        <v>0.058</v>
      </c>
    </row>
    <row r="955" spans="1:13">
      <c r="A955" s="1">
        <f>HYPERLINK("http://www.twitter.com/NathanBLawrence/status/993298598522695680", "993298598522695680")</f>
        <v/>
      </c>
      <c r="B955" s="2" t="n">
        <v>43227.05341435185</v>
      </c>
      <c r="C955" t="n">
        <v>3</v>
      </c>
      <c r="D955" t="n">
        <v>1</v>
      </c>
      <c r="E955" t="s">
        <v>965</v>
      </c>
      <c r="F955" t="s"/>
      <c r="G955" t="s"/>
      <c r="H955" t="s"/>
      <c r="I955" t="s"/>
      <c r="J955" t="n">
        <v>0.128</v>
      </c>
      <c r="K955" t="n">
        <v>0</v>
      </c>
      <c r="L955" t="n">
        <v>0.88</v>
      </c>
      <c r="M955" t="n">
        <v>0.12</v>
      </c>
    </row>
    <row r="956" spans="1:13">
      <c r="A956" s="1">
        <f>HYPERLINK("http://www.twitter.com/NathanBLawrence/status/993292794004410368", "993292794004410368")</f>
        <v/>
      </c>
      <c r="B956" s="2" t="n">
        <v>43227.03739583334</v>
      </c>
      <c r="C956" t="n">
        <v>4</v>
      </c>
      <c r="D956" t="n">
        <v>3</v>
      </c>
      <c r="E956" t="s">
        <v>966</v>
      </c>
      <c r="F956" t="s"/>
      <c r="G956" t="s"/>
      <c r="H956" t="s"/>
      <c r="I956" t="s"/>
      <c r="J956" t="n">
        <v>0</v>
      </c>
      <c r="K956" t="n">
        <v>0</v>
      </c>
      <c r="L956" t="n">
        <v>1</v>
      </c>
      <c r="M956" t="n">
        <v>0</v>
      </c>
    </row>
    <row r="957" spans="1:13">
      <c r="A957" s="1">
        <f>HYPERLINK("http://www.twitter.com/NathanBLawrence/status/993292510658289664", "993292510658289664")</f>
        <v/>
      </c>
      <c r="B957" s="2" t="n">
        <v>43227.0366087963</v>
      </c>
      <c r="C957" t="n">
        <v>6</v>
      </c>
      <c r="D957" t="n">
        <v>5</v>
      </c>
      <c r="E957" t="s">
        <v>967</v>
      </c>
      <c r="F957" t="s"/>
      <c r="G957" t="s"/>
      <c r="H957" t="s"/>
      <c r="I957" t="s"/>
      <c r="J957" t="n">
        <v>-0.0516</v>
      </c>
      <c r="K957" t="n">
        <v>0.137</v>
      </c>
      <c r="L957" t="n">
        <v>0.735</v>
      </c>
      <c r="M957" t="n">
        <v>0.127</v>
      </c>
    </row>
    <row r="958" spans="1:13">
      <c r="A958" s="1">
        <f>HYPERLINK("http://www.twitter.com/NathanBLawrence/status/993290615705268224", "993290615705268224")</f>
        <v/>
      </c>
      <c r="B958" s="2" t="n">
        <v>43227.03137731482</v>
      </c>
      <c r="C958" t="n">
        <v>0</v>
      </c>
      <c r="D958" t="n">
        <v>2</v>
      </c>
      <c r="E958" t="s">
        <v>968</v>
      </c>
      <c r="F958">
        <f>HYPERLINK("http://pbs.twimg.com/media/DcjfEFpV4AADTG3.jpg", "http://pbs.twimg.com/media/DcjfEFpV4AADTG3.jpg")</f>
        <v/>
      </c>
      <c r="G958" t="s"/>
      <c r="H958" t="s"/>
      <c r="I958" t="s"/>
      <c r="J958" t="n">
        <v>0.2712</v>
      </c>
      <c r="K958" t="n">
        <v>0.052</v>
      </c>
      <c r="L958" t="n">
        <v>0.855</v>
      </c>
      <c r="M958" t="n">
        <v>0.093</v>
      </c>
    </row>
    <row r="959" spans="1:13">
      <c r="A959" s="1">
        <f>HYPERLINK("http://www.twitter.com/NathanBLawrence/status/993288604293238784", "993288604293238784")</f>
        <v/>
      </c>
      <c r="B959" s="2" t="n">
        <v>43227.02583333333</v>
      </c>
      <c r="C959" t="n">
        <v>2</v>
      </c>
      <c r="D959" t="n">
        <v>0</v>
      </c>
      <c r="E959" t="s">
        <v>969</v>
      </c>
      <c r="F959" t="s"/>
      <c r="G959" t="s"/>
      <c r="H959" t="s"/>
      <c r="I959" t="s"/>
      <c r="J959" t="n">
        <v>0.128</v>
      </c>
      <c r="K959" t="n">
        <v>0</v>
      </c>
      <c r="L959" t="n">
        <v>0.889</v>
      </c>
      <c r="M959" t="n">
        <v>0.111</v>
      </c>
    </row>
    <row r="960" spans="1:13">
      <c r="A960" s="1">
        <f>HYPERLINK("http://www.twitter.com/NathanBLawrence/status/993278407134851072", "993278407134851072")</f>
        <v/>
      </c>
      <c r="B960" s="2" t="n">
        <v>43226.99769675926</v>
      </c>
      <c r="C960" t="n">
        <v>0</v>
      </c>
      <c r="D960" t="n">
        <v>8</v>
      </c>
      <c r="E960" t="s">
        <v>970</v>
      </c>
      <c r="F960" t="s"/>
      <c r="G960" t="s"/>
      <c r="H960" t="s"/>
      <c r="I960" t="s"/>
      <c r="J960" t="n">
        <v>-0.1406</v>
      </c>
      <c r="K960" t="n">
        <v>0.092</v>
      </c>
      <c r="L960" t="n">
        <v>0.838</v>
      </c>
      <c r="M960" t="n">
        <v>0.07000000000000001</v>
      </c>
    </row>
    <row r="961" spans="1:13">
      <c r="A961" s="1">
        <f>HYPERLINK("http://www.twitter.com/NathanBLawrence/status/993275510338805761", "993275510338805761")</f>
        <v/>
      </c>
      <c r="B961" s="2" t="n">
        <v>43226.98969907407</v>
      </c>
      <c r="C961" t="n">
        <v>0</v>
      </c>
      <c r="D961" t="n">
        <v>4</v>
      </c>
      <c r="E961" t="s">
        <v>971</v>
      </c>
      <c r="F961" t="s"/>
      <c r="G961" t="s"/>
      <c r="H961" t="s"/>
      <c r="I961" t="s"/>
      <c r="J961" t="n">
        <v>-0.8658</v>
      </c>
      <c r="K961" t="n">
        <v>0.327</v>
      </c>
      <c r="L961" t="n">
        <v>0.673</v>
      </c>
      <c r="M961" t="n">
        <v>0</v>
      </c>
    </row>
    <row r="962" spans="1:13">
      <c r="A962" s="1">
        <f>HYPERLINK("http://www.twitter.com/NathanBLawrence/status/993262321949724672", "993262321949724672")</f>
        <v/>
      </c>
      <c r="B962" s="2" t="n">
        <v>43226.95331018518</v>
      </c>
      <c r="C962" t="n">
        <v>0</v>
      </c>
      <c r="D962" t="n">
        <v>2</v>
      </c>
      <c r="E962" t="s">
        <v>972</v>
      </c>
      <c r="F962" t="s"/>
      <c r="G962" t="s"/>
      <c r="H962" t="s"/>
      <c r="I962" t="s"/>
      <c r="J962" t="n">
        <v>-0.1027</v>
      </c>
      <c r="K962" t="n">
        <v>0.125</v>
      </c>
      <c r="L962" t="n">
        <v>0.732</v>
      </c>
      <c r="M962" t="n">
        <v>0.143</v>
      </c>
    </row>
    <row r="963" spans="1:13">
      <c r="A963" s="1">
        <f>HYPERLINK("http://www.twitter.com/NathanBLawrence/status/993259357189099520", "993259357189099520")</f>
        <v/>
      </c>
      <c r="B963" s="2" t="n">
        <v>43226.94512731482</v>
      </c>
      <c r="C963" t="n">
        <v>0</v>
      </c>
      <c r="D963" t="n">
        <v>16</v>
      </c>
      <c r="E963" t="s">
        <v>973</v>
      </c>
      <c r="F963">
        <f>HYPERLINK("http://pbs.twimg.com/media/Dci_O6dUwAAUi3a.jpg", "http://pbs.twimg.com/media/Dci_O6dUwAAUi3a.jpg")</f>
        <v/>
      </c>
      <c r="G963" t="s"/>
      <c r="H963" t="s"/>
      <c r="I963" t="s"/>
      <c r="J963" t="n">
        <v>0</v>
      </c>
      <c r="K963" t="n">
        <v>0</v>
      </c>
      <c r="L963" t="n">
        <v>1</v>
      </c>
      <c r="M963" t="n">
        <v>0</v>
      </c>
    </row>
    <row r="964" spans="1:13">
      <c r="A964" s="1">
        <f>HYPERLINK("http://www.twitter.com/NathanBLawrence/status/993252578413699072", "993252578413699072")</f>
        <v/>
      </c>
      <c r="B964" s="2" t="n">
        <v>43226.92642361111</v>
      </c>
      <c r="C964" t="n">
        <v>1</v>
      </c>
      <c r="D964" t="n">
        <v>0</v>
      </c>
      <c r="E964" t="s">
        <v>974</v>
      </c>
      <c r="F964" t="s"/>
      <c r="G964" t="s"/>
      <c r="H964" t="s"/>
      <c r="I964" t="s"/>
      <c r="J964" t="n">
        <v>-0.3612</v>
      </c>
      <c r="K964" t="n">
        <v>0.128</v>
      </c>
      <c r="L964" t="n">
        <v>0.872</v>
      </c>
      <c r="M964" t="n">
        <v>0</v>
      </c>
    </row>
    <row r="965" spans="1:13">
      <c r="A965" s="1">
        <f>HYPERLINK("http://www.twitter.com/NathanBLawrence/status/993251745848594434", "993251745848594434")</f>
        <v/>
      </c>
      <c r="B965" s="2" t="n">
        <v>43226.92412037037</v>
      </c>
      <c r="C965" t="n">
        <v>1</v>
      </c>
      <c r="D965" t="n">
        <v>3</v>
      </c>
      <c r="E965" t="s">
        <v>975</v>
      </c>
      <c r="F965" t="s"/>
      <c r="G965" t="s"/>
      <c r="H965" t="s"/>
      <c r="I965" t="s"/>
      <c r="J965" t="n">
        <v>-0.5994</v>
      </c>
      <c r="K965" t="n">
        <v>0.218</v>
      </c>
      <c r="L965" t="n">
        <v>0.782</v>
      </c>
      <c r="M965" t="n">
        <v>0</v>
      </c>
    </row>
    <row r="966" spans="1:13">
      <c r="A966" s="1">
        <f>HYPERLINK("http://www.twitter.com/NathanBLawrence/status/993247362440224769", "993247362440224769")</f>
        <v/>
      </c>
      <c r="B966" s="2" t="n">
        <v>43226.91202546296</v>
      </c>
      <c r="C966" t="n">
        <v>2</v>
      </c>
      <c r="D966" t="n">
        <v>0</v>
      </c>
      <c r="E966" t="s">
        <v>976</v>
      </c>
      <c r="F966" t="s"/>
      <c r="G966" t="s"/>
      <c r="H966" t="s"/>
      <c r="I966" t="s"/>
      <c r="J966" t="n">
        <v>-0.296</v>
      </c>
      <c r="K966" t="n">
        <v>0.056</v>
      </c>
      <c r="L966" t="n">
        <v>0.944</v>
      </c>
      <c r="M966" t="n">
        <v>0</v>
      </c>
    </row>
    <row r="967" spans="1:13">
      <c r="A967" s="1">
        <f>HYPERLINK("http://www.twitter.com/NathanBLawrence/status/993245501742084106", "993245501742084106")</f>
        <v/>
      </c>
      <c r="B967" s="2" t="n">
        <v>43226.90688657408</v>
      </c>
      <c r="C967" t="n">
        <v>7</v>
      </c>
      <c r="D967" t="n">
        <v>4</v>
      </c>
      <c r="E967" t="s">
        <v>977</v>
      </c>
      <c r="F967" t="s"/>
      <c r="G967" t="s"/>
      <c r="H967" t="s"/>
      <c r="I967" t="s"/>
      <c r="J967" t="n">
        <v>-0.296</v>
      </c>
      <c r="K967" t="n">
        <v>0.121</v>
      </c>
      <c r="L967" t="n">
        <v>0.879</v>
      </c>
      <c r="M967" t="n">
        <v>0</v>
      </c>
    </row>
    <row r="968" spans="1:13">
      <c r="A968" s="1">
        <f>HYPERLINK("http://www.twitter.com/NathanBLawrence/status/993244597240385539", "993244597240385539")</f>
        <v/>
      </c>
      <c r="B968" s="2" t="n">
        <v>43226.90439814814</v>
      </c>
      <c r="C968" t="n">
        <v>0</v>
      </c>
      <c r="D968" t="n">
        <v>0</v>
      </c>
      <c r="E968" t="s">
        <v>978</v>
      </c>
      <c r="F968" t="s"/>
      <c r="G968" t="s"/>
      <c r="H968" t="s"/>
      <c r="I968" t="s"/>
      <c r="J968" t="n">
        <v>0</v>
      </c>
      <c r="K968" t="n">
        <v>0</v>
      </c>
      <c r="L968" t="n">
        <v>1</v>
      </c>
      <c r="M968" t="n">
        <v>0</v>
      </c>
    </row>
    <row r="969" spans="1:13">
      <c r="A969" s="1">
        <f>HYPERLINK("http://www.twitter.com/NathanBLawrence/status/993239379882766336", "993239379882766336")</f>
        <v/>
      </c>
      <c r="B969" s="2" t="n">
        <v>43226.89</v>
      </c>
      <c r="C969" t="n">
        <v>3</v>
      </c>
      <c r="D969" t="n">
        <v>1</v>
      </c>
      <c r="E969" t="s">
        <v>979</v>
      </c>
      <c r="F969" t="s"/>
      <c r="G969" t="s"/>
      <c r="H969" t="s"/>
      <c r="I969" t="s"/>
      <c r="J969" t="n">
        <v>0.4939</v>
      </c>
      <c r="K969" t="n">
        <v>0</v>
      </c>
      <c r="L969" t="n">
        <v>0.652</v>
      </c>
      <c r="M969" t="n">
        <v>0.348</v>
      </c>
    </row>
    <row r="970" spans="1:13">
      <c r="A970" s="1">
        <f>HYPERLINK("http://www.twitter.com/NathanBLawrence/status/993238480837857280", "993238480837857280")</f>
        <v/>
      </c>
      <c r="B970" s="2" t="n">
        <v>43226.88751157407</v>
      </c>
      <c r="C970" t="n">
        <v>1</v>
      </c>
      <c r="D970" t="n">
        <v>0</v>
      </c>
      <c r="E970" t="s">
        <v>980</v>
      </c>
      <c r="F970" t="s"/>
      <c r="G970" t="s"/>
      <c r="H970" t="s"/>
      <c r="I970" t="s"/>
      <c r="J970" t="n">
        <v>-0.296</v>
      </c>
      <c r="K970" t="n">
        <v>0.099</v>
      </c>
      <c r="L970" t="n">
        <v>0.901</v>
      </c>
      <c r="M970" t="n">
        <v>0</v>
      </c>
    </row>
    <row r="971" spans="1:13">
      <c r="A971" s="1">
        <f>HYPERLINK("http://www.twitter.com/NathanBLawrence/status/993235936199749632", "993235936199749632")</f>
        <v/>
      </c>
      <c r="B971" s="2" t="n">
        <v>43226.88049768518</v>
      </c>
      <c r="C971" t="n">
        <v>0</v>
      </c>
      <c r="D971" t="n">
        <v>0</v>
      </c>
      <c r="E971" t="s">
        <v>981</v>
      </c>
      <c r="F971" t="s"/>
      <c r="G971" t="s"/>
      <c r="H971" t="s"/>
      <c r="I971" t="s"/>
      <c r="J971" t="n">
        <v>0</v>
      </c>
      <c r="K971" t="n">
        <v>0</v>
      </c>
      <c r="L971" t="n">
        <v>1</v>
      </c>
      <c r="M971" t="n">
        <v>0</v>
      </c>
    </row>
    <row r="972" spans="1:13">
      <c r="A972" s="1">
        <f>HYPERLINK("http://www.twitter.com/NathanBLawrence/status/993234393404764161", "993234393404764161")</f>
        <v/>
      </c>
      <c r="B972" s="2" t="n">
        <v>43226.87623842592</v>
      </c>
      <c r="C972" t="n">
        <v>5</v>
      </c>
      <c r="D972" t="n">
        <v>2</v>
      </c>
      <c r="E972" t="s">
        <v>982</v>
      </c>
      <c r="F972" t="s"/>
      <c r="G972" t="s"/>
      <c r="H972" t="s"/>
      <c r="I972" t="s"/>
      <c r="J972" t="n">
        <v>0.4199</v>
      </c>
      <c r="K972" t="n">
        <v>0.047</v>
      </c>
      <c r="L972" t="n">
        <v>0.857</v>
      </c>
      <c r="M972" t="n">
        <v>0.096</v>
      </c>
    </row>
    <row r="973" spans="1:13">
      <c r="A973" s="1">
        <f>HYPERLINK("http://www.twitter.com/NathanBLawrence/status/993228620796751872", "993228620796751872")</f>
        <v/>
      </c>
      <c r="B973" s="2" t="n">
        <v>43226.8603125</v>
      </c>
      <c r="C973" t="n">
        <v>0</v>
      </c>
      <c r="D973" t="n">
        <v>4</v>
      </c>
      <c r="E973" t="s">
        <v>983</v>
      </c>
      <c r="F973" t="s"/>
      <c r="G973" t="s"/>
      <c r="H973" t="s"/>
      <c r="I973" t="s"/>
      <c r="J973" t="n">
        <v>-0.34</v>
      </c>
      <c r="K973" t="n">
        <v>0.103</v>
      </c>
      <c r="L973" t="n">
        <v>0.897</v>
      </c>
      <c r="M973" t="n">
        <v>0</v>
      </c>
    </row>
    <row r="974" spans="1:13">
      <c r="A974" s="1">
        <f>HYPERLINK("http://www.twitter.com/NathanBLawrence/status/993224044588740610", "993224044588740610")</f>
        <v/>
      </c>
      <c r="B974" s="2" t="n">
        <v>43226.84768518519</v>
      </c>
      <c r="C974" t="n">
        <v>0</v>
      </c>
      <c r="D974" t="n">
        <v>0</v>
      </c>
      <c r="E974" t="s">
        <v>984</v>
      </c>
      <c r="F974" t="s"/>
      <c r="G974" t="s"/>
      <c r="H974" t="s"/>
      <c r="I974" t="s"/>
      <c r="J974" t="n">
        <v>0.1027</v>
      </c>
      <c r="K974" t="n">
        <v>0</v>
      </c>
      <c r="L974" t="n">
        <v>0.928</v>
      </c>
      <c r="M974" t="n">
        <v>0.07199999999999999</v>
      </c>
    </row>
    <row r="975" spans="1:13">
      <c r="A975" s="1">
        <f>HYPERLINK("http://www.twitter.com/NathanBLawrence/status/993222895299112960", "993222895299112960")</f>
        <v/>
      </c>
      <c r="B975" s="2" t="n">
        <v>43226.84451388889</v>
      </c>
      <c r="C975" t="n">
        <v>11</v>
      </c>
      <c r="D975" t="n">
        <v>9</v>
      </c>
      <c r="E975" t="s">
        <v>985</v>
      </c>
      <c r="F975" t="s"/>
      <c r="G975" t="s"/>
      <c r="H975" t="s"/>
      <c r="I975" t="s"/>
      <c r="J975" t="n">
        <v>-0.1531</v>
      </c>
      <c r="K975" t="n">
        <v>0.053</v>
      </c>
      <c r="L975" t="n">
        <v>0.909</v>
      </c>
      <c r="M975" t="n">
        <v>0.038</v>
      </c>
    </row>
    <row r="976" spans="1:13">
      <c r="A976" s="1">
        <f>HYPERLINK("http://www.twitter.com/NathanBLawrence/status/993218374837637124", "993218374837637124")</f>
        <v/>
      </c>
      <c r="B976" s="2" t="n">
        <v>43226.83203703703</v>
      </c>
      <c r="C976" t="n">
        <v>0</v>
      </c>
      <c r="D976" t="n">
        <v>2</v>
      </c>
      <c r="E976" t="s">
        <v>986</v>
      </c>
      <c r="F976" t="s"/>
      <c r="G976" t="s"/>
      <c r="H976" t="s"/>
      <c r="I976" t="s"/>
      <c r="J976" t="n">
        <v>0.0258</v>
      </c>
      <c r="K976" t="n">
        <v>0.106</v>
      </c>
      <c r="L976" t="n">
        <v>0.784</v>
      </c>
      <c r="M976" t="n">
        <v>0.11</v>
      </c>
    </row>
    <row r="977" spans="1:13">
      <c r="A977" s="1">
        <f>HYPERLINK("http://www.twitter.com/NathanBLawrence/status/993215480679878658", "993215480679878658")</f>
        <v/>
      </c>
      <c r="B977" s="2" t="n">
        <v>43226.82405092593</v>
      </c>
      <c r="C977" t="n">
        <v>0</v>
      </c>
      <c r="D977" t="n">
        <v>11</v>
      </c>
      <c r="E977" t="s">
        <v>987</v>
      </c>
      <c r="F977">
        <f>HYPERLINK("http://pbs.twimg.com/media/Dcd9ODWX4AEwTmJ.jpg", "http://pbs.twimg.com/media/Dcd9ODWX4AEwTmJ.jpg")</f>
        <v/>
      </c>
      <c r="G977" t="s"/>
      <c r="H977" t="s"/>
      <c r="I977" t="s"/>
      <c r="J977" t="n">
        <v>0</v>
      </c>
      <c r="K977" t="n">
        <v>0</v>
      </c>
      <c r="L977" t="n">
        <v>1</v>
      </c>
      <c r="M977" t="n">
        <v>0</v>
      </c>
    </row>
    <row r="978" spans="1:13">
      <c r="A978" s="1">
        <f>HYPERLINK("http://www.twitter.com/NathanBLawrence/status/993212135026118657", "993212135026118657")</f>
        <v/>
      </c>
      <c r="B978" s="2" t="n">
        <v>43226.81481481482</v>
      </c>
      <c r="C978" t="n">
        <v>7</v>
      </c>
      <c r="D978" t="n">
        <v>4</v>
      </c>
      <c r="E978" t="s">
        <v>988</v>
      </c>
      <c r="F978" t="s"/>
      <c r="G978" t="s"/>
      <c r="H978" t="s"/>
      <c r="I978" t="s"/>
      <c r="J978" t="n">
        <v>-0.3182</v>
      </c>
      <c r="K978" t="n">
        <v>0.059</v>
      </c>
      <c r="L978" t="n">
        <v>0.9409999999999999</v>
      </c>
      <c r="M978" t="n">
        <v>0</v>
      </c>
    </row>
    <row r="979" spans="1:13">
      <c r="A979" s="1">
        <f>HYPERLINK("http://www.twitter.com/NathanBLawrence/status/993201992595058689", "993201992595058689")</f>
        <v/>
      </c>
      <c r="B979" s="2" t="n">
        <v>43226.78682870371</v>
      </c>
      <c r="C979" t="n">
        <v>0</v>
      </c>
      <c r="D979" t="n">
        <v>6</v>
      </c>
      <c r="E979" t="s">
        <v>989</v>
      </c>
      <c r="F979">
        <f>HYPERLINK("http://pbs.twimg.com/media/DcebyfAV0AEp4bm.jpg", "http://pbs.twimg.com/media/DcebyfAV0AEp4bm.jpg")</f>
        <v/>
      </c>
      <c r="G979" t="s"/>
      <c r="H979" t="s"/>
      <c r="I979" t="s"/>
      <c r="J979" t="n">
        <v>-0.4466</v>
      </c>
      <c r="K979" t="n">
        <v>0.14</v>
      </c>
      <c r="L979" t="n">
        <v>0.86</v>
      </c>
      <c r="M979" t="n">
        <v>0</v>
      </c>
    </row>
    <row r="980" spans="1:13">
      <c r="A980" s="1">
        <f>HYPERLINK("http://www.twitter.com/NathanBLawrence/status/993201745210871809", "993201745210871809")</f>
        <v/>
      </c>
      <c r="B980" s="2" t="n">
        <v>43226.78614583334</v>
      </c>
      <c r="C980" t="n">
        <v>9</v>
      </c>
      <c r="D980" t="n">
        <v>6</v>
      </c>
      <c r="E980" t="s">
        <v>990</v>
      </c>
      <c r="F980" t="s"/>
      <c r="G980" t="s"/>
      <c r="H980" t="s"/>
      <c r="I980" t="s"/>
      <c r="J980" t="n">
        <v>-0.2732</v>
      </c>
      <c r="K980" t="n">
        <v>0.075</v>
      </c>
      <c r="L980" t="n">
        <v>0.925</v>
      </c>
      <c r="M980" t="n">
        <v>0</v>
      </c>
    </row>
    <row r="981" spans="1:13">
      <c r="A981" s="1">
        <f>HYPERLINK("http://www.twitter.com/NathanBLawrence/status/993200280257945600", "993200280257945600")</f>
        <v/>
      </c>
      <c r="B981" s="2" t="n">
        <v>43226.78210648148</v>
      </c>
      <c r="C981" t="n">
        <v>0</v>
      </c>
      <c r="D981" t="n">
        <v>3</v>
      </c>
      <c r="E981" t="s">
        <v>991</v>
      </c>
      <c r="F981" t="s"/>
      <c r="G981" t="s"/>
      <c r="H981" t="s"/>
      <c r="I981" t="s"/>
      <c r="J981" t="n">
        <v>0</v>
      </c>
      <c r="K981" t="n">
        <v>0</v>
      </c>
      <c r="L981" t="n">
        <v>1</v>
      </c>
      <c r="M981" t="n">
        <v>0</v>
      </c>
    </row>
    <row r="982" spans="1:13">
      <c r="A982" s="1">
        <f>HYPERLINK("http://www.twitter.com/NathanBLawrence/status/993200208979877888", "993200208979877888")</f>
        <v/>
      </c>
      <c r="B982" s="2" t="n">
        <v>43226.78190972222</v>
      </c>
      <c r="C982" t="n">
        <v>0</v>
      </c>
      <c r="D982" t="n">
        <v>29</v>
      </c>
      <c r="E982" t="s">
        <v>992</v>
      </c>
      <c r="F982" t="s"/>
      <c r="G982" t="s"/>
      <c r="H982" t="s"/>
      <c r="I982" t="s"/>
      <c r="J982" t="n">
        <v>0.2023</v>
      </c>
      <c r="K982" t="n">
        <v>0.08400000000000001</v>
      </c>
      <c r="L982" t="n">
        <v>0.796</v>
      </c>
      <c r="M982" t="n">
        <v>0.119</v>
      </c>
    </row>
    <row r="983" spans="1:13">
      <c r="A983" s="1">
        <f>HYPERLINK("http://www.twitter.com/NathanBLawrence/status/993199114618900480", "993199114618900480")</f>
        <v/>
      </c>
      <c r="B983" s="2" t="n">
        <v>43226.77888888889</v>
      </c>
      <c r="C983" t="n">
        <v>0</v>
      </c>
      <c r="D983" t="n">
        <v>0</v>
      </c>
      <c r="E983" t="s">
        <v>993</v>
      </c>
      <c r="F983" t="s"/>
      <c r="G983" t="s"/>
      <c r="H983" t="s"/>
      <c r="I983" t="s"/>
      <c r="J983" t="n">
        <v>-0.5994</v>
      </c>
      <c r="K983" t="n">
        <v>0.259</v>
      </c>
      <c r="L983" t="n">
        <v>0.741</v>
      </c>
      <c r="M983" t="n">
        <v>0</v>
      </c>
    </row>
    <row r="984" spans="1:13">
      <c r="A984" s="1">
        <f>HYPERLINK("http://www.twitter.com/NathanBLawrence/status/993185090414022657", "993185090414022657")</f>
        <v/>
      </c>
      <c r="B984" s="2" t="n">
        <v>43226.74018518518</v>
      </c>
      <c r="C984" t="n">
        <v>0</v>
      </c>
      <c r="D984" t="n">
        <v>4</v>
      </c>
      <c r="E984" t="s">
        <v>994</v>
      </c>
      <c r="F984" t="s"/>
      <c r="G984" t="s"/>
      <c r="H984" t="s"/>
      <c r="I984" t="s"/>
      <c r="J984" t="n">
        <v>0.6899999999999999</v>
      </c>
      <c r="K984" t="n">
        <v>0</v>
      </c>
      <c r="L984" t="n">
        <v>0.794</v>
      </c>
      <c r="M984" t="n">
        <v>0.206</v>
      </c>
    </row>
    <row r="985" spans="1:13">
      <c r="A985" s="1">
        <f>HYPERLINK("http://www.twitter.com/NathanBLawrence/status/993178903547179009", "993178903547179009")</f>
        <v/>
      </c>
      <c r="B985" s="2" t="n">
        <v>43226.72311342593</v>
      </c>
      <c r="C985" t="n">
        <v>15</v>
      </c>
      <c r="D985" t="n">
        <v>8</v>
      </c>
      <c r="E985" t="s">
        <v>995</v>
      </c>
      <c r="F985">
        <f>HYPERLINK("http://pbs.twimg.com/media/Dch68bmU8AAizY3.jpg", "http://pbs.twimg.com/media/Dch68bmU8AAizY3.jpg")</f>
        <v/>
      </c>
      <c r="G985" t="s"/>
      <c r="H985" t="s"/>
      <c r="I985" t="s"/>
      <c r="J985" t="n">
        <v>0.3939</v>
      </c>
      <c r="K985" t="n">
        <v>0.058</v>
      </c>
      <c r="L985" t="n">
        <v>0.841</v>
      </c>
      <c r="M985" t="n">
        <v>0.101</v>
      </c>
    </row>
    <row r="986" spans="1:13">
      <c r="A986" s="1">
        <f>HYPERLINK("http://www.twitter.com/NathanBLawrence/status/993175351760171008", "993175351760171008")</f>
        <v/>
      </c>
      <c r="B986" s="2" t="n">
        <v>43226.71331018519</v>
      </c>
      <c r="C986" t="n">
        <v>2</v>
      </c>
      <c r="D986" t="n">
        <v>0</v>
      </c>
      <c r="E986" t="s">
        <v>996</v>
      </c>
      <c r="F986" t="s"/>
      <c r="G986" t="s"/>
      <c r="H986" t="s"/>
      <c r="I986" t="s"/>
      <c r="J986" t="n">
        <v>0.4404</v>
      </c>
      <c r="K986" t="n">
        <v>0</v>
      </c>
      <c r="L986" t="n">
        <v>0.914</v>
      </c>
      <c r="M986" t="n">
        <v>0.08599999999999999</v>
      </c>
    </row>
    <row r="987" spans="1:13">
      <c r="A987" s="1">
        <f>HYPERLINK("http://www.twitter.com/NathanBLawrence/status/993172863439065089", "993172863439065089")</f>
        <v/>
      </c>
      <c r="B987" s="2" t="n">
        <v>43226.70644675926</v>
      </c>
      <c r="C987" t="n">
        <v>0</v>
      </c>
      <c r="D987" t="n">
        <v>0</v>
      </c>
      <c r="E987" t="s">
        <v>997</v>
      </c>
      <c r="F987" t="s"/>
      <c r="G987" t="s"/>
      <c r="H987" t="s"/>
      <c r="I987" t="s"/>
      <c r="J987" t="n">
        <v>-0.2344</v>
      </c>
      <c r="K987" t="n">
        <v>0.122</v>
      </c>
      <c r="L987" t="n">
        <v>0.79</v>
      </c>
      <c r="M987" t="n">
        <v>0.08699999999999999</v>
      </c>
    </row>
    <row r="988" spans="1:13">
      <c r="A988" s="1">
        <f>HYPERLINK("http://www.twitter.com/NathanBLawrence/status/993171105446801408", "993171105446801408")</f>
        <v/>
      </c>
      <c r="B988" s="2" t="n">
        <v>43226.70159722222</v>
      </c>
      <c r="C988" t="n">
        <v>2</v>
      </c>
      <c r="D988" t="n">
        <v>0</v>
      </c>
      <c r="E988" t="s">
        <v>998</v>
      </c>
      <c r="F988" t="s"/>
      <c r="G988" t="s"/>
      <c r="H988" t="s"/>
      <c r="I988" t="s"/>
      <c r="J988" t="n">
        <v>0.1779</v>
      </c>
      <c r="K988" t="n">
        <v>0.05</v>
      </c>
      <c r="L988" t="n">
        <v>0.883</v>
      </c>
      <c r="M988" t="n">
        <v>0.067</v>
      </c>
    </row>
    <row r="989" spans="1:13">
      <c r="A989" s="1">
        <f>HYPERLINK("http://www.twitter.com/NathanBLawrence/status/993168786701340673", "993168786701340673")</f>
        <v/>
      </c>
      <c r="B989" s="2" t="n">
        <v>43226.69519675926</v>
      </c>
      <c r="C989" t="n">
        <v>0</v>
      </c>
      <c r="D989" t="n">
        <v>0</v>
      </c>
      <c r="E989" t="s">
        <v>999</v>
      </c>
      <c r="F989" t="s"/>
      <c r="G989" t="s"/>
      <c r="H989" t="s"/>
      <c r="I989" t="s"/>
      <c r="J989" t="n">
        <v>0.6808</v>
      </c>
      <c r="K989" t="n">
        <v>0.044</v>
      </c>
      <c r="L989" t="n">
        <v>0.795</v>
      </c>
      <c r="M989" t="n">
        <v>0.161</v>
      </c>
    </row>
    <row r="990" spans="1:13">
      <c r="A990" s="1">
        <f>HYPERLINK("http://www.twitter.com/NathanBLawrence/status/993167177212710912", "993167177212710912")</f>
        <v/>
      </c>
      <c r="B990" s="2" t="n">
        <v>43226.69075231482</v>
      </c>
      <c r="C990" t="n">
        <v>1</v>
      </c>
      <c r="D990" t="n">
        <v>0</v>
      </c>
      <c r="E990" t="s">
        <v>1000</v>
      </c>
      <c r="F990" t="s"/>
      <c r="G990" t="s"/>
      <c r="H990" t="s"/>
      <c r="I990" t="s"/>
      <c r="J990" t="n">
        <v>0.7269</v>
      </c>
      <c r="K990" t="n">
        <v>0.024</v>
      </c>
      <c r="L990" t="n">
        <v>0.87</v>
      </c>
      <c r="M990" t="n">
        <v>0.106</v>
      </c>
    </row>
    <row r="991" spans="1:13">
      <c r="A991" s="1">
        <f>HYPERLINK("http://www.twitter.com/NathanBLawrence/status/993165037425577984", "993165037425577984")</f>
        <v/>
      </c>
      <c r="B991" s="2" t="n">
        <v>43226.68484953704</v>
      </c>
      <c r="C991" t="n">
        <v>2</v>
      </c>
      <c r="D991" t="n">
        <v>1</v>
      </c>
      <c r="E991" t="s">
        <v>1001</v>
      </c>
      <c r="F991" t="s"/>
      <c r="G991" t="s"/>
      <c r="H991" t="s"/>
      <c r="I991" t="s"/>
      <c r="J991" t="n">
        <v>0</v>
      </c>
      <c r="K991" t="n">
        <v>0</v>
      </c>
      <c r="L991" t="n">
        <v>1</v>
      </c>
      <c r="M991" t="n">
        <v>0</v>
      </c>
    </row>
    <row r="992" spans="1:13">
      <c r="A992" s="1">
        <f>HYPERLINK("http://www.twitter.com/NathanBLawrence/status/993162080319672325", "993162080319672325")</f>
        <v/>
      </c>
      <c r="B992" s="2" t="n">
        <v>43226.67668981481</v>
      </c>
      <c r="C992" t="n">
        <v>2</v>
      </c>
      <c r="D992" t="n">
        <v>0</v>
      </c>
      <c r="E992" t="s">
        <v>1002</v>
      </c>
      <c r="F992">
        <f>HYPERLINK("http://pbs.twimg.com/media/DchrpOSVwAE4tk5.jpg", "http://pbs.twimg.com/media/DchrpOSVwAE4tk5.jpg")</f>
        <v/>
      </c>
      <c r="G992" t="s"/>
      <c r="H992" t="s"/>
      <c r="I992" t="s"/>
      <c r="J992" t="n">
        <v>-0.4871</v>
      </c>
      <c r="K992" t="n">
        <v>0.112</v>
      </c>
      <c r="L992" t="n">
        <v>0.888</v>
      </c>
      <c r="M992" t="n">
        <v>0</v>
      </c>
    </row>
    <row r="993" spans="1:13">
      <c r="A993" s="1">
        <f>HYPERLINK("http://www.twitter.com/NathanBLawrence/status/993158123748773889", "993158123748773889")</f>
        <v/>
      </c>
      <c r="B993" s="2" t="n">
        <v>43226.66577546296</v>
      </c>
      <c r="C993" t="n">
        <v>9</v>
      </c>
      <c r="D993" t="n">
        <v>4</v>
      </c>
      <c r="E993" t="s">
        <v>1003</v>
      </c>
      <c r="F993" t="s"/>
      <c r="G993" t="s"/>
      <c r="H993" t="s"/>
      <c r="I993" t="s"/>
      <c r="J993" t="n">
        <v>-0.4019</v>
      </c>
      <c r="K993" t="n">
        <v>0.278</v>
      </c>
      <c r="L993" t="n">
        <v>0.722</v>
      </c>
      <c r="M993" t="n">
        <v>0</v>
      </c>
    </row>
    <row r="994" spans="1:13">
      <c r="A994" s="1">
        <f>HYPERLINK("http://www.twitter.com/NathanBLawrence/status/993156680736296961", "993156680736296961")</f>
        <v/>
      </c>
      <c r="B994" s="2" t="n">
        <v>43226.66179398148</v>
      </c>
      <c r="C994" t="n">
        <v>2</v>
      </c>
      <c r="D994" t="n">
        <v>0</v>
      </c>
      <c r="E994" t="s">
        <v>1004</v>
      </c>
      <c r="F994" t="s"/>
      <c r="G994" t="s"/>
      <c r="H994" t="s"/>
      <c r="I994" t="s"/>
      <c r="J994" t="n">
        <v>0.5106000000000001</v>
      </c>
      <c r="K994" t="n">
        <v>0</v>
      </c>
      <c r="L994" t="n">
        <v>0.752</v>
      </c>
      <c r="M994" t="n">
        <v>0.248</v>
      </c>
    </row>
    <row r="995" spans="1:13">
      <c r="A995" s="1">
        <f>HYPERLINK("http://www.twitter.com/NathanBLawrence/status/993144761921007616", "993144761921007616")</f>
        <v/>
      </c>
      <c r="B995" s="2" t="n">
        <v>43226.62890046297</v>
      </c>
      <c r="C995" t="n">
        <v>3</v>
      </c>
      <c r="D995" t="n">
        <v>2</v>
      </c>
      <c r="E995" t="s">
        <v>1005</v>
      </c>
      <c r="F995" t="s"/>
      <c r="G995" t="s"/>
      <c r="H995" t="s"/>
      <c r="I995" t="s"/>
      <c r="J995" t="n">
        <v>-0.5994</v>
      </c>
      <c r="K995" t="n">
        <v>0.171</v>
      </c>
      <c r="L995" t="n">
        <v>0.776</v>
      </c>
      <c r="M995" t="n">
        <v>0.053</v>
      </c>
    </row>
    <row r="996" spans="1:13">
      <c r="A996" s="1">
        <f>HYPERLINK("http://www.twitter.com/NathanBLawrence/status/993144436912685058", "993144436912685058")</f>
        <v/>
      </c>
      <c r="B996" s="2" t="n">
        <v>43226.62800925926</v>
      </c>
      <c r="C996" t="n">
        <v>0</v>
      </c>
      <c r="D996" t="n">
        <v>0</v>
      </c>
      <c r="E996" t="s">
        <v>1006</v>
      </c>
      <c r="F996" t="s"/>
      <c r="G996" t="s"/>
      <c r="H996" t="s"/>
      <c r="I996" t="s"/>
      <c r="J996" t="n">
        <v>0</v>
      </c>
      <c r="K996" t="n">
        <v>0</v>
      </c>
      <c r="L996" t="n">
        <v>1</v>
      </c>
      <c r="M996" t="n">
        <v>0</v>
      </c>
    </row>
    <row r="997" spans="1:13">
      <c r="A997" s="1">
        <f>HYPERLINK("http://www.twitter.com/NathanBLawrence/status/993134636762099713", "993134636762099713")</f>
        <v/>
      </c>
      <c r="B997" s="2" t="n">
        <v>43226.60096064815</v>
      </c>
      <c r="C997" t="n">
        <v>1</v>
      </c>
      <c r="D997" t="n">
        <v>0</v>
      </c>
      <c r="E997" t="s">
        <v>1007</v>
      </c>
      <c r="F997" t="s"/>
      <c r="G997" t="s"/>
      <c r="H997" t="s"/>
      <c r="I997" t="s"/>
      <c r="J997" t="n">
        <v>-0.4939</v>
      </c>
      <c r="K997" t="n">
        <v>0.148</v>
      </c>
      <c r="L997" t="n">
        <v>0.792</v>
      </c>
      <c r="M997" t="n">
        <v>0.06</v>
      </c>
    </row>
    <row r="998" spans="1:13">
      <c r="A998" s="1">
        <f>HYPERLINK("http://www.twitter.com/NathanBLawrence/status/993133712316555264", "993133712316555264")</f>
        <v/>
      </c>
      <c r="B998" s="2" t="n">
        <v>43226.59841435185</v>
      </c>
      <c r="C998" t="n">
        <v>3</v>
      </c>
      <c r="D998" t="n">
        <v>1</v>
      </c>
      <c r="E998" t="s">
        <v>1008</v>
      </c>
      <c r="F998" t="s"/>
      <c r="G998" t="s"/>
      <c r="H998" t="s"/>
      <c r="I998" t="s"/>
      <c r="J998" t="n">
        <v>0</v>
      </c>
      <c r="K998" t="n">
        <v>0</v>
      </c>
      <c r="L998" t="n">
        <v>1</v>
      </c>
      <c r="M998" t="n">
        <v>0</v>
      </c>
    </row>
    <row r="999" spans="1:13">
      <c r="A999" s="1">
        <f>HYPERLINK("http://www.twitter.com/NathanBLawrence/status/993133288343654402", "993133288343654402")</f>
        <v/>
      </c>
      <c r="B999" s="2" t="n">
        <v>43226.59724537037</v>
      </c>
      <c r="C999" t="n">
        <v>5</v>
      </c>
      <c r="D999" t="n">
        <v>3</v>
      </c>
      <c r="E999" t="s">
        <v>1009</v>
      </c>
      <c r="F999" t="s"/>
      <c r="G999" t="s"/>
      <c r="H999" t="s"/>
      <c r="I999" t="s"/>
      <c r="J999" t="n">
        <v>0.5994</v>
      </c>
      <c r="K999" t="n">
        <v>0</v>
      </c>
      <c r="L999" t="n">
        <v>0.606</v>
      </c>
      <c r="M999" t="n">
        <v>0.394</v>
      </c>
    </row>
    <row r="1000" spans="1:13">
      <c r="A1000" s="1">
        <f>HYPERLINK("http://www.twitter.com/NathanBLawrence/status/993131178646556672", "993131178646556672")</f>
        <v/>
      </c>
      <c r="B1000" s="2" t="n">
        <v>43226.59142361111</v>
      </c>
      <c r="C1000" t="n">
        <v>2</v>
      </c>
      <c r="D1000" t="n">
        <v>0</v>
      </c>
      <c r="E1000" t="s">
        <v>1010</v>
      </c>
      <c r="F1000" t="s"/>
      <c r="G1000" t="s"/>
      <c r="H1000" t="s"/>
      <c r="I1000" t="s"/>
      <c r="J1000" t="n">
        <v>0.7974</v>
      </c>
      <c r="K1000" t="n">
        <v>0.027</v>
      </c>
      <c r="L1000" t="n">
        <v>0.799</v>
      </c>
      <c r="M1000" t="n">
        <v>0.174</v>
      </c>
    </row>
    <row r="1001" spans="1:13">
      <c r="A1001" s="1">
        <f>HYPERLINK("http://www.twitter.com/NathanBLawrence/status/993128037083426816", "993128037083426816")</f>
        <v/>
      </c>
      <c r="B1001" s="2" t="n">
        <v>43226.58275462963</v>
      </c>
      <c r="C1001" t="n">
        <v>0</v>
      </c>
      <c r="D1001" t="n">
        <v>2</v>
      </c>
      <c r="E1001" t="s">
        <v>1011</v>
      </c>
      <c r="F1001" t="s"/>
      <c r="G1001" t="s"/>
      <c r="H1001" t="s"/>
      <c r="I1001" t="s"/>
      <c r="J1001" t="n">
        <v>0</v>
      </c>
      <c r="K1001" t="n">
        <v>0</v>
      </c>
      <c r="L1001" t="n">
        <v>1</v>
      </c>
      <c r="M1001" t="n">
        <v>0</v>
      </c>
    </row>
    <row r="1002" spans="1:13">
      <c r="A1002" s="1">
        <f>HYPERLINK("http://www.twitter.com/NathanBLawrence/status/993127878463229953", "993127878463229953")</f>
        <v/>
      </c>
      <c r="B1002" s="2" t="n">
        <v>43226.58231481481</v>
      </c>
      <c r="C1002" t="n">
        <v>1</v>
      </c>
      <c r="D1002" t="n">
        <v>0</v>
      </c>
      <c r="E1002" t="s">
        <v>1012</v>
      </c>
      <c r="F1002" t="s"/>
      <c r="G1002" t="s"/>
      <c r="H1002" t="s"/>
      <c r="I1002" t="s"/>
      <c r="J1002" t="n">
        <v>0</v>
      </c>
      <c r="K1002" t="n">
        <v>0</v>
      </c>
      <c r="L1002" t="n">
        <v>1</v>
      </c>
      <c r="M1002" t="n">
        <v>0</v>
      </c>
    </row>
    <row r="1003" spans="1:13">
      <c r="A1003" s="1">
        <f>HYPERLINK("http://www.twitter.com/NathanBLawrence/status/993127729414524928", "993127729414524928")</f>
        <v/>
      </c>
      <c r="B1003" s="2" t="n">
        <v>43226.58189814815</v>
      </c>
      <c r="C1003" t="n">
        <v>0</v>
      </c>
      <c r="D1003" t="n">
        <v>1</v>
      </c>
      <c r="E1003" t="s">
        <v>1013</v>
      </c>
      <c r="F1003" t="s"/>
      <c r="G1003" t="s"/>
      <c r="H1003" t="s"/>
      <c r="I1003" t="s"/>
      <c r="J1003" t="n">
        <v>-0.7717000000000001</v>
      </c>
      <c r="K1003" t="n">
        <v>0.31</v>
      </c>
      <c r="L1003" t="n">
        <v>0.606</v>
      </c>
      <c r="M1003" t="n">
        <v>0.08400000000000001</v>
      </c>
    </row>
    <row r="1004" spans="1:13">
      <c r="A1004" s="1">
        <f>HYPERLINK("http://www.twitter.com/NathanBLawrence/status/993127701962739712", "993127701962739712")</f>
        <v/>
      </c>
      <c r="B1004" s="2" t="n">
        <v>43226.5818287037</v>
      </c>
      <c r="C1004" t="n">
        <v>2</v>
      </c>
      <c r="D1004" t="n">
        <v>0</v>
      </c>
      <c r="E1004" t="s">
        <v>1014</v>
      </c>
      <c r="F1004" t="s"/>
      <c r="G1004" t="s"/>
      <c r="H1004" t="s"/>
      <c r="I1004" t="s"/>
      <c r="J1004" t="n">
        <v>-0.2056</v>
      </c>
      <c r="K1004" t="n">
        <v>0.208</v>
      </c>
      <c r="L1004" t="n">
        <v>0.626</v>
      </c>
      <c r="M1004" t="n">
        <v>0.166</v>
      </c>
    </row>
    <row r="1005" spans="1:13">
      <c r="A1005" s="1">
        <f>HYPERLINK("http://www.twitter.com/NathanBLawrence/status/993120699211567105", "993120699211567105")</f>
        <v/>
      </c>
      <c r="B1005" s="2" t="n">
        <v>43226.5625</v>
      </c>
      <c r="C1005" t="n">
        <v>0</v>
      </c>
      <c r="D1005" t="n">
        <v>1</v>
      </c>
      <c r="E1005" t="s">
        <v>1015</v>
      </c>
      <c r="F1005" t="s"/>
      <c r="G1005" t="s"/>
      <c r="H1005" t="s"/>
      <c r="I1005" t="s"/>
      <c r="J1005" t="n">
        <v>0.1695</v>
      </c>
      <c r="K1005" t="n">
        <v>0.073</v>
      </c>
      <c r="L1005" t="n">
        <v>0.824</v>
      </c>
      <c r="M1005" t="n">
        <v>0.103</v>
      </c>
    </row>
    <row r="1006" spans="1:13">
      <c r="A1006" s="1">
        <f>HYPERLINK("http://www.twitter.com/NathanBLawrence/status/993120646048763904", "993120646048763904")</f>
        <v/>
      </c>
      <c r="B1006" s="2" t="n">
        <v>43226.56234953704</v>
      </c>
      <c r="C1006" t="n">
        <v>1</v>
      </c>
      <c r="D1006" t="n">
        <v>1</v>
      </c>
      <c r="E1006" t="s">
        <v>1016</v>
      </c>
      <c r="F1006" t="s"/>
      <c r="G1006" t="s"/>
      <c r="H1006" t="s"/>
      <c r="I1006" t="s"/>
      <c r="J1006" t="n">
        <v>-0.5562</v>
      </c>
      <c r="K1006" t="n">
        <v>0.205</v>
      </c>
      <c r="L1006" t="n">
        <v>0.676</v>
      </c>
      <c r="M1006" t="n">
        <v>0.118</v>
      </c>
    </row>
    <row r="1007" spans="1:13">
      <c r="A1007" s="1">
        <f>HYPERLINK("http://www.twitter.com/NathanBLawrence/status/993119654406221824", "993119654406221824")</f>
        <v/>
      </c>
      <c r="B1007" s="2" t="n">
        <v>43226.55961805556</v>
      </c>
      <c r="C1007" t="n">
        <v>2</v>
      </c>
      <c r="D1007" t="n">
        <v>1</v>
      </c>
      <c r="E1007" t="s">
        <v>1017</v>
      </c>
      <c r="F1007" t="s"/>
      <c r="G1007" t="s"/>
      <c r="H1007" t="s"/>
      <c r="I1007" t="s"/>
      <c r="J1007" t="n">
        <v>-0.9208</v>
      </c>
      <c r="K1007" t="n">
        <v>0.227</v>
      </c>
      <c r="L1007" t="n">
        <v>0.744</v>
      </c>
      <c r="M1007" t="n">
        <v>0.028</v>
      </c>
    </row>
    <row r="1008" spans="1:13">
      <c r="A1008" s="1">
        <f>HYPERLINK("http://www.twitter.com/NathanBLawrence/status/993118041062985728", "993118041062985728")</f>
        <v/>
      </c>
      <c r="B1008" s="2" t="n">
        <v>43226.55516203704</v>
      </c>
      <c r="C1008" t="n">
        <v>0</v>
      </c>
      <c r="D1008" t="n">
        <v>1</v>
      </c>
      <c r="E1008" t="s">
        <v>1018</v>
      </c>
      <c r="F1008" t="s"/>
      <c r="G1008" t="s"/>
      <c r="H1008" t="s"/>
      <c r="I1008" t="s"/>
      <c r="J1008" t="n">
        <v>-0.4601</v>
      </c>
      <c r="K1008" t="n">
        <v>0.234</v>
      </c>
      <c r="L1008" t="n">
        <v>0.603</v>
      </c>
      <c r="M1008" t="n">
        <v>0.163</v>
      </c>
    </row>
    <row r="1009" spans="1:13">
      <c r="A1009" s="1">
        <f>HYPERLINK("http://www.twitter.com/NathanBLawrence/status/993116701414838274", "993116701414838274")</f>
        <v/>
      </c>
      <c r="B1009" s="2" t="n">
        <v>43226.5514699074</v>
      </c>
      <c r="C1009" t="n">
        <v>1</v>
      </c>
      <c r="D1009" t="n">
        <v>0</v>
      </c>
      <c r="E1009" t="s">
        <v>1019</v>
      </c>
      <c r="F1009" t="s"/>
      <c r="G1009" t="s"/>
      <c r="H1009" t="s"/>
      <c r="I1009" t="s"/>
      <c r="J1009" t="n">
        <v>0</v>
      </c>
      <c r="K1009" t="n">
        <v>0</v>
      </c>
      <c r="L1009" t="n">
        <v>1</v>
      </c>
      <c r="M1009" t="n">
        <v>0</v>
      </c>
    </row>
    <row r="1010" spans="1:13">
      <c r="A1010" s="1">
        <f>HYPERLINK("http://www.twitter.com/NathanBLawrence/status/993115904958484481", "993115904958484481")</f>
        <v/>
      </c>
      <c r="B1010" s="2" t="n">
        <v>43226.54927083333</v>
      </c>
      <c r="C1010" t="n">
        <v>1</v>
      </c>
      <c r="D1010" t="n">
        <v>0</v>
      </c>
      <c r="E1010" t="s">
        <v>1020</v>
      </c>
      <c r="F1010" t="s"/>
      <c r="G1010" t="s"/>
      <c r="H1010" t="s"/>
      <c r="I1010" t="s"/>
      <c r="J1010" t="n">
        <v>0</v>
      </c>
      <c r="K1010" t="n">
        <v>0</v>
      </c>
      <c r="L1010" t="n">
        <v>1</v>
      </c>
      <c r="M1010" t="n">
        <v>0</v>
      </c>
    </row>
    <row r="1011" spans="1:13">
      <c r="A1011" s="1">
        <f>HYPERLINK("http://www.twitter.com/NathanBLawrence/status/993113746548711425", "993113746548711425")</f>
        <v/>
      </c>
      <c r="B1011" s="2" t="n">
        <v>43226.54331018519</v>
      </c>
      <c r="C1011" t="n">
        <v>7</v>
      </c>
      <c r="D1011" t="n">
        <v>3</v>
      </c>
      <c r="E1011" t="s">
        <v>1021</v>
      </c>
      <c r="F1011" t="s"/>
      <c r="G1011" t="s"/>
      <c r="H1011" t="s"/>
      <c r="I1011" t="s"/>
      <c r="J1011" t="n">
        <v>-0.8728</v>
      </c>
      <c r="K1011" t="n">
        <v>0.233</v>
      </c>
      <c r="L1011" t="n">
        <v>0.6919999999999999</v>
      </c>
      <c r="M1011" t="n">
        <v>0.075</v>
      </c>
    </row>
    <row r="1012" spans="1:13">
      <c r="A1012" s="1">
        <f>HYPERLINK("http://www.twitter.com/NathanBLawrence/status/993111791818432513", "993111791818432513")</f>
        <v/>
      </c>
      <c r="B1012" s="2" t="n">
        <v>43226.53791666667</v>
      </c>
      <c r="C1012" t="n">
        <v>4</v>
      </c>
      <c r="D1012" t="n">
        <v>3</v>
      </c>
      <c r="E1012" t="s">
        <v>1022</v>
      </c>
      <c r="F1012" t="s"/>
      <c r="G1012" t="s"/>
      <c r="H1012" t="s"/>
      <c r="I1012" t="s"/>
      <c r="J1012" t="n">
        <v>-0.0772</v>
      </c>
      <c r="K1012" t="n">
        <v>0.171</v>
      </c>
      <c r="L1012" t="n">
        <v>0.679</v>
      </c>
      <c r="M1012" t="n">
        <v>0.15</v>
      </c>
    </row>
    <row r="1013" spans="1:13">
      <c r="A1013" s="1">
        <f>HYPERLINK("http://www.twitter.com/NathanBLawrence/status/993110715362873344", "993110715362873344")</f>
        <v/>
      </c>
      <c r="B1013" s="2" t="n">
        <v>43226.5349537037</v>
      </c>
      <c r="C1013" t="n">
        <v>8</v>
      </c>
      <c r="D1013" t="n">
        <v>6</v>
      </c>
      <c r="E1013" t="s">
        <v>1023</v>
      </c>
      <c r="F1013" t="s"/>
      <c r="G1013" t="s"/>
      <c r="H1013" t="s"/>
      <c r="I1013" t="s"/>
      <c r="J1013" t="n">
        <v>-0.9337</v>
      </c>
      <c r="K1013" t="n">
        <v>0.303</v>
      </c>
      <c r="L1013" t="n">
        <v>0.697</v>
      </c>
      <c r="M1013" t="n">
        <v>0</v>
      </c>
    </row>
    <row r="1014" spans="1:13">
      <c r="A1014" s="1">
        <f>HYPERLINK("http://www.twitter.com/NathanBLawrence/status/993108367357988865", "993108367357988865")</f>
        <v/>
      </c>
      <c r="B1014" s="2" t="n">
        <v>43226.52847222222</v>
      </c>
      <c r="C1014" t="n">
        <v>9</v>
      </c>
      <c r="D1014" t="n">
        <v>11</v>
      </c>
      <c r="E1014" t="s">
        <v>1024</v>
      </c>
      <c r="F1014" t="s"/>
      <c r="G1014" t="s"/>
      <c r="H1014" t="s"/>
      <c r="I1014" t="s"/>
      <c r="J1014" t="n">
        <v>-0.3578</v>
      </c>
      <c r="K1014" t="n">
        <v>0.081</v>
      </c>
      <c r="L1014" t="n">
        <v>0.919</v>
      </c>
      <c r="M1014" t="n">
        <v>0</v>
      </c>
    </row>
    <row r="1015" spans="1:13">
      <c r="A1015" s="1">
        <f>HYPERLINK("http://www.twitter.com/NathanBLawrence/status/993107061423656963", "993107061423656963")</f>
        <v/>
      </c>
      <c r="B1015" s="2" t="n">
        <v>43226.52487268519</v>
      </c>
      <c r="C1015" t="n">
        <v>0</v>
      </c>
      <c r="D1015" t="n">
        <v>3</v>
      </c>
      <c r="E1015" t="s">
        <v>1025</v>
      </c>
      <c r="F1015" t="s"/>
      <c r="G1015" t="s"/>
      <c r="H1015" t="s"/>
      <c r="I1015" t="s"/>
      <c r="J1015" t="n">
        <v>0.5423</v>
      </c>
      <c r="K1015" t="n">
        <v>0</v>
      </c>
      <c r="L1015" t="n">
        <v>0.667</v>
      </c>
      <c r="M1015" t="n">
        <v>0.333</v>
      </c>
    </row>
    <row r="1016" spans="1:13">
      <c r="A1016" s="1">
        <f>HYPERLINK("http://www.twitter.com/NathanBLawrence/status/993097445449052160", "993097445449052160")</f>
        <v/>
      </c>
      <c r="B1016" s="2" t="n">
        <v>43226.49833333334</v>
      </c>
      <c r="C1016" t="n">
        <v>0</v>
      </c>
      <c r="D1016" t="n">
        <v>0</v>
      </c>
      <c r="E1016" t="s">
        <v>1026</v>
      </c>
      <c r="F1016" t="s"/>
      <c r="G1016" t="s"/>
      <c r="H1016" t="s"/>
      <c r="I1016" t="s"/>
      <c r="J1016" t="n">
        <v>0.3802</v>
      </c>
      <c r="K1016" t="n">
        <v>0</v>
      </c>
      <c r="L1016" t="n">
        <v>0.906</v>
      </c>
      <c r="M1016" t="n">
        <v>0.094</v>
      </c>
    </row>
    <row r="1017" spans="1:13">
      <c r="A1017" s="1">
        <f>HYPERLINK("http://www.twitter.com/NathanBLawrence/status/993096428825272320", "993096428825272320")</f>
        <v/>
      </c>
      <c r="B1017" s="2" t="n">
        <v>43226.49553240741</v>
      </c>
      <c r="C1017" t="n">
        <v>1</v>
      </c>
      <c r="D1017" t="n">
        <v>0</v>
      </c>
      <c r="E1017" t="s">
        <v>1027</v>
      </c>
      <c r="F1017" t="s"/>
      <c r="G1017" t="s"/>
      <c r="H1017" t="s"/>
      <c r="I1017" t="s"/>
      <c r="J1017" t="n">
        <v>0.4926</v>
      </c>
      <c r="K1017" t="n">
        <v>0</v>
      </c>
      <c r="L1017" t="n">
        <v>0.9350000000000001</v>
      </c>
      <c r="M1017" t="n">
        <v>0.065</v>
      </c>
    </row>
    <row r="1018" spans="1:13">
      <c r="A1018" s="1">
        <f>HYPERLINK("http://www.twitter.com/NathanBLawrence/status/992972434168078337", "992972434168078337")</f>
        <v/>
      </c>
      <c r="B1018" s="2" t="n">
        <v>43226.15336805556</v>
      </c>
      <c r="C1018" t="n">
        <v>2</v>
      </c>
      <c r="D1018" t="n">
        <v>1</v>
      </c>
      <c r="E1018" t="s">
        <v>1028</v>
      </c>
      <c r="F1018" t="s"/>
      <c r="G1018" t="s"/>
      <c r="H1018" t="s"/>
      <c r="I1018" t="s"/>
      <c r="J1018" t="n">
        <v>0.6597</v>
      </c>
      <c r="K1018" t="n">
        <v>0</v>
      </c>
      <c r="L1018" t="n">
        <v>0.481</v>
      </c>
      <c r="M1018" t="n">
        <v>0.519</v>
      </c>
    </row>
    <row r="1019" spans="1:13">
      <c r="A1019" s="1">
        <f>HYPERLINK("http://www.twitter.com/NathanBLawrence/status/992952112068923397", "992952112068923397")</f>
        <v/>
      </c>
      <c r="B1019" s="2" t="n">
        <v>43226.09729166667</v>
      </c>
      <c r="C1019" t="n">
        <v>1</v>
      </c>
      <c r="D1019" t="n">
        <v>0</v>
      </c>
      <c r="E1019" t="s">
        <v>1029</v>
      </c>
      <c r="F1019" t="s"/>
      <c r="G1019" t="s"/>
      <c r="H1019" t="s"/>
      <c r="I1019" t="s"/>
      <c r="J1019" t="n">
        <v>0</v>
      </c>
      <c r="K1019" t="n">
        <v>0</v>
      </c>
      <c r="L1019" t="n">
        <v>1</v>
      </c>
      <c r="M1019" t="n">
        <v>0</v>
      </c>
    </row>
    <row r="1020" spans="1:13">
      <c r="A1020" s="1">
        <f>HYPERLINK("http://www.twitter.com/NathanBLawrence/status/992940370215481345", "992940370215481345")</f>
        <v/>
      </c>
      <c r="B1020" s="2" t="n">
        <v>43226.06488425926</v>
      </c>
      <c r="C1020" t="n">
        <v>0</v>
      </c>
      <c r="D1020" t="n">
        <v>1</v>
      </c>
      <c r="E1020" t="s">
        <v>1030</v>
      </c>
      <c r="F1020">
        <f>HYPERLINK("http://pbs.twimg.com/media/Dcc51HpU0AAJUIP.jpg", "http://pbs.twimg.com/media/Dcc51HpU0AAJUIP.jpg")</f>
        <v/>
      </c>
      <c r="G1020" t="s"/>
      <c r="H1020" t="s"/>
      <c r="I1020" t="s"/>
      <c r="J1020" t="n">
        <v>0</v>
      </c>
      <c r="K1020" t="n">
        <v>0</v>
      </c>
      <c r="L1020" t="n">
        <v>1</v>
      </c>
      <c r="M1020" t="n">
        <v>0</v>
      </c>
    </row>
    <row r="1021" spans="1:13">
      <c r="A1021" s="1">
        <f>HYPERLINK("http://www.twitter.com/NathanBLawrence/status/992890412586201088", "992890412586201088")</f>
        <v/>
      </c>
      <c r="B1021" s="2" t="n">
        <v>43225.92703703704</v>
      </c>
      <c r="C1021" t="n">
        <v>0</v>
      </c>
      <c r="D1021" t="n">
        <v>14</v>
      </c>
      <c r="E1021" t="s">
        <v>1031</v>
      </c>
      <c r="F1021" t="s"/>
      <c r="G1021" t="s"/>
      <c r="H1021" t="s"/>
      <c r="I1021" t="s"/>
      <c r="J1021" t="n">
        <v>-0.5255</v>
      </c>
      <c r="K1021" t="n">
        <v>0.159</v>
      </c>
      <c r="L1021" t="n">
        <v>0.841</v>
      </c>
      <c r="M1021" t="n">
        <v>0</v>
      </c>
    </row>
    <row r="1022" spans="1:13">
      <c r="A1022" s="1">
        <f>HYPERLINK("http://www.twitter.com/NathanBLawrence/status/992869715335958529", "992869715335958529")</f>
        <v/>
      </c>
      <c r="B1022" s="2" t="n">
        <v>43225.86991898148</v>
      </c>
      <c r="C1022" t="n">
        <v>0</v>
      </c>
      <c r="D1022" t="n">
        <v>1</v>
      </c>
      <c r="E1022" t="s">
        <v>1032</v>
      </c>
      <c r="F1022" t="s"/>
      <c r="G1022" t="s"/>
      <c r="H1022" t="s"/>
      <c r="I1022" t="s"/>
      <c r="J1022" t="n">
        <v>-0.296</v>
      </c>
      <c r="K1022" t="n">
        <v>0.136</v>
      </c>
      <c r="L1022" t="n">
        <v>0.864</v>
      </c>
      <c r="M1022" t="n">
        <v>0</v>
      </c>
    </row>
    <row r="1023" spans="1:13">
      <c r="A1023" s="1">
        <f>HYPERLINK("http://www.twitter.com/NathanBLawrence/status/992869422049132545", "992869422049132545")</f>
        <v/>
      </c>
      <c r="B1023" s="2" t="n">
        <v>43225.86910879629</v>
      </c>
      <c r="C1023" t="n">
        <v>0</v>
      </c>
      <c r="D1023" t="n">
        <v>0</v>
      </c>
      <c r="E1023" t="s">
        <v>1033</v>
      </c>
      <c r="F1023" t="s"/>
      <c r="G1023" t="s"/>
      <c r="H1023" t="s"/>
      <c r="I1023" t="s"/>
      <c r="J1023" t="n">
        <v>0</v>
      </c>
      <c r="K1023" t="n">
        <v>0</v>
      </c>
      <c r="L1023" t="n">
        <v>1</v>
      </c>
      <c r="M1023" t="n">
        <v>0</v>
      </c>
    </row>
    <row r="1024" spans="1:13">
      <c r="A1024" s="1">
        <f>HYPERLINK("http://www.twitter.com/NathanBLawrence/status/992869258051940353", "992869258051940353")</f>
        <v/>
      </c>
      <c r="B1024" s="2" t="n">
        <v>43225.86865740741</v>
      </c>
      <c r="C1024" t="n">
        <v>0</v>
      </c>
      <c r="D1024" t="n">
        <v>0</v>
      </c>
      <c r="E1024" t="s">
        <v>1034</v>
      </c>
      <c r="F1024" t="s"/>
      <c r="G1024" t="s"/>
      <c r="H1024" t="s"/>
      <c r="I1024" t="s"/>
      <c r="J1024" t="n">
        <v>0</v>
      </c>
      <c r="K1024" t="n">
        <v>0</v>
      </c>
      <c r="L1024" t="n">
        <v>1</v>
      </c>
      <c r="M1024" t="n">
        <v>0</v>
      </c>
    </row>
    <row r="1025" spans="1:13">
      <c r="A1025" s="1">
        <f>HYPERLINK("http://www.twitter.com/NathanBLawrence/status/992846791690383360", "992846791690383360")</f>
        <v/>
      </c>
      <c r="B1025" s="2" t="n">
        <v>43225.80665509259</v>
      </c>
      <c r="C1025" t="n">
        <v>6</v>
      </c>
      <c r="D1025" t="n">
        <v>3</v>
      </c>
      <c r="E1025" t="s">
        <v>1035</v>
      </c>
      <c r="F1025" t="s"/>
      <c r="G1025" t="s"/>
      <c r="H1025" t="s"/>
      <c r="I1025" t="s"/>
      <c r="J1025" t="n">
        <v>0.168</v>
      </c>
      <c r="K1025" t="n">
        <v>0</v>
      </c>
      <c r="L1025" t="n">
        <v>0.946</v>
      </c>
      <c r="M1025" t="n">
        <v>0.054</v>
      </c>
    </row>
    <row r="1026" spans="1:13">
      <c r="A1026" s="1">
        <f>HYPERLINK("http://www.twitter.com/NathanBLawrence/status/992844917604052993", "992844917604052993")</f>
        <v/>
      </c>
      <c r="B1026" s="2" t="n">
        <v>43225.80149305556</v>
      </c>
      <c r="C1026" t="n">
        <v>0</v>
      </c>
      <c r="D1026" t="n">
        <v>1</v>
      </c>
      <c r="E1026" t="s">
        <v>1036</v>
      </c>
      <c r="F1026" t="s"/>
      <c r="G1026" t="s"/>
      <c r="H1026" t="s"/>
      <c r="I1026" t="s"/>
      <c r="J1026" t="n">
        <v>0.6369</v>
      </c>
      <c r="K1026" t="n">
        <v>0</v>
      </c>
      <c r="L1026" t="n">
        <v>0.856</v>
      </c>
      <c r="M1026" t="n">
        <v>0.144</v>
      </c>
    </row>
    <row r="1027" spans="1:13">
      <c r="A1027" s="1">
        <f>HYPERLINK("http://www.twitter.com/NathanBLawrence/status/992844836037414912", "992844836037414912")</f>
        <v/>
      </c>
      <c r="B1027" s="2" t="n">
        <v>43225.80126157407</v>
      </c>
      <c r="C1027" t="n">
        <v>0</v>
      </c>
      <c r="D1027" t="n">
        <v>2</v>
      </c>
      <c r="E1027" t="s">
        <v>1037</v>
      </c>
      <c r="F1027" t="s"/>
      <c r="G1027" t="s"/>
      <c r="H1027" t="s"/>
      <c r="I1027" t="s"/>
      <c r="J1027" t="n">
        <v>-0.2942</v>
      </c>
      <c r="K1027" t="n">
        <v>0.135</v>
      </c>
      <c r="L1027" t="n">
        <v>0.779</v>
      </c>
      <c r="M1027" t="n">
        <v>0.08599999999999999</v>
      </c>
    </row>
    <row r="1028" spans="1:13">
      <c r="A1028" s="1">
        <f>HYPERLINK("http://www.twitter.com/NathanBLawrence/status/992836704485683200", "992836704485683200")</f>
        <v/>
      </c>
      <c r="B1028" s="2" t="n">
        <v>43225.77883101852</v>
      </c>
      <c r="C1028" t="n">
        <v>0</v>
      </c>
      <c r="D1028" t="n">
        <v>15</v>
      </c>
      <c r="E1028" t="s">
        <v>1038</v>
      </c>
      <c r="F1028">
        <f>HYPERLINK("http://pbs.twimg.com/media/Dcc5D3PVMAApE-A.jpg", "http://pbs.twimg.com/media/Dcc5D3PVMAApE-A.jpg")</f>
        <v/>
      </c>
      <c r="G1028" t="s"/>
      <c r="H1028" t="s"/>
      <c r="I1028" t="s"/>
      <c r="J1028" t="n">
        <v>0.4588</v>
      </c>
      <c r="K1028" t="n">
        <v>0.058</v>
      </c>
      <c r="L1028" t="n">
        <v>0.796</v>
      </c>
      <c r="M1028" t="n">
        <v>0.146</v>
      </c>
    </row>
    <row r="1029" spans="1:13">
      <c r="A1029" s="1">
        <f>HYPERLINK("http://www.twitter.com/NathanBLawrence/status/992820894887182339", "992820894887182339")</f>
        <v/>
      </c>
      <c r="B1029" s="2" t="n">
        <v>43225.73519675926</v>
      </c>
      <c r="C1029" t="n">
        <v>0</v>
      </c>
      <c r="D1029" t="n">
        <v>8</v>
      </c>
      <c r="E1029" t="s">
        <v>1039</v>
      </c>
      <c r="F1029">
        <f>HYPERLINK("http://pbs.twimg.com/media/Dcc0jb6U8AUXyGr.jpg", "http://pbs.twimg.com/media/Dcc0jb6U8AUXyGr.jpg")</f>
        <v/>
      </c>
      <c r="G1029" t="s"/>
      <c r="H1029" t="s"/>
      <c r="I1029" t="s"/>
      <c r="J1029" t="n">
        <v>-0.7906</v>
      </c>
      <c r="K1029" t="n">
        <v>0.259</v>
      </c>
      <c r="L1029" t="n">
        <v>0.741</v>
      </c>
      <c r="M1029" t="n">
        <v>0</v>
      </c>
    </row>
    <row r="1030" spans="1:13">
      <c r="A1030" s="1">
        <f>HYPERLINK("http://www.twitter.com/NathanBLawrence/status/992808669849976832", "992808669849976832")</f>
        <v/>
      </c>
      <c r="B1030" s="2" t="n">
        <v>43225.70146990741</v>
      </c>
      <c r="C1030" t="n">
        <v>0</v>
      </c>
      <c r="D1030" t="n">
        <v>10</v>
      </c>
      <c r="E1030" t="s">
        <v>1040</v>
      </c>
      <c r="F1030">
        <f>HYPERLINK("http://pbs.twimg.com/media/DccUrJXV0AEIyFR.jpg", "http://pbs.twimg.com/media/DccUrJXV0AEIyFR.jpg")</f>
        <v/>
      </c>
      <c r="G1030" t="s"/>
      <c r="H1030" t="s"/>
      <c r="I1030" t="s"/>
      <c r="J1030" t="n">
        <v>0</v>
      </c>
      <c r="K1030" t="n">
        <v>0</v>
      </c>
      <c r="L1030" t="n">
        <v>1</v>
      </c>
      <c r="M1030" t="n">
        <v>0</v>
      </c>
    </row>
    <row r="1031" spans="1:13">
      <c r="A1031" s="1">
        <f>HYPERLINK("http://www.twitter.com/NathanBLawrence/status/992789791669391360", "992789791669391360")</f>
        <v/>
      </c>
      <c r="B1031" s="2" t="n">
        <v>43225.649375</v>
      </c>
      <c r="C1031" t="n">
        <v>0</v>
      </c>
      <c r="D1031" t="n">
        <v>1</v>
      </c>
      <c r="E1031" t="s">
        <v>1041</v>
      </c>
      <c r="F1031" t="s"/>
      <c r="G1031" t="s"/>
      <c r="H1031" t="s"/>
      <c r="I1031" t="s"/>
      <c r="J1031" t="n">
        <v>0.2396</v>
      </c>
      <c r="K1031" t="n">
        <v>0.129</v>
      </c>
      <c r="L1031" t="n">
        <v>0.704</v>
      </c>
      <c r="M1031" t="n">
        <v>0.167</v>
      </c>
    </row>
    <row r="1032" spans="1:13">
      <c r="A1032" s="1">
        <f>HYPERLINK("http://www.twitter.com/NathanBLawrence/status/992789722731892736", "992789722731892736")</f>
        <v/>
      </c>
      <c r="B1032" s="2" t="n">
        <v>43225.64917824074</v>
      </c>
      <c r="C1032" t="n">
        <v>1</v>
      </c>
      <c r="D1032" t="n">
        <v>0</v>
      </c>
      <c r="E1032" t="s">
        <v>1042</v>
      </c>
      <c r="F1032" t="s"/>
      <c r="G1032" t="s"/>
      <c r="H1032" t="s"/>
      <c r="I1032" t="s"/>
      <c r="J1032" t="n">
        <v>0.6124000000000001</v>
      </c>
      <c r="K1032" t="n">
        <v>0.089</v>
      </c>
      <c r="L1032" t="n">
        <v>0.658</v>
      </c>
      <c r="M1032" t="n">
        <v>0.253</v>
      </c>
    </row>
    <row r="1033" spans="1:13">
      <c r="A1033" s="1">
        <f>HYPERLINK("http://www.twitter.com/NathanBLawrence/status/992788289433239553", "992788289433239553")</f>
        <v/>
      </c>
      <c r="B1033" s="2" t="n">
        <v>43225.6452199074</v>
      </c>
      <c r="C1033" t="n">
        <v>0</v>
      </c>
      <c r="D1033" t="n">
        <v>3</v>
      </c>
      <c r="E1033" t="s">
        <v>1043</v>
      </c>
      <c r="F1033" t="s"/>
      <c r="G1033" t="s"/>
      <c r="H1033" t="s"/>
      <c r="I1033" t="s"/>
      <c r="J1033" t="n">
        <v>-0.7423999999999999</v>
      </c>
      <c r="K1033" t="n">
        <v>0.359</v>
      </c>
      <c r="L1033" t="n">
        <v>0.641</v>
      </c>
      <c r="M1033" t="n">
        <v>0</v>
      </c>
    </row>
    <row r="1034" spans="1:13">
      <c r="A1034" s="1">
        <f>HYPERLINK("http://www.twitter.com/NathanBLawrence/status/992785141511618560", "992785141511618560")</f>
        <v/>
      </c>
      <c r="B1034" s="2" t="n">
        <v>43225.63653935185</v>
      </c>
      <c r="C1034" t="n">
        <v>0</v>
      </c>
      <c r="D1034" t="n">
        <v>0</v>
      </c>
      <c r="E1034" t="s">
        <v>1044</v>
      </c>
      <c r="F1034" t="s"/>
      <c r="G1034" t="s"/>
      <c r="H1034" t="s"/>
      <c r="I1034" t="s"/>
      <c r="J1034" t="n">
        <v>0.2003</v>
      </c>
      <c r="K1034" t="n">
        <v>0.138</v>
      </c>
      <c r="L1034" t="n">
        <v>0.704</v>
      </c>
      <c r="M1034" t="n">
        <v>0.158</v>
      </c>
    </row>
    <row r="1035" spans="1:13">
      <c r="A1035" s="1">
        <f>HYPERLINK("http://www.twitter.com/NathanBLawrence/status/992784286716694528", "992784286716694528")</f>
        <v/>
      </c>
      <c r="B1035" s="2" t="n">
        <v>43225.63417824074</v>
      </c>
      <c r="C1035" t="n">
        <v>0</v>
      </c>
      <c r="D1035" t="n">
        <v>5</v>
      </c>
      <c r="E1035" t="s">
        <v>1045</v>
      </c>
      <c r="F1035" t="s"/>
      <c r="G1035" t="s"/>
      <c r="H1035" t="s"/>
      <c r="I1035" t="s"/>
      <c r="J1035" t="n">
        <v>-0.5574</v>
      </c>
      <c r="K1035" t="n">
        <v>0.18</v>
      </c>
      <c r="L1035" t="n">
        <v>0.82</v>
      </c>
      <c r="M1035" t="n">
        <v>0</v>
      </c>
    </row>
    <row r="1036" spans="1:13">
      <c r="A1036" s="1">
        <f>HYPERLINK("http://www.twitter.com/NathanBLawrence/status/992777726246387712", "992777726246387712")</f>
        <v/>
      </c>
      <c r="B1036" s="2" t="n">
        <v>43225.61607638889</v>
      </c>
      <c r="C1036" t="n">
        <v>10</v>
      </c>
      <c r="D1036" t="n">
        <v>8</v>
      </c>
      <c r="E1036" t="s">
        <v>1046</v>
      </c>
      <c r="F1036" t="s"/>
      <c r="G1036" t="s"/>
      <c r="H1036" t="s"/>
      <c r="I1036" t="s"/>
      <c r="J1036" t="n">
        <v>-0.8491</v>
      </c>
      <c r="K1036" t="n">
        <v>0.233</v>
      </c>
      <c r="L1036" t="n">
        <v>0.71</v>
      </c>
      <c r="M1036" t="n">
        <v>0.056</v>
      </c>
    </row>
    <row r="1037" spans="1:13">
      <c r="A1037" s="1">
        <f>HYPERLINK("http://www.twitter.com/NathanBLawrence/status/992768640767397888", "992768640767397888")</f>
        <v/>
      </c>
      <c r="B1037" s="2" t="n">
        <v>43225.59100694444</v>
      </c>
      <c r="C1037" t="n">
        <v>14</v>
      </c>
      <c r="D1037" t="n">
        <v>11</v>
      </c>
      <c r="E1037" t="s">
        <v>1047</v>
      </c>
      <c r="F1037">
        <f>HYPERLINK("http://pbs.twimg.com/media/DccF0CTVAAAoBYL.jpg", "http://pbs.twimg.com/media/DccF0CTVAAAoBYL.jpg")</f>
        <v/>
      </c>
      <c r="G1037" t="s"/>
      <c r="H1037" t="s"/>
      <c r="I1037" t="s"/>
      <c r="J1037" t="n">
        <v>0.1739</v>
      </c>
      <c r="K1037" t="n">
        <v>0.167</v>
      </c>
      <c r="L1037" t="n">
        <v>0.652</v>
      </c>
      <c r="M1037" t="n">
        <v>0.181</v>
      </c>
    </row>
    <row r="1038" spans="1:13">
      <c r="A1038" s="1">
        <f>HYPERLINK("http://www.twitter.com/NathanBLawrence/status/992736728350887936", "992736728350887936")</f>
        <v/>
      </c>
      <c r="B1038" s="2" t="n">
        <v>43225.50293981482</v>
      </c>
      <c r="C1038" t="n">
        <v>1</v>
      </c>
      <c r="D1038" t="n">
        <v>1</v>
      </c>
      <c r="E1038" t="s">
        <v>1048</v>
      </c>
      <c r="F1038" t="s"/>
      <c r="G1038" t="s"/>
      <c r="H1038" t="s"/>
      <c r="I1038" t="s"/>
      <c r="J1038" t="n">
        <v>0</v>
      </c>
      <c r="K1038" t="n">
        <v>0</v>
      </c>
      <c r="L1038" t="n">
        <v>1</v>
      </c>
      <c r="M1038" t="n">
        <v>0</v>
      </c>
    </row>
    <row r="1039" spans="1:13">
      <c r="A1039" s="1">
        <f>HYPERLINK("http://www.twitter.com/NathanBLawrence/status/992736374645280768", "992736374645280768")</f>
        <v/>
      </c>
      <c r="B1039" s="2" t="n">
        <v>43225.50196759259</v>
      </c>
      <c r="C1039" t="n">
        <v>0</v>
      </c>
      <c r="D1039" t="n">
        <v>1</v>
      </c>
      <c r="E1039" t="s">
        <v>1049</v>
      </c>
      <c r="F1039" t="s"/>
      <c r="G1039" t="s"/>
      <c r="H1039" t="s"/>
      <c r="I1039" t="s"/>
      <c r="J1039" t="n">
        <v>0</v>
      </c>
      <c r="K1039" t="n">
        <v>0</v>
      </c>
      <c r="L1039" t="n">
        <v>1</v>
      </c>
      <c r="M1039" t="n">
        <v>0</v>
      </c>
    </row>
    <row r="1040" spans="1:13">
      <c r="A1040" s="1">
        <f>HYPERLINK("http://www.twitter.com/NathanBLawrence/status/992734694855802880", "992734694855802880")</f>
        <v/>
      </c>
      <c r="B1040" s="2" t="n">
        <v>43225.49733796297</v>
      </c>
      <c r="C1040" t="n">
        <v>0</v>
      </c>
      <c r="D1040" t="n">
        <v>0</v>
      </c>
      <c r="E1040" t="s">
        <v>1050</v>
      </c>
      <c r="F1040" t="s"/>
      <c r="G1040" t="s"/>
      <c r="H1040" t="s"/>
      <c r="I1040" t="s"/>
      <c r="J1040" t="n">
        <v>0.9336</v>
      </c>
      <c r="K1040" t="n">
        <v>0</v>
      </c>
      <c r="L1040" t="n">
        <v>0.516</v>
      </c>
      <c r="M1040" t="n">
        <v>0.484</v>
      </c>
    </row>
    <row r="1041" spans="1:13">
      <c r="A1041" s="1">
        <f>HYPERLINK("http://www.twitter.com/NathanBLawrence/status/992731394513268736", "992731394513268736")</f>
        <v/>
      </c>
      <c r="B1041" s="2" t="n">
        <v>43225.48822916667</v>
      </c>
      <c r="C1041" t="n">
        <v>4</v>
      </c>
      <c r="D1041" t="n">
        <v>1</v>
      </c>
      <c r="E1041" t="s">
        <v>1051</v>
      </c>
      <c r="F1041" t="s"/>
      <c r="G1041" t="s"/>
      <c r="H1041" t="s"/>
      <c r="I1041" t="s"/>
      <c r="J1041" t="n">
        <v>0.7959000000000001</v>
      </c>
      <c r="K1041" t="n">
        <v>0.039</v>
      </c>
      <c r="L1041" t="n">
        <v>0.792</v>
      </c>
      <c r="M1041" t="n">
        <v>0.169</v>
      </c>
    </row>
    <row r="1042" spans="1:13">
      <c r="A1042" s="1">
        <f>HYPERLINK("http://www.twitter.com/NathanBLawrence/status/992728499592007680", "992728499592007680")</f>
        <v/>
      </c>
      <c r="B1042" s="2" t="n">
        <v>43225.48023148148</v>
      </c>
      <c r="C1042" t="n">
        <v>5</v>
      </c>
      <c r="D1042" t="n">
        <v>1</v>
      </c>
      <c r="E1042" t="s">
        <v>1052</v>
      </c>
      <c r="F1042" t="s"/>
      <c r="G1042" t="s"/>
      <c r="H1042" t="s"/>
      <c r="I1042" t="s"/>
      <c r="J1042" t="n">
        <v>0</v>
      </c>
      <c r="K1042" t="n">
        <v>0</v>
      </c>
      <c r="L1042" t="n">
        <v>1</v>
      </c>
      <c r="M1042" t="n">
        <v>0</v>
      </c>
    </row>
    <row r="1043" spans="1:13">
      <c r="A1043" s="1">
        <f>HYPERLINK("http://www.twitter.com/NathanBLawrence/status/992728227193016328", "992728227193016328")</f>
        <v/>
      </c>
      <c r="B1043" s="2" t="n">
        <v>43225.47949074074</v>
      </c>
      <c r="C1043" t="n">
        <v>5</v>
      </c>
      <c r="D1043" t="n">
        <v>0</v>
      </c>
      <c r="E1043" t="s">
        <v>1053</v>
      </c>
      <c r="F1043" t="s"/>
      <c r="G1043" t="s"/>
      <c r="H1043" t="s"/>
      <c r="I1043" t="s"/>
      <c r="J1043" t="n">
        <v>0.2732</v>
      </c>
      <c r="K1043" t="n">
        <v>0.065</v>
      </c>
      <c r="L1043" t="n">
        <v>0.823</v>
      </c>
      <c r="M1043" t="n">
        <v>0.113</v>
      </c>
    </row>
    <row r="1044" spans="1:13">
      <c r="A1044" s="1">
        <f>HYPERLINK("http://www.twitter.com/NathanBLawrence/status/992727213895188480", "992727213895188480")</f>
        <v/>
      </c>
      <c r="B1044" s="2" t="n">
        <v>43225.47668981482</v>
      </c>
      <c r="C1044" t="n">
        <v>0</v>
      </c>
      <c r="D1044" t="n">
        <v>0</v>
      </c>
      <c r="E1044" t="s">
        <v>1054</v>
      </c>
      <c r="F1044" t="s"/>
      <c r="G1044" t="s"/>
      <c r="H1044" t="s"/>
      <c r="I1044" t="s"/>
      <c r="J1044" t="n">
        <v>0.4069</v>
      </c>
      <c r="K1044" t="n">
        <v>0.074</v>
      </c>
      <c r="L1044" t="n">
        <v>0.791</v>
      </c>
      <c r="M1044" t="n">
        <v>0.136</v>
      </c>
    </row>
    <row r="1045" spans="1:13">
      <c r="A1045" s="1">
        <f>HYPERLINK("http://www.twitter.com/NathanBLawrence/status/992725385304526853", "992725385304526853")</f>
        <v/>
      </c>
      <c r="B1045" s="2" t="n">
        <v>43225.47164351852</v>
      </c>
      <c r="C1045" t="n">
        <v>7</v>
      </c>
      <c r="D1045" t="n">
        <v>1</v>
      </c>
      <c r="E1045" t="s">
        <v>1055</v>
      </c>
      <c r="F1045" t="s"/>
      <c r="G1045" t="s"/>
      <c r="H1045" t="s"/>
      <c r="I1045" t="s"/>
      <c r="J1045" t="n">
        <v>0.5994</v>
      </c>
      <c r="K1045" t="n">
        <v>0.053</v>
      </c>
      <c r="L1045" t="n">
        <v>0.8080000000000001</v>
      </c>
      <c r="M1045" t="n">
        <v>0.139</v>
      </c>
    </row>
    <row r="1046" spans="1:13">
      <c r="A1046" s="1">
        <f>HYPERLINK("http://www.twitter.com/NathanBLawrence/status/992622577972473857", "992622577972473857")</f>
        <v/>
      </c>
      <c r="B1046" s="2" t="n">
        <v>43225.18795138889</v>
      </c>
      <c r="C1046" t="n">
        <v>13</v>
      </c>
      <c r="D1046" t="n">
        <v>5</v>
      </c>
      <c r="E1046" t="s">
        <v>1056</v>
      </c>
      <c r="F1046" t="s"/>
      <c r="G1046" t="s"/>
      <c r="H1046" t="s"/>
      <c r="I1046" t="s"/>
      <c r="J1046" t="n">
        <v>0.836</v>
      </c>
      <c r="K1046" t="n">
        <v>0</v>
      </c>
      <c r="L1046" t="n">
        <v>0.553</v>
      </c>
      <c r="M1046" t="n">
        <v>0.447</v>
      </c>
    </row>
    <row r="1047" spans="1:13">
      <c r="A1047" s="1">
        <f>HYPERLINK("http://www.twitter.com/NathanBLawrence/status/992615937491775490", "992615937491775490")</f>
        <v/>
      </c>
      <c r="B1047" s="2" t="n">
        <v>43225.16962962963</v>
      </c>
      <c r="C1047" t="n">
        <v>0</v>
      </c>
      <c r="D1047" t="n">
        <v>0</v>
      </c>
      <c r="E1047" t="s">
        <v>1057</v>
      </c>
      <c r="F1047" t="s"/>
      <c r="G1047" t="s"/>
      <c r="H1047" t="s"/>
      <c r="I1047" t="s"/>
      <c r="J1047" t="n">
        <v>0</v>
      </c>
      <c r="K1047" t="n">
        <v>0</v>
      </c>
      <c r="L1047" t="n">
        <v>1</v>
      </c>
      <c r="M1047" t="n">
        <v>0</v>
      </c>
    </row>
    <row r="1048" spans="1:13">
      <c r="A1048" s="1">
        <f>HYPERLINK("http://www.twitter.com/NathanBLawrence/status/992600155206701057", "992600155206701057")</f>
        <v/>
      </c>
      <c r="B1048" s="2" t="n">
        <v>43225.12607638889</v>
      </c>
      <c r="C1048" t="n">
        <v>1</v>
      </c>
      <c r="D1048" t="n">
        <v>0</v>
      </c>
      <c r="E1048" t="s">
        <v>1058</v>
      </c>
      <c r="F1048" t="s"/>
      <c r="G1048" t="s"/>
      <c r="H1048" t="s"/>
      <c r="I1048" t="s"/>
      <c r="J1048" t="n">
        <v>-0.5266999999999999</v>
      </c>
      <c r="K1048" t="n">
        <v>0.195</v>
      </c>
      <c r="L1048" t="n">
        <v>0.805</v>
      </c>
      <c r="M1048" t="n">
        <v>0</v>
      </c>
    </row>
    <row r="1049" spans="1:13">
      <c r="A1049" s="1">
        <f>HYPERLINK("http://www.twitter.com/NathanBLawrence/status/992596928662827010", "992596928662827010")</f>
        <v/>
      </c>
      <c r="B1049" s="2" t="n">
        <v>43225.11717592592</v>
      </c>
      <c r="C1049" t="n">
        <v>1</v>
      </c>
      <c r="D1049" t="n">
        <v>0</v>
      </c>
      <c r="E1049" t="s">
        <v>1059</v>
      </c>
      <c r="F1049" t="s"/>
      <c r="G1049" t="s"/>
      <c r="H1049" t="s"/>
      <c r="I1049" t="s"/>
      <c r="J1049" t="n">
        <v>-0.296</v>
      </c>
      <c r="K1049" t="n">
        <v>0.196</v>
      </c>
      <c r="L1049" t="n">
        <v>0.804</v>
      </c>
      <c r="M1049" t="n">
        <v>0</v>
      </c>
    </row>
    <row r="1050" spans="1:13">
      <c r="A1050" s="1">
        <f>HYPERLINK("http://www.twitter.com/NathanBLawrence/status/992593483058774016", "992593483058774016")</f>
        <v/>
      </c>
      <c r="B1050" s="2" t="n">
        <v>43225.10766203704</v>
      </c>
      <c r="C1050" t="n">
        <v>2</v>
      </c>
      <c r="D1050" t="n">
        <v>0</v>
      </c>
      <c r="E1050" t="s">
        <v>1060</v>
      </c>
      <c r="F1050" t="s"/>
      <c r="G1050" t="s"/>
      <c r="H1050" t="s"/>
      <c r="I1050" t="s"/>
      <c r="J1050" t="n">
        <v>-0.1458</v>
      </c>
      <c r="K1050" t="n">
        <v>0.154</v>
      </c>
      <c r="L1050" t="n">
        <v>0.755</v>
      </c>
      <c r="M1050" t="n">
        <v>0.091</v>
      </c>
    </row>
    <row r="1051" spans="1:13">
      <c r="A1051" s="1">
        <f>HYPERLINK("http://www.twitter.com/NathanBLawrence/status/992592049940717568", "992592049940717568")</f>
        <v/>
      </c>
      <c r="B1051" s="2" t="n">
        <v>43225.1037037037</v>
      </c>
      <c r="C1051" t="n">
        <v>1</v>
      </c>
      <c r="D1051" t="n">
        <v>1</v>
      </c>
      <c r="E1051" t="s">
        <v>1061</v>
      </c>
      <c r="F1051" t="s"/>
      <c r="G1051" t="s"/>
      <c r="H1051" t="s"/>
      <c r="I1051" t="s"/>
      <c r="J1051" t="n">
        <v>0</v>
      </c>
      <c r="K1051" t="n">
        <v>0</v>
      </c>
      <c r="L1051" t="n">
        <v>1</v>
      </c>
      <c r="M1051" t="n">
        <v>0</v>
      </c>
    </row>
    <row r="1052" spans="1:13">
      <c r="A1052" s="1">
        <f>HYPERLINK("http://www.twitter.com/NathanBLawrence/status/992591275470852097", "992591275470852097")</f>
        <v/>
      </c>
      <c r="B1052" s="2" t="n">
        <v>43225.10157407408</v>
      </c>
      <c r="C1052" t="n">
        <v>3</v>
      </c>
      <c r="D1052" t="n">
        <v>2</v>
      </c>
      <c r="E1052" t="s">
        <v>1062</v>
      </c>
      <c r="F1052" t="s"/>
      <c r="G1052" t="s"/>
      <c r="H1052" t="s"/>
      <c r="I1052" t="s"/>
      <c r="J1052" t="n">
        <v>0</v>
      </c>
      <c r="K1052" t="n">
        <v>0</v>
      </c>
      <c r="L1052" t="n">
        <v>1</v>
      </c>
      <c r="M1052" t="n">
        <v>0</v>
      </c>
    </row>
    <row r="1053" spans="1:13">
      <c r="A1053" s="1">
        <f>HYPERLINK("http://www.twitter.com/NathanBLawrence/status/992587674132283392", "992587674132283392")</f>
        <v/>
      </c>
      <c r="B1053" s="2" t="n">
        <v>43225.09163194444</v>
      </c>
      <c r="C1053" t="n">
        <v>0</v>
      </c>
      <c r="D1053" t="n">
        <v>1</v>
      </c>
      <c r="E1053" t="s">
        <v>1063</v>
      </c>
      <c r="F1053">
        <f>HYPERLINK("http://pbs.twimg.com/media/DcZZXfhWAAAvFmt.jpg", "http://pbs.twimg.com/media/DcZZXfhWAAAvFmt.jpg")</f>
        <v/>
      </c>
      <c r="G1053" t="s"/>
      <c r="H1053" t="s"/>
      <c r="I1053" t="s"/>
      <c r="J1053" t="n">
        <v>0</v>
      </c>
      <c r="K1053" t="n">
        <v>0</v>
      </c>
      <c r="L1053" t="n">
        <v>1</v>
      </c>
      <c r="M1053" t="n">
        <v>0</v>
      </c>
    </row>
    <row r="1054" spans="1:13">
      <c r="A1054" s="1">
        <f>HYPERLINK("http://www.twitter.com/NathanBLawrence/status/992572812442337280", "992572812442337280")</f>
        <v/>
      </c>
      <c r="B1054" s="2" t="n">
        <v>43225.050625</v>
      </c>
      <c r="C1054" t="n">
        <v>0</v>
      </c>
      <c r="D1054" t="n">
        <v>0</v>
      </c>
      <c r="E1054" t="s">
        <v>1064</v>
      </c>
      <c r="F1054" t="s"/>
      <c r="G1054" t="s"/>
      <c r="H1054" t="s"/>
      <c r="I1054" t="s"/>
      <c r="J1054" t="n">
        <v>0</v>
      </c>
      <c r="K1054" t="n">
        <v>0</v>
      </c>
      <c r="L1054" t="n">
        <v>1</v>
      </c>
      <c r="M1054" t="n">
        <v>0</v>
      </c>
    </row>
    <row r="1055" spans="1:13">
      <c r="A1055" s="1">
        <f>HYPERLINK("http://www.twitter.com/NathanBLawrence/status/992572124169691137", "992572124169691137")</f>
        <v/>
      </c>
      <c r="B1055" s="2" t="n">
        <v>43225.04872685186</v>
      </c>
      <c r="C1055" t="n">
        <v>3</v>
      </c>
      <c r="D1055" t="n">
        <v>1</v>
      </c>
      <c r="E1055" t="s">
        <v>1065</v>
      </c>
      <c r="F1055" t="s"/>
      <c r="G1055" t="s"/>
      <c r="H1055" t="s"/>
      <c r="I1055" t="s"/>
      <c r="J1055" t="n">
        <v>0</v>
      </c>
      <c r="K1055" t="n">
        <v>0</v>
      </c>
      <c r="L1055" t="n">
        <v>1</v>
      </c>
      <c r="M1055" t="n">
        <v>0</v>
      </c>
    </row>
    <row r="1056" spans="1:13">
      <c r="A1056" s="1">
        <f>HYPERLINK("http://www.twitter.com/NathanBLawrence/status/992568904856850432", "992568904856850432")</f>
        <v/>
      </c>
      <c r="B1056" s="2" t="n">
        <v>43225.03983796296</v>
      </c>
      <c r="C1056" t="n">
        <v>18</v>
      </c>
      <c r="D1056" t="n">
        <v>14</v>
      </c>
      <c r="E1056" t="s">
        <v>1066</v>
      </c>
      <c r="F1056" t="s"/>
      <c r="G1056" t="s"/>
      <c r="H1056" t="s"/>
      <c r="I1056" t="s"/>
      <c r="J1056" t="n">
        <v>-0.7291</v>
      </c>
      <c r="K1056" t="n">
        <v>0.203</v>
      </c>
      <c r="L1056" t="n">
        <v>0.747</v>
      </c>
      <c r="M1056" t="n">
        <v>0.05</v>
      </c>
    </row>
    <row r="1057" spans="1:13">
      <c r="A1057" s="1">
        <f>HYPERLINK("http://www.twitter.com/NathanBLawrence/status/992563945666957314", "992563945666957314")</f>
        <v/>
      </c>
      <c r="B1057" s="2" t="n">
        <v>43225.02615740741</v>
      </c>
      <c r="C1057" t="n">
        <v>0</v>
      </c>
      <c r="D1057" t="n">
        <v>0</v>
      </c>
      <c r="E1057" t="s">
        <v>1067</v>
      </c>
      <c r="F1057" t="s"/>
      <c r="G1057" t="s"/>
      <c r="H1057" t="s"/>
      <c r="I1057" t="s"/>
      <c r="J1057" t="n">
        <v>0</v>
      </c>
      <c r="K1057" t="n">
        <v>0</v>
      </c>
      <c r="L1057" t="n">
        <v>1</v>
      </c>
      <c r="M1057" t="n">
        <v>0</v>
      </c>
    </row>
    <row r="1058" spans="1:13">
      <c r="A1058" s="1">
        <f>HYPERLINK("http://www.twitter.com/NathanBLawrence/status/992563103492726785", "992563103492726785")</f>
        <v/>
      </c>
      <c r="B1058" s="2" t="n">
        <v>43225.02383101852</v>
      </c>
      <c r="C1058" t="n">
        <v>0</v>
      </c>
      <c r="D1058" t="n">
        <v>4</v>
      </c>
      <c r="E1058" t="s">
        <v>1068</v>
      </c>
      <c r="F1058" t="s"/>
      <c r="G1058" t="s"/>
      <c r="H1058" t="s"/>
      <c r="I1058" t="s"/>
      <c r="J1058" t="n">
        <v>-0.5106000000000001</v>
      </c>
      <c r="K1058" t="n">
        <v>0.125</v>
      </c>
      <c r="L1058" t="n">
        <v>0.875</v>
      </c>
      <c r="M1058" t="n">
        <v>0</v>
      </c>
    </row>
    <row r="1059" spans="1:13">
      <c r="A1059" s="1">
        <f>HYPERLINK("http://www.twitter.com/NathanBLawrence/status/992558813126553607", "992558813126553607")</f>
        <v/>
      </c>
      <c r="B1059" s="2" t="n">
        <v>43225.01199074074</v>
      </c>
      <c r="C1059" t="n">
        <v>3</v>
      </c>
      <c r="D1059" t="n">
        <v>0</v>
      </c>
      <c r="E1059" t="s">
        <v>1069</v>
      </c>
      <c r="F1059" t="s"/>
      <c r="G1059" t="s"/>
      <c r="H1059" t="s"/>
      <c r="I1059" t="s"/>
      <c r="J1059" t="n">
        <v>0.2732</v>
      </c>
      <c r="K1059" t="n">
        <v>0.062</v>
      </c>
      <c r="L1059" t="n">
        <v>0.845</v>
      </c>
      <c r="M1059" t="n">
        <v>0.093</v>
      </c>
    </row>
    <row r="1060" spans="1:13">
      <c r="A1060" s="1">
        <f>HYPERLINK("http://www.twitter.com/NathanBLawrence/status/992557173577338880", "992557173577338880")</f>
        <v/>
      </c>
      <c r="B1060" s="2" t="n">
        <v>43225.00746527778</v>
      </c>
      <c r="C1060" t="n">
        <v>0</v>
      </c>
      <c r="D1060" t="n">
        <v>2</v>
      </c>
      <c r="E1060" t="s">
        <v>1070</v>
      </c>
      <c r="F1060" t="s"/>
      <c r="G1060" t="s"/>
      <c r="H1060" t="s"/>
      <c r="I1060" t="s"/>
      <c r="J1060" t="n">
        <v>0</v>
      </c>
      <c r="K1060" t="n">
        <v>0</v>
      </c>
      <c r="L1060" t="n">
        <v>1</v>
      </c>
      <c r="M1060" t="n">
        <v>0</v>
      </c>
    </row>
    <row r="1061" spans="1:13">
      <c r="A1061" s="1">
        <f>HYPERLINK("http://www.twitter.com/NathanBLawrence/status/992556153606430720", "992556153606430720")</f>
        <v/>
      </c>
      <c r="B1061" s="2" t="n">
        <v>43225.00465277778</v>
      </c>
      <c r="C1061" t="n">
        <v>3</v>
      </c>
      <c r="D1061" t="n">
        <v>0</v>
      </c>
      <c r="E1061" t="s">
        <v>1071</v>
      </c>
      <c r="F1061" t="s"/>
      <c r="G1061" t="s"/>
      <c r="H1061" t="s"/>
      <c r="I1061" t="s"/>
      <c r="J1061" t="n">
        <v>-0.296</v>
      </c>
      <c r="K1061" t="n">
        <v>0.167</v>
      </c>
      <c r="L1061" t="n">
        <v>0.833</v>
      </c>
      <c r="M1061" t="n">
        <v>0</v>
      </c>
    </row>
    <row r="1062" spans="1:13">
      <c r="A1062" s="1">
        <f>HYPERLINK("http://www.twitter.com/NathanBLawrence/status/992555672922357761", "992555672922357761")</f>
        <v/>
      </c>
      <c r="B1062" s="2" t="n">
        <v>43225.00332175926</v>
      </c>
      <c r="C1062" t="n">
        <v>3</v>
      </c>
      <c r="D1062" t="n">
        <v>0</v>
      </c>
      <c r="E1062" t="s">
        <v>1072</v>
      </c>
      <c r="F1062" t="s"/>
      <c r="G1062" t="s"/>
      <c r="H1062" t="s"/>
      <c r="I1062" t="s"/>
      <c r="J1062" t="n">
        <v>0</v>
      </c>
      <c r="K1062" t="n">
        <v>0</v>
      </c>
      <c r="L1062" t="n">
        <v>1</v>
      </c>
      <c r="M1062" t="n">
        <v>0</v>
      </c>
    </row>
    <row r="1063" spans="1:13">
      <c r="A1063" s="1">
        <f>HYPERLINK("http://www.twitter.com/NathanBLawrence/status/992555396870168576", "992555396870168576")</f>
        <v/>
      </c>
      <c r="B1063" s="2" t="n">
        <v>43225.00256944444</v>
      </c>
      <c r="C1063" t="n">
        <v>0</v>
      </c>
      <c r="D1063" t="n">
        <v>0</v>
      </c>
      <c r="E1063" t="s">
        <v>1073</v>
      </c>
      <c r="F1063" t="s"/>
      <c r="G1063" t="s"/>
      <c r="H1063" t="s"/>
      <c r="I1063" t="s"/>
      <c r="J1063" t="n">
        <v>0</v>
      </c>
      <c r="K1063" t="n">
        <v>0</v>
      </c>
      <c r="L1063" t="n">
        <v>1</v>
      </c>
      <c r="M1063" t="n">
        <v>0</v>
      </c>
    </row>
    <row r="1064" spans="1:13">
      <c r="A1064" s="1">
        <f>HYPERLINK("http://www.twitter.com/NathanBLawrence/status/992551469390934017", "992551469390934017")</f>
        <v/>
      </c>
      <c r="B1064" s="2" t="n">
        <v>43224.99172453704</v>
      </c>
      <c r="C1064" t="n">
        <v>1</v>
      </c>
      <c r="D1064" t="n">
        <v>1</v>
      </c>
      <c r="E1064" t="s">
        <v>1074</v>
      </c>
      <c r="F1064" t="s"/>
      <c r="G1064" t="s"/>
      <c r="H1064" t="s"/>
      <c r="I1064" t="s"/>
      <c r="J1064" t="n">
        <v>-0.5106000000000001</v>
      </c>
      <c r="K1064" t="n">
        <v>0.121</v>
      </c>
      <c r="L1064" t="n">
        <v>0.879</v>
      </c>
      <c r="M1064" t="n">
        <v>0</v>
      </c>
    </row>
    <row r="1065" spans="1:13">
      <c r="A1065" s="1">
        <f>HYPERLINK("http://www.twitter.com/NathanBLawrence/status/992551215295844353", "992551215295844353")</f>
        <v/>
      </c>
      <c r="B1065" s="2" t="n">
        <v>43224.99103009259</v>
      </c>
      <c r="C1065" t="n">
        <v>1</v>
      </c>
      <c r="D1065" t="n">
        <v>0</v>
      </c>
      <c r="E1065" t="s">
        <v>1075</v>
      </c>
      <c r="F1065" t="s"/>
      <c r="G1065" t="s"/>
      <c r="H1065" t="s"/>
      <c r="I1065" t="s"/>
      <c r="J1065" t="n">
        <v>0.4767</v>
      </c>
      <c r="K1065" t="n">
        <v>0</v>
      </c>
      <c r="L1065" t="n">
        <v>0.846</v>
      </c>
      <c r="M1065" t="n">
        <v>0.154</v>
      </c>
    </row>
    <row r="1066" spans="1:13">
      <c r="A1066" s="1">
        <f>HYPERLINK("http://www.twitter.com/NathanBLawrence/status/992549631937667072", "992549631937667072")</f>
        <v/>
      </c>
      <c r="B1066" s="2" t="n">
        <v>43224.98665509259</v>
      </c>
      <c r="C1066" t="n">
        <v>0</v>
      </c>
      <c r="D1066" t="n">
        <v>0</v>
      </c>
      <c r="E1066" t="s">
        <v>1076</v>
      </c>
      <c r="F1066" t="s"/>
      <c r="G1066" t="s"/>
      <c r="H1066" t="s"/>
      <c r="I1066" t="s"/>
      <c r="J1066" t="n">
        <v>0.1531</v>
      </c>
      <c r="K1066" t="n">
        <v>0.092</v>
      </c>
      <c r="L1066" t="n">
        <v>0.825</v>
      </c>
      <c r="M1066" t="n">
        <v>0.083</v>
      </c>
    </row>
    <row r="1067" spans="1:13">
      <c r="A1067" s="1">
        <f>HYPERLINK("http://www.twitter.com/NathanBLawrence/status/992548551426301952", "992548551426301952")</f>
        <v/>
      </c>
      <c r="B1067" s="2" t="n">
        <v>43224.98366898148</v>
      </c>
      <c r="C1067" t="n">
        <v>2</v>
      </c>
      <c r="D1067" t="n">
        <v>0</v>
      </c>
      <c r="E1067" t="s">
        <v>1077</v>
      </c>
      <c r="F1067">
        <f>HYPERLINK("http://pbs.twimg.com/media/DcY9o1uVMAAGEhE.jpg", "http://pbs.twimg.com/media/DcY9o1uVMAAGEhE.jpg")</f>
        <v/>
      </c>
      <c r="G1067" t="s"/>
      <c r="H1067" t="s"/>
      <c r="I1067" t="s"/>
      <c r="J1067" t="n">
        <v>-0.0772</v>
      </c>
      <c r="K1067" t="n">
        <v>0.152</v>
      </c>
      <c r="L1067" t="n">
        <v>0.711</v>
      </c>
      <c r="M1067" t="n">
        <v>0.137</v>
      </c>
    </row>
    <row r="1068" spans="1:13">
      <c r="A1068" s="1">
        <f>HYPERLINK("http://www.twitter.com/NathanBLawrence/status/992545647508246528", "992545647508246528")</f>
        <v/>
      </c>
      <c r="B1068" s="2" t="n">
        <v>43224.97565972222</v>
      </c>
      <c r="C1068" t="n">
        <v>2</v>
      </c>
      <c r="D1068" t="n">
        <v>0</v>
      </c>
      <c r="E1068" t="s">
        <v>1078</v>
      </c>
      <c r="F1068" t="s"/>
      <c r="G1068" t="s"/>
      <c r="H1068" t="s"/>
      <c r="I1068" t="s"/>
      <c r="J1068" t="n">
        <v>0</v>
      </c>
      <c r="K1068" t="n">
        <v>0</v>
      </c>
      <c r="L1068" t="n">
        <v>1</v>
      </c>
      <c r="M1068" t="n">
        <v>0</v>
      </c>
    </row>
    <row r="1069" spans="1:13">
      <c r="A1069" s="1">
        <f>HYPERLINK("http://www.twitter.com/NathanBLawrence/status/992544372800540677", "992544372800540677")</f>
        <v/>
      </c>
      <c r="B1069" s="2" t="n">
        <v>43224.9721412037</v>
      </c>
      <c r="C1069" t="n">
        <v>5</v>
      </c>
      <c r="D1069" t="n">
        <v>1</v>
      </c>
      <c r="E1069" t="s">
        <v>1079</v>
      </c>
      <c r="F1069" t="s"/>
      <c r="G1069" t="s"/>
      <c r="H1069" t="s"/>
      <c r="I1069" t="s"/>
      <c r="J1069" t="n">
        <v>-0.296</v>
      </c>
      <c r="K1069" t="n">
        <v>0.109</v>
      </c>
      <c r="L1069" t="n">
        <v>0.891</v>
      </c>
      <c r="M1069" t="n">
        <v>0</v>
      </c>
    </row>
    <row r="1070" spans="1:13">
      <c r="A1070" s="1">
        <f>HYPERLINK("http://www.twitter.com/NathanBLawrence/status/992543473462075392", "992543473462075392")</f>
        <v/>
      </c>
      <c r="B1070" s="2" t="n">
        <v>43224.96966435185</v>
      </c>
      <c r="C1070" t="n">
        <v>8</v>
      </c>
      <c r="D1070" t="n">
        <v>5</v>
      </c>
      <c r="E1070" t="s">
        <v>1080</v>
      </c>
      <c r="F1070" t="s"/>
      <c r="G1070" t="s"/>
      <c r="H1070" t="s"/>
      <c r="I1070" t="s"/>
      <c r="J1070" t="n">
        <v>0.0772</v>
      </c>
      <c r="K1070" t="n">
        <v>0.042</v>
      </c>
      <c r="L1070" t="n">
        <v>0.911</v>
      </c>
      <c r="M1070" t="n">
        <v>0.048</v>
      </c>
    </row>
    <row r="1071" spans="1:13">
      <c r="A1071" s="1">
        <f>HYPERLINK("http://www.twitter.com/NathanBLawrence/status/992543103381843968", "992543103381843968")</f>
        <v/>
      </c>
      <c r="B1071" s="2" t="n">
        <v>43224.96864583333</v>
      </c>
      <c r="C1071" t="n">
        <v>1</v>
      </c>
      <c r="D1071" t="n">
        <v>0</v>
      </c>
      <c r="E1071" t="s">
        <v>1081</v>
      </c>
      <c r="F1071" t="s"/>
      <c r="G1071" t="s"/>
      <c r="H1071" t="s"/>
      <c r="I1071" t="s"/>
      <c r="J1071" t="n">
        <v>0.9056999999999999</v>
      </c>
      <c r="K1071" t="n">
        <v>0.045</v>
      </c>
      <c r="L1071" t="n">
        <v>0.646</v>
      </c>
      <c r="M1071" t="n">
        <v>0.309</v>
      </c>
    </row>
    <row r="1072" spans="1:13">
      <c r="A1072" s="1">
        <f>HYPERLINK("http://www.twitter.com/NathanBLawrence/status/992542771130044416", "992542771130044416")</f>
        <v/>
      </c>
      <c r="B1072" s="2" t="n">
        <v>43224.96771990741</v>
      </c>
      <c r="C1072" t="n">
        <v>6</v>
      </c>
      <c r="D1072" t="n">
        <v>2</v>
      </c>
      <c r="E1072" t="s">
        <v>1082</v>
      </c>
      <c r="F1072" t="s"/>
      <c r="G1072" t="s"/>
      <c r="H1072" t="s"/>
      <c r="I1072" t="s"/>
      <c r="J1072" t="n">
        <v>-0.6133</v>
      </c>
      <c r="K1072" t="n">
        <v>0.39</v>
      </c>
      <c r="L1072" t="n">
        <v>0.487</v>
      </c>
      <c r="M1072" t="n">
        <v>0.124</v>
      </c>
    </row>
    <row r="1073" spans="1:13">
      <c r="A1073" s="1">
        <f>HYPERLINK("http://www.twitter.com/NathanBLawrence/status/992542110883688448", "992542110883688448")</f>
        <v/>
      </c>
      <c r="B1073" s="2" t="n">
        <v>43224.96590277777</v>
      </c>
      <c r="C1073" t="n">
        <v>1</v>
      </c>
      <c r="D1073" t="n">
        <v>0</v>
      </c>
      <c r="E1073" t="s">
        <v>1083</v>
      </c>
      <c r="F1073" t="s"/>
      <c r="G1073" t="s"/>
      <c r="H1073" t="s"/>
      <c r="I1073" t="s"/>
      <c r="J1073" t="n">
        <v>0</v>
      </c>
      <c r="K1073" t="n">
        <v>0</v>
      </c>
      <c r="L1073" t="n">
        <v>1</v>
      </c>
      <c r="M1073" t="n">
        <v>0</v>
      </c>
    </row>
    <row r="1074" spans="1:13">
      <c r="A1074" s="1">
        <f>HYPERLINK("http://www.twitter.com/NathanBLawrence/status/992530667530608643", "992530667530608643")</f>
        <v/>
      </c>
      <c r="B1074" s="2" t="n">
        <v>43224.9343287037</v>
      </c>
      <c r="C1074" t="n">
        <v>3</v>
      </c>
      <c r="D1074" t="n">
        <v>0</v>
      </c>
      <c r="E1074" t="s">
        <v>1084</v>
      </c>
      <c r="F1074" t="s"/>
      <c r="G1074" t="s"/>
      <c r="H1074" t="s"/>
      <c r="I1074" t="s"/>
      <c r="J1074" t="n">
        <v>0</v>
      </c>
      <c r="K1074" t="n">
        <v>0</v>
      </c>
      <c r="L1074" t="n">
        <v>1</v>
      </c>
      <c r="M1074" t="n">
        <v>0</v>
      </c>
    </row>
    <row r="1075" spans="1:13">
      <c r="A1075" s="1">
        <f>HYPERLINK("http://www.twitter.com/NathanBLawrence/status/992523088729395200", "992523088729395200")</f>
        <v/>
      </c>
      <c r="B1075" s="2" t="n">
        <v>43224.91341435185</v>
      </c>
      <c r="C1075" t="n">
        <v>3</v>
      </c>
      <c r="D1075" t="n">
        <v>0</v>
      </c>
      <c r="E1075" t="s">
        <v>1085</v>
      </c>
      <c r="F1075" t="s"/>
      <c r="G1075" t="s"/>
      <c r="H1075" t="s"/>
      <c r="I1075" t="s"/>
      <c r="J1075" t="n">
        <v>0.4019</v>
      </c>
      <c r="K1075" t="n">
        <v>0</v>
      </c>
      <c r="L1075" t="n">
        <v>0.769</v>
      </c>
      <c r="M1075" t="n">
        <v>0.231</v>
      </c>
    </row>
    <row r="1076" spans="1:13">
      <c r="A1076" s="1">
        <f>HYPERLINK("http://www.twitter.com/NathanBLawrence/status/992521464229265408", "992521464229265408")</f>
        <v/>
      </c>
      <c r="B1076" s="2" t="n">
        <v>43224.90892361111</v>
      </c>
      <c r="C1076" t="n">
        <v>1</v>
      </c>
      <c r="D1076" t="n">
        <v>0</v>
      </c>
      <c r="E1076" t="s">
        <v>1086</v>
      </c>
      <c r="F1076" t="s"/>
      <c r="G1076" t="s"/>
      <c r="H1076" t="s"/>
      <c r="I1076" t="s"/>
      <c r="J1076" t="n">
        <v>0</v>
      </c>
      <c r="K1076" t="n">
        <v>0</v>
      </c>
      <c r="L1076" t="n">
        <v>1</v>
      </c>
      <c r="M1076" t="n">
        <v>0</v>
      </c>
    </row>
    <row r="1077" spans="1:13">
      <c r="A1077" s="1">
        <f>HYPERLINK("http://www.twitter.com/NathanBLawrence/status/992521301125410817", "992521301125410817")</f>
        <v/>
      </c>
      <c r="B1077" s="2" t="n">
        <v>43224.90847222223</v>
      </c>
      <c r="C1077" t="n">
        <v>0</v>
      </c>
      <c r="D1077" t="n">
        <v>0</v>
      </c>
      <c r="E1077" t="s">
        <v>1087</v>
      </c>
      <c r="F1077" t="s"/>
      <c r="G1077" t="s"/>
      <c r="H1077" t="s"/>
      <c r="I1077" t="s"/>
      <c r="J1077" t="n">
        <v>0</v>
      </c>
      <c r="K1077" t="n">
        <v>0</v>
      </c>
      <c r="L1077" t="n">
        <v>1</v>
      </c>
      <c r="M1077" t="n">
        <v>0</v>
      </c>
    </row>
    <row r="1078" spans="1:13">
      <c r="A1078" s="1">
        <f>HYPERLINK("http://www.twitter.com/NathanBLawrence/status/992521102458019841", "992521102458019841")</f>
        <v/>
      </c>
      <c r="B1078" s="2" t="n">
        <v>43224.90792824074</v>
      </c>
      <c r="C1078" t="n">
        <v>0</v>
      </c>
      <c r="D1078" t="n">
        <v>0</v>
      </c>
      <c r="E1078" t="s">
        <v>1088</v>
      </c>
      <c r="F1078" t="s"/>
      <c r="G1078" t="s"/>
      <c r="H1078" t="s"/>
      <c r="I1078" t="s"/>
      <c r="J1078" t="n">
        <v>0</v>
      </c>
      <c r="K1078" t="n">
        <v>0</v>
      </c>
      <c r="L1078" t="n">
        <v>1</v>
      </c>
      <c r="M1078" t="n">
        <v>0</v>
      </c>
    </row>
    <row r="1079" spans="1:13">
      <c r="A1079" s="1">
        <f>HYPERLINK("http://www.twitter.com/NathanBLawrence/status/992519966606979073", "992519966606979073")</f>
        <v/>
      </c>
      <c r="B1079" s="2" t="n">
        <v>43224.90479166667</v>
      </c>
      <c r="C1079" t="n">
        <v>0</v>
      </c>
      <c r="D1079" t="n">
        <v>0</v>
      </c>
      <c r="E1079" t="s">
        <v>1089</v>
      </c>
      <c r="F1079">
        <f>HYPERLINK("http://pbs.twimg.com/media/DcYjpVuUwAEESyZ.jpg", "http://pbs.twimg.com/media/DcYjpVuUwAEESyZ.jpg")</f>
        <v/>
      </c>
      <c r="G1079" t="s"/>
      <c r="H1079" t="s"/>
      <c r="I1079" t="s"/>
      <c r="J1079" t="n">
        <v>0.9329</v>
      </c>
      <c r="K1079" t="n">
        <v>0</v>
      </c>
      <c r="L1079" t="n">
        <v>0.702</v>
      </c>
      <c r="M1079" t="n">
        <v>0.298</v>
      </c>
    </row>
    <row r="1080" spans="1:13">
      <c r="A1080" s="1">
        <f>HYPERLINK("http://www.twitter.com/NathanBLawrence/status/992516764884963329", "992516764884963329")</f>
        <v/>
      </c>
      <c r="B1080" s="2" t="n">
        <v>43224.89596064815</v>
      </c>
      <c r="C1080" t="n">
        <v>0</v>
      </c>
      <c r="D1080" t="n">
        <v>31</v>
      </c>
      <c r="E1080" t="s">
        <v>1090</v>
      </c>
      <c r="F1080" t="s"/>
      <c r="G1080" t="s"/>
      <c r="H1080" t="s"/>
      <c r="I1080" t="s"/>
      <c r="J1080" t="n">
        <v>-0.4927</v>
      </c>
      <c r="K1080" t="n">
        <v>0.144</v>
      </c>
      <c r="L1080" t="n">
        <v>0.856</v>
      </c>
      <c r="M1080" t="n">
        <v>0</v>
      </c>
    </row>
    <row r="1081" spans="1:13">
      <c r="A1081" s="1">
        <f>HYPERLINK("http://www.twitter.com/NathanBLawrence/status/992516740503490560", "992516740503490560")</f>
        <v/>
      </c>
      <c r="B1081" s="2" t="n">
        <v>43224.89589120371</v>
      </c>
      <c r="C1081" t="n">
        <v>0</v>
      </c>
      <c r="D1081" t="n">
        <v>33</v>
      </c>
      <c r="E1081" t="s">
        <v>1091</v>
      </c>
      <c r="F1081" t="s"/>
      <c r="G1081" t="s"/>
      <c r="H1081" t="s"/>
      <c r="I1081" t="s"/>
      <c r="J1081" t="n">
        <v>-0.5266999999999999</v>
      </c>
      <c r="K1081" t="n">
        <v>0.145</v>
      </c>
      <c r="L1081" t="n">
        <v>0.855</v>
      </c>
      <c r="M1081" t="n">
        <v>0</v>
      </c>
    </row>
    <row r="1082" spans="1:13">
      <c r="A1082" s="1">
        <f>HYPERLINK("http://www.twitter.com/NathanBLawrence/status/992516726809128960", "992516726809128960")</f>
        <v/>
      </c>
      <c r="B1082" s="2" t="n">
        <v>43224.89585648148</v>
      </c>
      <c r="C1082" t="n">
        <v>0</v>
      </c>
      <c r="D1082" t="n">
        <v>42</v>
      </c>
      <c r="E1082" t="s">
        <v>1092</v>
      </c>
      <c r="F1082" t="s"/>
      <c r="G1082" t="s"/>
      <c r="H1082" t="s"/>
      <c r="I1082" t="s"/>
      <c r="J1082" t="n">
        <v>0.3182</v>
      </c>
      <c r="K1082" t="n">
        <v>0.089</v>
      </c>
      <c r="L1082" t="n">
        <v>0.766</v>
      </c>
      <c r="M1082" t="n">
        <v>0.145</v>
      </c>
    </row>
    <row r="1083" spans="1:13">
      <c r="A1083" s="1">
        <f>HYPERLINK("http://www.twitter.com/NathanBLawrence/status/992516716189159424", "992516716189159424")</f>
        <v/>
      </c>
      <c r="B1083" s="2" t="n">
        <v>43224.89582175926</v>
      </c>
      <c r="C1083" t="n">
        <v>0</v>
      </c>
      <c r="D1083" t="n">
        <v>44</v>
      </c>
      <c r="E1083" t="s">
        <v>1093</v>
      </c>
      <c r="F1083" t="s"/>
      <c r="G1083" t="s"/>
      <c r="H1083" t="s"/>
      <c r="I1083" t="s"/>
      <c r="J1083" t="n">
        <v>-0.5719</v>
      </c>
      <c r="K1083" t="n">
        <v>0.19</v>
      </c>
      <c r="L1083" t="n">
        <v>0.8100000000000001</v>
      </c>
      <c r="M1083" t="n">
        <v>0</v>
      </c>
    </row>
    <row r="1084" spans="1:13">
      <c r="A1084" s="1">
        <f>HYPERLINK("http://www.twitter.com/NathanBLawrence/status/992516702511468544", "992516702511468544")</f>
        <v/>
      </c>
      <c r="B1084" s="2" t="n">
        <v>43224.89578703704</v>
      </c>
      <c r="C1084" t="n">
        <v>0</v>
      </c>
      <c r="D1084" t="n">
        <v>32</v>
      </c>
      <c r="E1084" t="s">
        <v>1094</v>
      </c>
      <c r="F1084" t="s"/>
      <c r="G1084" t="s"/>
      <c r="H1084" t="s"/>
      <c r="I1084" t="s"/>
      <c r="J1084" t="n">
        <v>0</v>
      </c>
      <c r="K1084" t="n">
        <v>0</v>
      </c>
      <c r="L1084" t="n">
        <v>1</v>
      </c>
      <c r="M1084" t="n">
        <v>0</v>
      </c>
    </row>
    <row r="1085" spans="1:13">
      <c r="A1085" s="1">
        <f>HYPERLINK("http://www.twitter.com/NathanBLawrence/status/992516686967377920", "992516686967377920")</f>
        <v/>
      </c>
      <c r="B1085" s="2" t="n">
        <v>43224.89574074074</v>
      </c>
      <c r="C1085" t="n">
        <v>0</v>
      </c>
      <c r="D1085" t="n">
        <v>25</v>
      </c>
      <c r="E1085" t="s">
        <v>1095</v>
      </c>
      <c r="F1085" t="s"/>
      <c r="G1085" t="s"/>
      <c r="H1085" t="s"/>
      <c r="I1085" t="s"/>
      <c r="J1085" t="n">
        <v>0</v>
      </c>
      <c r="K1085" t="n">
        <v>0</v>
      </c>
      <c r="L1085" t="n">
        <v>1</v>
      </c>
      <c r="M1085" t="n">
        <v>0</v>
      </c>
    </row>
    <row r="1086" spans="1:13">
      <c r="A1086" s="1">
        <f>HYPERLINK("http://www.twitter.com/NathanBLawrence/status/992516669586247681", "992516669586247681")</f>
        <v/>
      </c>
      <c r="B1086" s="2" t="n">
        <v>43224.89569444444</v>
      </c>
      <c r="C1086" t="n">
        <v>0</v>
      </c>
      <c r="D1086" t="n">
        <v>39</v>
      </c>
      <c r="E1086" t="s">
        <v>1096</v>
      </c>
      <c r="F1086" t="s"/>
      <c r="G1086" t="s"/>
      <c r="H1086" t="s"/>
      <c r="I1086" t="s"/>
      <c r="J1086" t="n">
        <v>0</v>
      </c>
      <c r="K1086" t="n">
        <v>0</v>
      </c>
      <c r="L1086" t="n">
        <v>1</v>
      </c>
      <c r="M1086" t="n">
        <v>0</v>
      </c>
    </row>
    <row r="1087" spans="1:13">
      <c r="A1087" s="1">
        <f>HYPERLINK("http://www.twitter.com/NathanBLawrence/status/992516615269961734", "992516615269961734")</f>
        <v/>
      </c>
      <c r="B1087" s="2" t="n">
        <v>43224.89554398148</v>
      </c>
      <c r="C1087" t="n">
        <v>0</v>
      </c>
      <c r="D1087" t="n">
        <v>205</v>
      </c>
      <c r="E1087" t="s">
        <v>1097</v>
      </c>
      <c r="F1087" t="s"/>
      <c r="G1087" t="s"/>
      <c r="H1087" t="s"/>
      <c r="I1087" t="s"/>
      <c r="J1087" t="n">
        <v>-0.4357</v>
      </c>
      <c r="K1087" t="n">
        <v>0.131</v>
      </c>
      <c r="L1087" t="n">
        <v>0.869</v>
      </c>
      <c r="M1087" t="n">
        <v>0</v>
      </c>
    </row>
    <row r="1088" spans="1:13">
      <c r="A1088" s="1">
        <f>HYPERLINK("http://www.twitter.com/NathanBLawrence/status/992512750059483136", "992512750059483136")</f>
        <v/>
      </c>
      <c r="B1088" s="2" t="n">
        <v>43224.88488425926</v>
      </c>
      <c r="C1088" t="n">
        <v>13</v>
      </c>
      <c r="D1088" t="n">
        <v>10</v>
      </c>
      <c r="E1088" t="s">
        <v>1098</v>
      </c>
      <c r="F1088">
        <f>HYPERLINK("http://pbs.twimg.com/media/DcYdFVDU0AEokT8.jpg", "http://pbs.twimg.com/media/DcYdFVDU0AEokT8.jpg")</f>
        <v/>
      </c>
      <c r="G1088" t="s"/>
      <c r="H1088" t="s"/>
      <c r="I1088" t="s"/>
      <c r="J1088" t="n">
        <v>0.9329</v>
      </c>
      <c r="K1088" t="n">
        <v>0</v>
      </c>
      <c r="L1088" t="n">
        <v>0.73</v>
      </c>
      <c r="M1088" t="n">
        <v>0.27</v>
      </c>
    </row>
    <row r="1089" spans="1:13">
      <c r="A1089" s="1">
        <f>HYPERLINK("http://www.twitter.com/NathanBLawrence/status/992507430960496640", "992507430960496640")</f>
        <v/>
      </c>
      <c r="B1089" s="2" t="n">
        <v>43224.87020833333</v>
      </c>
      <c r="C1089" t="n">
        <v>0</v>
      </c>
      <c r="D1089" t="n">
        <v>1</v>
      </c>
      <c r="E1089" t="s">
        <v>1099</v>
      </c>
      <c r="F1089" t="s"/>
      <c r="G1089" t="s"/>
      <c r="H1089" t="s"/>
      <c r="I1089" t="s"/>
      <c r="J1089" t="n">
        <v>-0.6633</v>
      </c>
      <c r="K1089" t="n">
        <v>0.307</v>
      </c>
      <c r="L1089" t="n">
        <v>0.6929999999999999</v>
      </c>
      <c r="M1089" t="n">
        <v>0</v>
      </c>
    </row>
    <row r="1090" spans="1:13">
      <c r="A1090" s="1">
        <f>HYPERLINK("http://www.twitter.com/NathanBLawrence/status/992500787518504966", "992500787518504966")</f>
        <v/>
      </c>
      <c r="B1090" s="2" t="n">
        <v>43224.851875</v>
      </c>
      <c r="C1090" t="n">
        <v>2</v>
      </c>
      <c r="D1090" t="n">
        <v>1</v>
      </c>
      <c r="E1090" t="s">
        <v>1100</v>
      </c>
      <c r="F1090" t="s"/>
      <c r="G1090" t="s"/>
      <c r="H1090" t="s"/>
      <c r="I1090" t="s"/>
      <c r="J1090" t="n">
        <v>-0.2023</v>
      </c>
      <c r="K1090" t="n">
        <v>0.198</v>
      </c>
      <c r="L1090" t="n">
        <v>0.652</v>
      </c>
      <c r="M1090" t="n">
        <v>0.149</v>
      </c>
    </row>
    <row r="1091" spans="1:13">
      <c r="A1091" s="1">
        <f>HYPERLINK("http://www.twitter.com/NathanBLawrence/status/992496776186941451", "992496776186941451")</f>
        <v/>
      </c>
      <c r="B1091" s="2" t="n">
        <v>43224.84079861111</v>
      </c>
      <c r="C1091" t="n">
        <v>3</v>
      </c>
      <c r="D1091" t="n">
        <v>0</v>
      </c>
      <c r="E1091" t="s">
        <v>1101</v>
      </c>
      <c r="F1091" t="s"/>
      <c r="G1091" t="s"/>
      <c r="H1091" t="s"/>
      <c r="I1091" t="s"/>
      <c r="J1091" t="n">
        <v>0</v>
      </c>
      <c r="K1091" t="n">
        <v>0</v>
      </c>
      <c r="L1091" t="n">
        <v>1</v>
      </c>
      <c r="M1091" t="n">
        <v>0</v>
      </c>
    </row>
    <row r="1092" spans="1:13">
      <c r="A1092" s="1">
        <f>HYPERLINK("http://www.twitter.com/NathanBLawrence/status/992496268348977158", "992496268348977158")</f>
        <v/>
      </c>
      <c r="B1092" s="2" t="n">
        <v>43224.83939814815</v>
      </c>
      <c r="C1092" t="n">
        <v>0</v>
      </c>
      <c r="D1092" t="n">
        <v>0</v>
      </c>
      <c r="E1092" t="s">
        <v>1102</v>
      </c>
      <c r="F1092" t="s"/>
      <c r="G1092" t="s"/>
      <c r="H1092" t="s"/>
      <c r="I1092" t="s"/>
      <c r="J1092" t="n">
        <v>0.4404</v>
      </c>
      <c r="K1092" t="n">
        <v>0</v>
      </c>
      <c r="L1092" t="n">
        <v>0.58</v>
      </c>
      <c r="M1092" t="n">
        <v>0.42</v>
      </c>
    </row>
    <row r="1093" spans="1:13">
      <c r="A1093" s="1">
        <f>HYPERLINK("http://www.twitter.com/NathanBLawrence/status/992494656280780801", "992494656280780801")</f>
        <v/>
      </c>
      <c r="B1093" s="2" t="n">
        <v>43224.83495370371</v>
      </c>
      <c r="C1093" t="n">
        <v>0</v>
      </c>
      <c r="D1093" t="n">
        <v>13</v>
      </c>
      <c r="E1093" t="s">
        <v>1103</v>
      </c>
      <c r="F1093" t="s"/>
      <c r="G1093" t="s"/>
      <c r="H1093" t="s"/>
      <c r="I1093" t="s"/>
      <c r="J1093" t="n">
        <v>0</v>
      </c>
      <c r="K1093" t="n">
        <v>0</v>
      </c>
      <c r="L1093" t="n">
        <v>1</v>
      </c>
      <c r="M1093" t="n">
        <v>0</v>
      </c>
    </row>
    <row r="1094" spans="1:13">
      <c r="A1094" s="1">
        <f>HYPERLINK("http://www.twitter.com/NathanBLawrence/status/992494633430274049", "992494633430274049")</f>
        <v/>
      </c>
      <c r="B1094" s="2" t="n">
        <v>43224.83488425926</v>
      </c>
      <c r="C1094" t="n">
        <v>7</v>
      </c>
      <c r="D1094" t="n">
        <v>6</v>
      </c>
      <c r="E1094" t="s">
        <v>1104</v>
      </c>
      <c r="F1094" t="s"/>
      <c r="G1094" t="s"/>
      <c r="H1094" t="s"/>
      <c r="I1094" t="s"/>
      <c r="J1094" t="n">
        <v>-0.8256</v>
      </c>
      <c r="K1094" t="n">
        <v>0.39</v>
      </c>
      <c r="L1094" t="n">
        <v>0.61</v>
      </c>
      <c r="M1094" t="n">
        <v>0</v>
      </c>
    </row>
    <row r="1095" spans="1:13">
      <c r="A1095" s="1">
        <f>HYPERLINK("http://www.twitter.com/NathanBLawrence/status/992488425080217600", "992488425080217600")</f>
        <v/>
      </c>
      <c r="B1095" s="2" t="n">
        <v>43224.81775462963</v>
      </c>
      <c r="C1095" t="n">
        <v>9</v>
      </c>
      <c r="D1095" t="n">
        <v>7</v>
      </c>
      <c r="E1095" t="s">
        <v>1105</v>
      </c>
      <c r="F1095" t="s"/>
      <c r="G1095" t="s"/>
      <c r="H1095" t="s"/>
      <c r="I1095" t="s"/>
      <c r="J1095" t="n">
        <v>-0.4003</v>
      </c>
      <c r="K1095" t="n">
        <v>0.212</v>
      </c>
      <c r="L1095" t="n">
        <v>0.788</v>
      </c>
      <c r="M1095" t="n">
        <v>0</v>
      </c>
    </row>
    <row r="1096" spans="1:13">
      <c r="A1096" s="1">
        <f>HYPERLINK("http://www.twitter.com/NathanBLawrence/status/992487982606241793", "992487982606241793")</f>
        <v/>
      </c>
      <c r="B1096" s="2" t="n">
        <v>43224.81653935185</v>
      </c>
      <c r="C1096" t="n">
        <v>0</v>
      </c>
      <c r="D1096" t="n">
        <v>8</v>
      </c>
      <c r="E1096" t="s">
        <v>1106</v>
      </c>
      <c r="F1096" t="s"/>
      <c r="G1096" t="s"/>
      <c r="H1096" t="s"/>
      <c r="I1096" t="s"/>
      <c r="J1096" t="n">
        <v>0.6124000000000001</v>
      </c>
      <c r="K1096" t="n">
        <v>0.09</v>
      </c>
      <c r="L1096" t="n">
        <v>0.664</v>
      </c>
      <c r="M1096" t="n">
        <v>0.246</v>
      </c>
    </row>
    <row r="1097" spans="1:13">
      <c r="A1097" s="1">
        <f>HYPERLINK("http://www.twitter.com/NathanBLawrence/status/992487943624421376", "992487943624421376")</f>
        <v/>
      </c>
      <c r="B1097" s="2" t="n">
        <v>43224.81642361111</v>
      </c>
      <c r="C1097" t="n">
        <v>0</v>
      </c>
      <c r="D1097" t="n">
        <v>7</v>
      </c>
      <c r="E1097" t="s">
        <v>1107</v>
      </c>
      <c r="F1097" t="s"/>
      <c r="G1097" t="s"/>
      <c r="H1097" t="s"/>
      <c r="I1097" t="s"/>
      <c r="J1097" t="n">
        <v>-0.2755</v>
      </c>
      <c r="K1097" t="n">
        <v>0.123</v>
      </c>
      <c r="L1097" t="n">
        <v>0.877</v>
      </c>
      <c r="M1097" t="n">
        <v>0</v>
      </c>
    </row>
    <row r="1098" spans="1:13">
      <c r="A1098" s="1">
        <f>HYPERLINK("http://www.twitter.com/NathanBLawrence/status/992474959732707331", "992474959732707331")</f>
        <v/>
      </c>
      <c r="B1098" s="2" t="n">
        <v>43224.78060185185</v>
      </c>
      <c r="C1098" t="n">
        <v>1</v>
      </c>
      <c r="D1098" t="n">
        <v>0</v>
      </c>
      <c r="E1098" t="s">
        <v>1108</v>
      </c>
      <c r="F1098" t="s"/>
      <c r="G1098" t="s"/>
      <c r="H1098" t="s"/>
      <c r="I1098" t="s"/>
      <c r="J1098" t="n">
        <v>0.6124000000000001</v>
      </c>
      <c r="K1098" t="n">
        <v>0</v>
      </c>
      <c r="L1098" t="n">
        <v>0.615</v>
      </c>
      <c r="M1098" t="n">
        <v>0.385</v>
      </c>
    </row>
    <row r="1099" spans="1:13">
      <c r="A1099" s="1">
        <f>HYPERLINK("http://www.twitter.com/NathanBLawrence/status/992474825573781505", "992474825573781505")</f>
        <v/>
      </c>
      <c r="B1099" s="2" t="n">
        <v>43224.78023148148</v>
      </c>
      <c r="C1099" t="n">
        <v>4</v>
      </c>
      <c r="D1099" t="n">
        <v>3</v>
      </c>
      <c r="E1099" t="s">
        <v>1109</v>
      </c>
      <c r="F1099" t="s"/>
      <c r="G1099" t="s"/>
      <c r="H1099" t="s"/>
      <c r="I1099" t="s"/>
      <c r="J1099" t="n">
        <v>0.4915</v>
      </c>
      <c r="K1099" t="n">
        <v>0</v>
      </c>
      <c r="L1099" t="n">
        <v>0.851</v>
      </c>
      <c r="M1099" t="n">
        <v>0.149</v>
      </c>
    </row>
    <row r="1100" spans="1:13">
      <c r="A1100" s="1">
        <f>HYPERLINK("http://www.twitter.com/NathanBLawrence/status/992460077159407617", "992460077159407617")</f>
        <v/>
      </c>
      <c r="B1100" s="2" t="n">
        <v>43224.73953703704</v>
      </c>
      <c r="C1100" t="n">
        <v>2</v>
      </c>
      <c r="D1100" t="n">
        <v>1</v>
      </c>
      <c r="E1100" t="s">
        <v>1110</v>
      </c>
      <c r="F1100" t="s"/>
      <c r="G1100" t="s"/>
      <c r="H1100" t="s"/>
      <c r="I1100" t="s"/>
      <c r="J1100" t="n">
        <v>0</v>
      </c>
      <c r="K1100" t="n">
        <v>0</v>
      </c>
      <c r="L1100" t="n">
        <v>1</v>
      </c>
      <c r="M1100" t="n">
        <v>0</v>
      </c>
    </row>
    <row r="1101" spans="1:13">
      <c r="A1101" s="1">
        <f>HYPERLINK("http://www.twitter.com/NathanBLawrence/status/992453760172593152", "992453760172593152")</f>
        <v/>
      </c>
      <c r="B1101" s="2" t="n">
        <v>43224.72209490741</v>
      </c>
      <c r="C1101" t="n">
        <v>0</v>
      </c>
      <c r="D1101" t="n">
        <v>9</v>
      </c>
      <c r="E1101" t="s">
        <v>1111</v>
      </c>
      <c r="F1101" t="s"/>
      <c r="G1101" t="s"/>
      <c r="H1101" t="s"/>
      <c r="I1101" t="s"/>
      <c r="J1101" t="n">
        <v>0.0772</v>
      </c>
      <c r="K1101" t="n">
        <v>0.082</v>
      </c>
      <c r="L1101" t="n">
        <v>0.824</v>
      </c>
      <c r="M1101" t="n">
        <v>0.094</v>
      </c>
    </row>
    <row r="1102" spans="1:13">
      <c r="A1102" s="1">
        <f>HYPERLINK("http://www.twitter.com/NathanBLawrence/status/992440809252425729", "992440809252425729")</f>
        <v/>
      </c>
      <c r="B1102" s="2" t="n">
        <v>43224.68636574074</v>
      </c>
      <c r="C1102" t="n">
        <v>1</v>
      </c>
      <c r="D1102" t="n">
        <v>0</v>
      </c>
      <c r="E1102" t="s">
        <v>1112</v>
      </c>
      <c r="F1102" t="s"/>
      <c r="G1102" t="s"/>
      <c r="H1102" t="s"/>
      <c r="I1102" t="s"/>
      <c r="J1102" t="n">
        <v>-0.2023</v>
      </c>
      <c r="K1102" t="n">
        <v>0.1</v>
      </c>
      <c r="L1102" t="n">
        <v>0.841</v>
      </c>
      <c r="M1102" t="n">
        <v>0.06</v>
      </c>
    </row>
    <row r="1103" spans="1:13">
      <c r="A1103" s="1">
        <f>HYPERLINK("http://www.twitter.com/NathanBLawrence/status/992436835170308097", "992436835170308097")</f>
        <v/>
      </c>
      <c r="B1103" s="2" t="n">
        <v>43224.67539351852</v>
      </c>
      <c r="C1103" t="n">
        <v>1</v>
      </c>
      <c r="D1103" t="n">
        <v>1</v>
      </c>
      <c r="E1103" t="s">
        <v>1113</v>
      </c>
      <c r="F1103" t="s"/>
      <c r="G1103" t="s"/>
      <c r="H1103" t="s"/>
      <c r="I1103" t="s"/>
      <c r="J1103" t="n">
        <v>-0.6486</v>
      </c>
      <c r="K1103" t="n">
        <v>0.381</v>
      </c>
      <c r="L1103" t="n">
        <v>0.619</v>
      </c>
      <c r="M1103" t="n">
        <v>0</v>
      </c>
    </row>
    <row r="1104" spans="1:13">
      <c r="A1104" s="1">
        <f>HYPERLINK("http://www.twitter.com/NathanBLawrence/status/992436553900228612", "992436553900228612")</f>
        <v/>
      </c>
      <c r="B1104" s="2" t="n">
        <v>43224.67461805556</v>
      </c>
      <c r="C1104" t="n">
        <v>5</v>
      </c>
      <c r="D1104" t="n">
        <v>3</v>
      </c>
      <c r="E1104" t="s">
        <v>1114</v>
      </c>
      <c r="F1104" t="s"/>
      <c r="G1104" t="s"/>
      <c r="H1104" t="s"/>
      <c r="I1104" t="s"/>
      <c r="J1104" t="n">
        <v>-0.5106000000000001</v>
      </c>
      <c r="K1104" t="n">
        <v>0.082</v>
      </c>
      <c r="L1104" t="n">
        <v>0.918</v>
      </c>
      <c r="M1104" t="n">
        <v>0</v>
      </c>
    </row>
    <row r="1105" spans="1:13">
      <c r="A1105" s="1">
        <f>HYPERLINK("http://www.twitter.com/NathanBLawrence/status/992433065174683651", "992433065174683651")</f>
        <v/>
      </c>
      <c r="B1105" s="2" t="n">
        <v>43224.66498842592</v>
      </c>
      <c r="C1105" t="n">
        <v>0</v>
      </c>
      <c r="D1105" t="n">
        <v>1</v>
      </c>
      <c r="E1105" t="s">
        <v>1115</v>
      </c>
      <c r="F1105" t="s"/>
      <c r="G1105" t="s"/>
      <c r="H1105" t="s"/>
      <c r="I1105" t="s"/>
      <c r="J1105" t="n">
        <v>0.4019</v>
      </c>
      <c r="K1105" t="n">
        <v>0</v>
      </c>
      <c r="L1105" t="n">
        <v>0.891</v>
      </c>
      <c r="M1105" t="n">
        <v>0.109</v>
      </c>
    </row>
    <row r="1106" spans="1:13">
      <c r="A1106" s="1">
        <f>HYPERLINK("http://www.twitter.com/NathanBLawrence/status/992432413732163586", "992432413732163586")</f>
        <v/>
      </c>
      <c r="B1106" s="2" t="n">
        <v>43224.66319444445</v>
      </c>
      <c r="C1106" t="n">
        <v>0</v>
      </c>
      <c r="D1106" t="n">
        <v>1</v>
      </c>
      <c r="E1106" t="s">
        <v>1116</v>
      </c>
      <c r="F1106" t="s"/>
      <c r="G1106" t="s"/>
      <c r="H1106" t="s"/>
      <c r="I1106" t="s"/>
      <c r="J1106" t="n">
        <v>-0.0772</v>
      </c>
      <c r="K1106" t="n">
        <v>0.064</v>
      </c>
      <c r="L1106" t="n">
        <v>0.9360000000000001</v>
      </c>
      <c r="M1106" t="n">
        <v>0</v>
      </c>
    </row>
    <row r="1107" spans="1:13">
      <c r="A1107" s="1">
        <f>HYPERLINK("http://www.twitter.com/NathanBLawrence/status/992431960420208640", "992431960420208640")</f>
        <v/>
      </c>
      <c r="B1107" s="2" t="n">
        <v>43224.66194444444</v>
      </c>
      <c r="C1107" t="n">
        <v>1</v>
      </c>
      <c r="D1107" t="n">
        <v>0</v>
      </c>
      <c r="E1107" t="s">
        <v>1117</v>
      </c>
      <c r="F1107" t="s"/>
      <c r="G1107" t="s"/>
      <c r="H1107" t="s"/>
      <c r="I1107" t="s"/>
      <c r="J1107" t="n">
        <v>0.0366</v>
      </c>
      <c r="K1107" t="n">
        <v>0.152</v>
      </c>
      <c r="L1107" t="n">
        <v>0.6909999999999999</v>
      </c>
      <c r="M1107" t="n">
        <v>0.157</v>
      </c>
    </row>
    <row r="1108" spans="1:13">
      <c r="A1108" s="1">
        <f>HYPERLINK("http://www.twitter.com/NathanBLawrence/status/992427899520192512", "992427899520192512")</f>
        <v/>
      </c>
      <c r="B1108" s="2" t="n">
        <v>43224.65074074074</v>
      </c>
      <c r="C1108" t="n">
        <v>0</v>
      </c>
      <c r="D1108" t="n">
        <v>20</v>
      </c>
      <c r="E1108" t="s">
        <v>1118</v>
      </c>
      <c r="F1108">
        <f>HYPERLINK("http://pbs.twimg.com/media/DcXE80FVwAASMmt.jpg", "http://pbs.twimg.com/media/DcXE80FVwAASMmt.jpg")</f>
        <v/>
      </c>
      <c r="G1108">
        <f>HYPERLINK("http://pbs.twimg.com/media/DcXE80FVAAA63iU.jpg", "http://pbs.twimg.com/media/DcXE80FVAAA63iU.jpg")</f>
        <v/>
      </c>
      <c r="H1108">
        <f>HYPERLINK("http://pbs.twimg.com/media/DcXE80MVAAI3pxA.jpg", "http://pbs.twimg.com/media/DcXE80MVAAI3pxA.jpg")</f>
        <v/>
      </c>
      <c r="I1108" t="s"/>
      <c r="J1108" t="n">
        <v>0</v>
      </c>
      <c r="K1108" t="n">
        <v>0</v>
      </c>
      <c r="L1108" t="n">
        <v>1</v>
      </c>
      <c r="M1108" t="n">
        <v>0</v>
      </c>
    </row>
    <row r="1109" spans="1:13">
      <c r="A1109" s="1">
        <f>HYPERLINK("http://www.twitter.com/NathanBLawrence/status/992414661164388352", "992414661164388352")</f>
        <v/>
      </c>
      <c r="B1109" s="2" t="n">
        <v>43224.61421296297</v>
      </c>
      <c r="C1109" t="n">
        <v>1</v>
      </c>
      <c r="D1109" t="n">
        <v>0</v>
      </c>
      <c r="E1109" t="s">
        <v>1119</v>
      </c>
      <c r="F1109" t="s"/>
      <c r="G1109" t="s"/>
      <c r="H1109" t="s"/>
      <c r="I1109" t="s"/>
      <c r="J1109" t="n">
        <v>0</v>
      </c>
      <c r="K1109" t="n">
        <v>0</v>
      </c>
      <c r="L1109" t="n">
        <v>1</v>
      </c>
      <c r="M1109" t="n">
        <v>0</v>
      </c>
    </row>
    <row r="1110" spans="1:13">
      <c r="A1110" s="1">
        <f>HYPERLINK("http://www.twitter.com/NathanBLawrence/status/992407427990654978", "992407427990654978")</f>
        <v/>
      </c>
      <c r="B1110" s="2" t="n">
        <v>43224.59424768519</v>
      </c>
      <c r="C1110" t="n">
        <v>0</v>
      </c>
      <c r="D1110" t="n">
        <v>12</v>
      </c>
      <c r="E1110" t="s">
        <v>1120</v>
      </c>
      <c r="F1110" t="s"/>
      <c r="G1110" t="s"/>
      <c r="H1110" t="s"/>
      <c r="I1110" t="s"/>
      <c r="J1110" t="n">
        <v>-0.4404</v>
      </c>
      <c r="K1110" t="n">
        <v>0.168</v>
      </c>
      <c r="L1110" t="n">
        <v>0.733</v>
      </c>
      <c r="M1110" t="n">
        <v>0.099</v>
      </c>
    </row>
    <row r="1111" spans="1:13">
      <c r="A1111" s="1">
        <f>HYPERLINK("http://www.twitter.com/NathanBLawrence/status/992406852515311618", "992406852515311618")</f>
        <v/>
      </c>
      <c r="B1111" s="2" t="n">
        <v>43224.59266203704</v>
      </c>
      <c r="C1111" t="n">
        <v>0</v>
      </c>
      <c r="D1111" t="n">
        <v>0</v>
      </c>
      <c r="E1111" t="s">
        <v>1121</v>
      </c>
      <c r="F1111" t="s"/>
      <c r="G1111" t="s"/>
      <c r="H1111" t="s"/>
      <c r="I1111" t="s"/>
      <c r="J1111" t="n">
        <v>-0.4019</v>
      </c>
      <c r="K1111" t="n">
        <v>0.144</v>
      </c>
      <c r="L1111" t="n">
        <v>0.856</v>
      </c>
      <c r="M1111" t="n">
        <v>0</v>
      </c>
    </row>
    <row r="1112" spans="1:13">
      <c r="A1112" s="1">
        <f>HYPERLINK("http://www.twitter.com/NathanBLawrence/status/992406153719156736", "992406153719156736")</f>
        <v/>
      </c>
      <c r="B1112" s="2" t="n">
        <v>43224.59072916667</v>
      </c>
      <c r="C1112" t="n">
        <v>2</v>
      </c>
      <c r="D1112" t="n">
        <v>0</v>
      </c>
      <c r="E1112" t="s">
        <v>1122</v>
      </c>
      <c r="F1112" t="s"/>
      <c r="G1112" t="s"/>
      <c r="H1112" t="s"/>
      <c r="I1112" t="s"/>
      <c r="J1112" t="n">
        <v>-0.9394</v>
      </c>
      <c r="K1112" t="n">
        <v>0.263</v>
      </c>
      <c r="L1112" t="n">
        <v>0.649</v>
      </c>
      <c r="M1112" t="n">
        <v>0.089</v>
      </c>
    </row>
    <row r="1113" spans="1:13">
      <c r="A1113" s="1">
        <f>HYPERLINK("http://www.twitter.com/NathanBLawrence/status/992392635196280832", "992392635196280832")</f>
        <v/>
      </c>
      <c r="B1113" s="2" t="n">
        <v>43224.55342592593</v>
      </c>
      <c r="C1113" t="n">
        <v>1</v>
      </c>
      <c r="D1113" t="n">
        <v>0</v>
      </c>
      <c r="E1113" t="s">
        <v>1123</v>
      </c>
      <c r="F1113" t="s"/>
      <c r="G1113" t="s"/>
      <c r="H1113" t="s"/>
      <c r="I1113" t="s"/>
      <c r="J1113" t="n">
        <v>0.4588</v>
      </c>
      <c r="K1113" t="n">
        <v>0</v>
      </c>
      <c r="L1113" t="n">
        <v>0.667</v>
      </c>
      <c r="M1113" t="n">
        <v>0.333</v>
      </c>
    </row>
    <row r="1114" spans="1:13">
      <c r="A1114" s="1">
        <f>HYPERLINK("http://www.twitter.com/NathanBLawrence/status/992390459753467904", "992390459753467904")</f>
        <v/>
      </c>
      <c r="B1114" s="2" t="n">
        <v>43224.54741898148</v>
      </c>
      <c r="C1114" t="n">
        <v>0</v>
      </c>
      <c r="D1114" t="n">
        <v>0</v>
      </c>
      <c r="E1114" t="s">
        <v>1124</v>
      </c>
      <c r="F1114" t="s"/>
      <c r="G1114" t="s"/>
      <c r="H1114" t="s"/>
      <c r="I1114" t="s"/>
      <c r="J1114" t="n">
        <v>-0.411</v>
      </c>
      <c r="K1114" t="n">
        <v>0.334</v>
      </c>
      <c r="L1114" t="n">
        <v>0.505</v>
      </c>
      <c r="M1114" t="n">
        <v>0.161</v>
      </c>
    </row>
    <row r="1115" spans="1:13">
      <c r="A1115" s="1">
        <f>HYPERLINK("http://www.twitter.com/NathanBLawrence/status/992390172036730886", "992390172036730886")</f>
        <v/>
      </c>
      <c r="B1115" s="2" t="n">
        <v>43224.54663194445</v>
      </c>
      <c r="C1115" t="n">
        <v>1</v>
      </c>
      <c r="D1115" t="n">
        <v>0</v>
      </c>
      <c r="E1115" t="s">
        <v>1125</v>
      </c>
      <c r="F1115" t="s"/>
      <c r="G1115" t="s"/>
      <c r="H1115" t="s"/>
      <c r="I1115" t="s"/>
      <c r="J1115" t="n">
        <v>-0.0036</v>
      </c>
      <c r="K1115" t="n">
        <v>0.167</v>
      </c>
      <c r="L1115" t="n">
        <v>0.666</v>
      </c>
      <c r="M1115" t="n">
        <v>0.167</v>
      </c>
    </row>
    <row r="1116" spans="1:13">
      <c r="A1116" s="1">
        <f>HYPERLINK("http://www.twitter.com/NathanBLawrence/status/992388510102499329", "992388510102499329")</f>
        <v/>
      </c>
      <c r="B1116" s="2" t="n">
        <v>43224.54204861111</v>
      </c>
      <c r="C1116" t="n">
        <v>1</v>
      </c>
      <c r="D1116" t="n">
        <v>0</v>
      </c>
      <c r="E1116" t="s">
        <v>1126</v>
      </c>
      <c r="F1116" t="s"/>
      <c r="G1116" t="s"/>
      <c r="H1116" t="s"/>
      <c r="I1116" t="s"/>
      <c r="J1116" t="n">
        <v>0.6808</v>
      </c>
      <c r="K1116" t="n">
        <v>0</v>
      </c>
      <c r="L1116" t="n">
        <v>0.763</v>
      </c>
      <c r="M1116" t="n">
        <v>0.237</v>
      </c>
    </row>
    <row r="1117" spans="1:13">
      <c r="A1117" s="1">
        <f>HYPERLINK("http://www.twitter.com/NathanBLawrence/status/992387928977563655", "992387928977563655")</f>
        <v/>
      </c>
      <c r="B1117" s="2" t="n">
        <v>43224.54043981482</v>
      </c>
      <c r="C1117" t="n">
        <v>1</v>
      </c>
      <c r="D1117" t="n">
        <v>0</v>
      </c>
      <c r="E1117" t="s">
        <v>1127</v>
      </c>
      <c r="F1117" t="s"/>
      <c r="G1117" t="s"/>
      <c r="H1117" t="s"/>
      <c r="I1117" t="s"/>
      <c r="J1117" t="n">
        <v>0.4019</v>
      </c>
      <c r="K1117" t="n">
        <v>0</v>
      </c>
      <c r="L1117" t="n">
        <v>0.769</v>
      </c>
      <c r="M1117" t="n">
        <v>0.231</v>
      </c>
    </row>
    <row r="1118" spans="1:13">
      <c r="A1118" s="1">
        <f>HYPERLINK("http://www.twitter.com/NathanBLawrence/status/992387688509698048", "992387688509698048")</f>
        <v/>
      </c>
      <c r="B1118" s="2" t="n">
        <v>43224.53978009259</v>
      </c>
      <c r="C1118" t="n">
        <v>8</v>
      </c>
      <c r="D1118" t="n">
        <v>6</v>
      </c>
      <c r="E1118" t="s">
        <v>1128</v>
      </c>
      <c r="F1118" t="s"/>
      <c r="G1118" t="s"/>
      <c r="H1118" t="s"/>
      <c r="I1118" t="s"/>
      <c r="J1118" t="n">
        <v>-0.25</v>
      </c>
      <c r="K1118" t="n">
        <v>0.1</v>
      </c>
      <c r="L1118" t="n">
        <v>0.9</v>
      </c>
      <c r="M1118" t="n">
        <v>0</v>
      </c>
    </row>
    <row r="1119" spans="1:13">
      <c r="A1119" s="1">
        <f>HYPERLINK("http://www.twitter.com/NathanBLawrence/status/992385540111634432", "992385540111634432")</f>
        <v/>
      </c>
      <c r="B1119" s="2" t="n">
        <v>43224.53385416666</v>
      </c>
      <c r="C1119" t="n">
        <v>0</v>
      </c>
      <c r="D1119" t="n">
        <v>5</v>
      </c>
      <c r="E1119" t="s">
        <v>1129</v>
      </c>
      <c r="F1119" t="s"/>
      <c r="G1119" t="s"/>
      <c r="H1119" t="s"/>
      <c r="I1119" t="s"/>
      <c r="J1119" t="n">
        <v>0.2263</v>
      </c>
      <c r="K1119" t="n">
        <v>0.11</v>
      </c>
      <c r="L1119" t="n">
        <v>0.709</v>
      </c>
      <c r="M1119" t="n">
        <v>0.181</v>
      </c>
    </row>
    <row r="1120" spans="1:13">
      <c r="A1120" s="1">
        <f>HYPERLINK("http://www.twitter.com/NathanBLawrence/status/992385332137119744", "992385332137119744")</f>
        <v/>
      </c>
      <c r="B1120" s="2" t="n">
        <v>43224.53327546296</v>
      </c>
      <c r="C1120" t="n">
        <v>0</v>
      </c>
      <c r="D1120" t="n">
        <v>2</v>
      </c>
      <c r="E1120" t="s">
        <v>1130</v>
      </c>
      <c r="F1120" t="s"/>
      <c r="G1120" t="s"/>
      <c r="H1120" t="s"/>
      <c r="I1120" t="s"/>
      <c r="J1120" t="n">
        <v>-0.3612</v>
      </c>
      <c r="K1120" t="n">
        <v>0.122</v>
      </c>
      <c r="L1120" t="n">
        <v>0.878</v>
      </c>
      <c r="M1120" t="n">
        <v>0</v>
      </c>
    </row>
    <row r="1121" spans="1:13">
      <c r="A1121" s="1">
        <f>HYPERLINK("http://www.twitter.com/NathanBLawrence/status/992385289514553344", "992385289514553344")</f>
        <v/>
      </c>
      <c r="B1121" s="2" t="n">
        <v>43224.53315972222</v>
      </c>
      <c r="C1121" t="n">
        <v>0</v>
      </c>
      <c r="D1121" t="n">
        <v>0</v>
      </c>
      <c r="E1121" t="s">
        <v>1131</v>
      </c>
      <c r="F1121" t="s"/>
      <c r="G1121" t="s"/>
      <c r="H1121" t="s"/>
      <c r="I1121" t="s"/>
      <c r="J1121" t="n">
        <v>0</v>
      </c>
      <c r="K1121" t="n">
        <v>0</v>
      </c>
      <c r="L1121" t="n">
        <v>1</v>
      </c>
      <c r="M1121" t="n">
        <v>0</v>
      </c>
    </row>
    <row r="1122" spans="1:13">
      <c r="A1122" s="1">
        <f>HYPERLINK("http://www.twitter.com/NathanBLawrence/status/992384998345932800", "992384998345932800")</f>
        <v/>
      </c>
      <c r="B1122" s="2" t="n">
        <v>43224.53234953704</v>
      </c>
      <c r="C1122" t="n">
        <v>0</v>
      </c>
      <c r="D1122" t="n">
        <v>0</v>
      </c>
      <c r="E1122" t="s">
        <v>1132</v>
      </c>
      <c r="F1122" t="s"/>
      <c r="G1122" t="s"/>
      <c r="H1122" t="s"/>
      <c r="I1122" t="s"/>
      <c r="J1122" t="n">
        <v>-0.3612</v>
      </c>
      <c r="K1122" t="n">
        <v>0.2</v>
      </c>
      <c r="L1122" t="n">
        <v>0.8</v>
      </c>
      <c r="M1122" t="n">
        <v>0</v>
      </c>
    </row>
    <row r="1123" spans="1:13">
      <c r="A1123" s="1">
        <f>HYPERLINK("http://www.twitter.com/NathanBLawrence/status/992384557105254400", "992384557105254400")</f>
        <v/>
      </c>
      <c r="B1123" s="2" t="n">
        <v>43224.53113425926</v>
      </c>
      <c r="C1123" t="n">
        <v>0</v>
      </c>
      <c r="D1123" t="n">
        <v>0</v>
      </c>
      <c r="E1123" t="s">
        <v>1133</v>
      </c>
      <c r="F1123" t="s"/>
      <c r="G1123" t="s"/>
      <c r="H1123" t="s"/>
      <c r="I1123" t="s"/>
      <c r="J1123" t="n">
        <v>0.4404</v>
      </c>
      <c r="K1123" t="n">
        <v>0</v>
      </c>
      <c r="L1123" t="n">
        <v>0.8179999999999999</v>
      </c>
      <c r="M1123" t="n">
        <v>0.182</v>
      </c>
    </row>
    <row r="1124" spans="1:13">
      <c r="A1124" s="1">
        <f>HYPERLINK("http://www.twitter.com/NathanBLawrence/status/992384388041183232", "992384388041183232")</f>
        <v/>
      </c>
      <c r="B1124" s="2" t="n">
        <v>43224.5306712963</v>
      </c>
      <c r="C1124" t="n">
        <v>0</v>
      </c>
      <c r="D1124" t="n">
        <v>9</v>
      </c>
      <c r="E1124" t="s">
        <v>1134</v>
      </c>
      <c r="F1124" t="s"/>
      <c r="G1124" t="s"/>
      <c r="H1124" t="s"/>
      <c r="I1124" t="s"/>
      <c r="J1124" t="n">
        <v>0.1027</v>
      </c>
      <c r="K1124" t="n">
        <v>0.079</v>
      </c>
      <c r="L1124" t="n">
        <v>0.828</v>
      </c>
      <c r="M1124" t="n">
        <v>0.093</v>
      </c>
    </row>
    <row r="1125" spans="1:13">
      <c r="A1125" s="1">
        <f>HYPERLINK("http://www.twitter.com/NathanBLawrence/status/992382496603025408", "992382496603025408")</f>
        <v/>
      </c>
      <c r="B1125" s="2" t="n">
        <v>43224.52545138889</v>
      </c>
      <c r="C1125" t="n">
        <v>7</v>
      </c>
      <c r="D1125" t="n">
        <v>1</v>
      </c>
      <c r="E1125" t="s">
        <v>1135</v>
      </c>
      <c r="F1125" t="s"/>
      <c r="G1125" t="s"/>
      <c r="H1125" t="s"/>
      <c r="I1125" t="s"/>
      <c r="J1125" t="n">
        <v>-0.6696</v>
      </c>
      <c r="K1125" t="n">
        <v>0.187</v>
      </c>
      <c r="L1125" t="n">
        <v>0.716</v>
      </c>
      <c r="M1125" t="n">
        <v>0.097</v>
      </c>
    </row>
    <row r="1126" spans="1:13">
      <c r="A1126" s="1">
        <f>HYPERLINK("http://www.twitter.com/NathanBLawrence/status/992381376585400320", "992381376585400320")</f>
        <v/>
      </c>
      <c r="B1126" s="2" t="n">
        <v>43224.52236111111</v>
      </c>
      <c r="C1126" t="n">
        <v>3</v>
      </c>
      <c r="D1126" t="n">
        <v>0</v>
      </c>
      <c r="E1126" t="s">
        <v>1136</v>
      </c>
      <c r="F1126" t="s"/>
      <c r="G1126" t="s"/>
      <c r="H1126" t="s"/>
      <c r="I1126" t="s"/>
      <c r="J1126" t="n">
        <v>0.5473</v>
      </c>
      <c r="K1126" t="n">
        <v>0</v>
      </c>
      <c r="L1126" t="n">
        <v>0.872</v>
      </c>
      <c r="M1126" t="n">
        <v>0.128</v>
      </c>
    </row>
    <row r="1127" spans="1:13">
      <c r="A1127" s="1">
        <f>HYPERLINK("http://www.twitter.com/NathanBLawrence/status/992380108534099969", "992380108534099969")</f>
        <v/>
      </c>
      <c r="B1127" s="2" t="n">
        <v>43224.51886574074</v>
      </c>
      <c r="C1127" t="n">
        <v>0</v>
      </c>
      <c r="D1127" t="n">
        <v>0</v>
      </c>
      <c r="E1127" t="s">
        <v>1137</v>
      </c>
      <c r="F1127" t="s"/>
      <c r="G1127" t="s"/>
      <c r="H1127" t="s"/>
      <c r="I1127" t="s"/>
      <c r="J1127" t="n">
        <v>-0.0772</v>
      </c>
      <c r="K1127" t="n">
        <v>0.153</v>
      </c>
      <c r="L1127" t="n">
        <v>0.71</v>
      </c>
      <c r="M1127" t="n">
        <v>0.137</v>
      </c>
    </row>
    <row r="1128" spans="1:13">
      <c r="A1128" s="1">
        <f>HYPERLINK("http://www.twitter.com/NathanBLawrence/status/992375266864521216", "992375266864521216")</f>
        <v/>
      </c>
      <c r="B1128" s="2" t="n">
        <v>43224.50549768518</v>
      </c>
      <c r="C1128" t="n">
        <v>0</v>
      </c>
      <c r="D1128" t="n">
        <v>0</v>
      </c>
      <c r="E1128" t="s">
        <v>1138</v>
      </c>
      <c r="F1128" t="s"/>
      <c r="G1128" t="s"/>
      <c r="H1128" t="s"/>
      <c r="I1128" t="s"/>
      <c r="J1128" t="n">
        <v>-0.5994</v>
      </c>
      <c r="K1128" t="n">
        <v>0.292</v>
      </c>
      <c r="L1128" t="n">
        <v>0.594</v>
      </c>
      <c r="M1128" t="n">
        <v>0.114</v>
      </c>
    </row>
    <row r="1129" spans="1:13">
      <c r="A1129" s="1">
        <f>HYPERLINK("http://www.twitter.com/NathanBLawrence/status/992369663932805123", "992369663932805123")</f>
        <v/>
      </c>
      <c r="B1129" s="2" t="n">
        <v>43224.49003472222</v>
      </c>
      <c r="C1129" t="n">
        <v>0</v>
      </c>
      <c r="D1129" t="n">
        <v>1</v>
      </c>
      <c r="E1129" t="s">
        <v>1139</v>
      </c>
      <c r="F1129" t="s"/>
      <c r="G1129" t="s"/>
      <c r="H1129" t="s"/>
      <c r="I1129" t="s"/>
      <c r="J1129" t="n">
        <v>-0.3612</v>
      </c>
      <c r="K1129" t="n">
        <v>0.122</v>
      </c>
      <c r="L1129" t="n">
        <v>0.878</v>
      </c>
      <c r="M1129" t="n">
        <v>0</v>
      </c>
    </row>
    <row r="1130" spans="1:13">
      <c r="A1130" s="1">
        <f>HYPERLINK("http://www.twitter.com/NathanBLawrence/status/992366837399769088", "992366837399769088")</f>
        <v/>
      </c>
      <c r="B1130" s="2" t="n">
        <v>43224.4822337963</v>
      </c>
      <c r="C1130" t="n">
        <v>0</v>
      </c>
      <c r="D1130" t="n">
        <v>0</v>
      </c>
      <c r="E1130" t="s">
        <v>1140</v>
      </c>
      <c r="F1130" t="s"/>
      <c r="G1130" t="s"/>
      <c r="H1130" t="s"/>
      <c r="I1130" t="s"/>
      <c r="J1130" t="n">
        <v>-0.6523</v>
      </c>
      <c r="K1130" t="n">
        <v>0.134</v>
      </c>
      <c r="L1130" t="n">
        <v>0.866</v>
      </c>
      <c r="M1130" t="n">
        <v>0</v>
      </c>
    </row>
    <row r="1131" spans="1:13">
      <c r="A1131" s="1">
        <f>HYPERLINK("http://www.twitter.com/NathanBLawrence/status/992362675186425856", "992362675186425856")</f>
        <v/>
      </c>
      <c r="B1131" s="2" t="n">
        <v>43224.47075231482</v>
      </c>
      <c r="C1131" t="n">
        <v>0</v>
      </c>
      <c r="D1131" t="n">
        <v>0</v>
      </c>
      <c r="E1131" t="s">
        <v>1141</v>
      </c>
      <c r="F1131" t="s"/>
      <c r="G1131" t="s"/>
      <c r="H1131" t="s"/>
      <c r="I1131" t="s"/>
      <c r="J1131" t="n">
        <v>0.0772</v>
      </c>
      <c r="K1131" t="n">
        <v>0</v>
      </c>
      <c r="L1131" t="n">
        <v>0.86</v>
      </c>
      <c r="M1131" t="n">
        <v>0.14</v>
      </c>
    </row>
    <row r="1132" spans="1:13">
      <c r="A1132" s="1">
        <f>HYPERLINK("http://www.twitter.com/NathanBLawrence/status/992361843392991232", "992361843392991232")</f>
        <v/>
      </c>
      <c r="B1132" s="2" t="n">
        <v>43224.46846064815</v>
      </c>
      <c r="C1132" t="n">
        <v>1</v>
      </c>
      <c r="D1132" t="n">
        <v>0</v>
      </c>
      <c r="E1132" t="s">
        <v>1142</v>
      </c>
      <c r="F1132" t="s"/>
      <c r="G1132" t="s"/>
      <c r="H1132" t="s"/>
      <c r="I1132" t="s"/>
      <c r="J1132" t="n">
        <v>-0.4466</v>
      </c>
      <c r="K1132" t="n">
        <v>0.143</v>
      </c>
      <c r="L1132" t="n">
        <v>0.749</v>
      </c>
      <c r="M1132" t="n">
        <v>0.108</v>
      </c>
    </row>
    <row r="1133" spans="1:13">
      <c r="A1133" s="1">
        <f>HYPERLINK("http://www.twitter.com/NathanBLawrence/status/992360363663478785", "992360363663478785")</f>
        <v/>
      </c>
      <c r="B1133" s="2" t="n">
        <v>43224.464375</v>
      </c>
      <c r="C1133" t="n">
        <v>6</v>
      </c>
      <c r="D1133" t="n">
        <v>11</v>
      </c>
      <c r="E1133" t="s">
        <v>1143</v>
      </c>
      <c r="F1133" t="s"/>
      <c r="G1133" t="s"/>
      <c r="H1133" t="s"/>
      <c r="I1133" t="s"/>
      <c r="J1133" t="n">
        <v>0.628</v>
      </c>
      <c r="K1133" t="n">
        <v>0.061</v>
      </c>
      <c r="L1133" t="n">
        <v>0.791</v>
      </c>
      <c r="M1133" t="n">
        <v>0.149</v>
      </c>
    </row>
    <row r="1134" spans="1:13">
      <c r="A1134" s="1">
        <f>HYPERLINK("http://www.twitter.com/NathanBLawrence/status/992357104873820162", "992357104873820162")</f>
        <v/>
      </c>
      <c r="B1134" s="2" t="n">
        <v>43224.45538194444</v>
      </c>
      <c r="C1134" t="n">
        <v>0</v>
      </c>
      <c r="D1134" t="n">
        <v>0</v>
      </c>
      <c r="E1134" t="s">
        <v>1144</v>
      </c>
      <c r="F1134" t="s"/>
      <c r="G1134" t="s"/>
      <c r="H1134" t="s"/>
      <c r="I1134" t="s"/>
      <c r="J1134" t="n">
        <v>0.2732</v>
      </c>
      <c r="K1134" t="n">
        <v>0</v>
      </c>
      <c r="L1134" t="n">
        <v>0.925</v>
      </c>
      <c r="M1134" t="n">
        <v>0.075</v>
      </c>
    </row>
    <row r="1135" spans="1:13">
      <c r="A1135" s="1">
        <f>HYPERLINK("http://www.twitter.com/NathanBLawrence/status/992355276237008896", "992355276237008896")</f>
        <v/>
      </c>
      <c r="B1135" s="2" t="n">
        <v>43224.45033564815</v>
      </c>
      <c r="C1135" t="n">
        <v>2</v>
      </c>
      <c r="D1135" t="n">
        <v>2</v>
      </c>
      <c r="E1135" t="s">
        <v>1145</v>
      </c>
      <c r="F1135" t="s"/>
      <c r="G1135" t="s"/>
      <c r="H1135" t="s"/>
      <c r="I1135" t="s"/>
      <c r="J1135" t="n">
        <v>-0.8591</v>
      </c>
      <c r="K1135" t="n">
        <v>0.195</v>
      </c>
      <c r="L1135" t="n">
        <v>0.769</v>
      </c>
      <c r="M1135" t="n">
        <v>0.036</v>
      </c>
    </row>
    <row r="1136" spans="1:13">
      <c r="A1136" s="1">
        <f>HYPERLINK("http://www.twitter.com/NathanBLawrence/status/992349045095124992", "992349045095124992")</f>
        <v/>
      </c>
      <c r="B1136" s="2" t="n">
        <v>43224.43313657407</v>
      </c>
      <c r="C1136" t="n">
        <v>0</v>
      </c>
      <c r="D1136" t="n">
        <v>0</v>
      </c>
      <c r="E1136" t="s">
        <v>1146</v>
      </c>
      <c r="F1136" t="s"/>
      <c r="G1136" t="s"/>
      <c r="H1136" t="s"/>
      <c r="I1136" t="s"/>
      <c r="J1136" t="n">
        <v>-0.0516</v>
      </c>
      <c r="K1136" t="n">
        <v>0.033</v>
      </c>
      <c r="L1136" t="n">
        <v>0.967</v>
      </c>
      <c r="M1136" t="n">
        <v>0</v>
      </c>
    </row>
    <row r="1137" spans="1:13">
      <c r="A1137" s="1">
        <f>HYPERLINK("http://www.twitter.com/NathanBLawrence/status/992347760413368320", "992347760413368320")</f>
        <v/>
      </c>
      <c r="B1137" s="2" t="n">
        <v>43224.42959490741</v>
      </c>
      <c r="C1137" t="n">
        <v>2</v>
      </c>
      <c r="D1137" t="n">
        <v>1</v>
      </c>
      <c r="E1137" t="s">
        <v>1147</v>
      </c>
      <c r="F1137" t="s"/>
      <c r="G1137" t="s"/>
      <c r="H1137" t="s"/>
      <c r="I1137" t="s"/>
      <c r="J1137" t="n">
        <v>0</v>
      </c>
      <c r="K1137" t="n">
        <v>0</v>
      </c>
      <c r="L1137" t="n">
        <v>1</v>
      </c>
      <c r="M1137" t="n">
        <v>0</v>
      </c>
    </row>
    <row r="1138" spans="1:13">
      <c r="A1138" s="1">
        <f>HYPERLINK("http://www.twitter.com/NathanBLawrence/status/992347056101523456", "992347056101523456")</f>
        <v/>
      </c>
      <c r="B1138" s="2" t="n">
        <v>43224.42765046296</v>
      </c>
      <c r="C1138" t="n">
        <v>0</v>
      </c>
      <c r="D1138" t="n">
        <v>0</v>
      </c>
      <c r="E1138" t="s">
        <v>1148</v>
      </c>
      <c r="F1138">
        <f>HYPERLINK("http://pbs.twimg.com/media/DcWGYlBVQAApsob.jpg", "http://pbs.twimg.com/media/DcWGYlBVQAApsob.jpg")</f>
        <v/>
      </c>
      <c r="G1138" t="s"/>
      <c r="H1138" t="s"/>
      <c r="I1138" t="s"/>
      <c r="J1138" t="n">
        <v>-0.5411</v>
      </c>
      <c r="K1138" t="n">
        <v>0.194</v>
      </c>
      <c r="L1138" t="n">
        <v>0.67</v>
      </c>
      <c r="M1138" t="n">
        <v>0.136</v>
      </c>
    </row>
    <row r="1139" spans="1:13">
      <c r="A1139" s="1">
        <f>HYPERLINK("http://www.twitter.com/NathanBLawrence/status/992342787919155200", "992342787919155200")</f>
        <v/>
      </c>
      <c r="B1139" s="2" t="n">
        <v>43224.41587962963</v>
      </c>
      <c r="C1139" t="n">
        <v>2</v>
      </c>
      <c r="D1139" t="n">
        <v>1</v>
      </c>
      <c r="E1139" t="s">
        <v>1149</v>
      </c>
      <c r="F1139" t="s"/>
      <c r="G1139" t="s"/>
      <c r="H1139" t="s"/>
      <c r="I1139" t="s"/>
      <c r="J1139" t="n">
        <v>0.5719</v>
      </c>
      <c r="K1139" t="n">
        <v>0</v>
      </c>
      <c r="L1139" t="n">
        <v>0.85</v>
      </c>
      <c r="M1139" t="n">
        <v>0.15</v>
      </c>
    </row>
    <row r="1140" spans="1:13">
      <c r="A1140" s="1">
        <f>HYPERLINK("http://www.twitter.com/NathanBLawrence/status/992247921318940674", "992247921318940674")</f>
        <v/>
      </c>
      <c r="B1140" s="2" t="n">
        <v>43224.15409722222</v>
      </c>
      <c r="C1140" t="n">
        <v>2</v>
      </c>
      <c r="D1140" t="n">
        <v>0</v>
      </c>
      <c r="E1140" t="s">
        <v>1150</v>
      </c>
      <c r="F1140" t="s"/>
      <c r="G1140" t="s"/>
      <c r="H1140" t="s"/>
      <c r="I1140" t="s"/>
      <c r="J1140" t="n">
        <v>0.3034</v>
      </c>
      <c r="K1140" t="n">
        <v>0.089</v>
      </c>
      <c r="L1140" t="n">
        <v>0.774</v>
      </c>
      <c r="M1140" t="n">
        <v>0.137</v>
      </c>
    </row>
    <row r="1141" spans="1:13">
      <c r="A1141" s="1">
        <f>HYPERLINK("http://www.twitter.com/NathanBLawrence/status/992244923972845568", "992244923972845568")</f>
        <v/>
      </c>
      <c r="B1141" s="2" t="n">
        <v>43224.14582175926</v>
      </c>
      <c r="C1141" t="n">
        <v>1</v>
      </c>
      <c r="D1141" t="n">
        <v>0</v>
      </c>
      <c r="E1141" t="s">
        <v>1151</v>
      </c>
      <c r="F1141" t="s"/>
      <c r="G1141" t="s"/>
      <c r="H1141" t="s"/>
      <c r="I1141" t="s"/>
      <c r="J1141" t="n">
        <v>0.3818</v>
      </c>
      <c r="K1141" t="n">
        <v>0</v>
      </c>
      <c r="L1141" t="n">
        <v>0.88</v>
      </c>
      <c r="M1141" t="n">
        <v>0.12</v>
      </c>
    </row>
    <row r="1142" spans="1:13">
      <c r="A1142" s="1">
        <f>HYPERLINK("http://www.twitter.com/NathanBLawrence/status/992241923040608256", "992241923040608256")</f>
        <v/>
      </c>
      <c r="B1142" s="2" t="n">
        <v>43224.1375462963</v>
      </c>
      <c r="C1142" t="n">
        <v>1</v>
      </c>
      <c r="D1142" t="n">
        <v>1</v>
      </c>
      <c r="E1142" t="s">
        <v>1152</v>
      </c>
      <c r="F1142" t="s"/>
      <c r="G1142" t="s"/>
      <c r="H1142" t="s"/>
      <c r="I1142" t="s"/>
      <c r="J1142" t="n">
        <v>-0.4767</v>
      </c>
      <c r="K1142" t="n">
        <v>0.101</v>
      </c>
      <c r="L1142" t="n">
        <v>0.853</v>
      </c>
      <c r="M1142" t="n">
        <v>0.046</v>
      </c>
    </row>
    <row r="1143" spans="1:13">
      <c r="A1143" s="1">
        <f>HYPERLINK("http://www.twitter.com/NathanBLawrence/status/992238840059453440", "992238840059453440")</f>
        <v/>
      </c>
      <c r="B1143" s="2" t="n">
        <v>43224.12903935185</v>
      </c>
      <c r="C1143" t="n">
        <v>0</v>
      </c>
      <c r="D1143" t="n">
        <v>0</v>
      </c>
      <c r="E1143" t="s">
        <v>1153</v>
      </c>
      <c r="F1143">
        <f>HYPERLINK("http://pbs.twimg.com/media/DcUj9jPV4AAW7gy.jpg", "http://pbs.twimg.com/media/DcUj9jPV4AAW7gy.jpg")</f>
        <v/>
      </c>
      <c r="G1143" t="s"/>
      <c r="H1143" t="s"/>
      <c r="I1143" t="s"/>
      <c r="J1143" t="n">
        <v>-0.0772</v>
      </c>
      <c r="K1143" t="n">
        <v>0.178</v>
      </c>
      <c r="L1143" t="n">
        <v>0.822</v>
      </c>
      <c r="M1143" t="n">
        <v>0</v>
      </c>
    </row>
    <row r="1144" spans="1:13">
      <c r="A1144" s="1">
        <f>HYPERLINK("http://www.twitter.com/NathanBLawrence/status/992229124520513536", "992229124520513536")</f>
        <v/>
      </c>
      <c r="B1144" s="2" t="n">
        <v>43224.10222222222</v>
      </c>
      <c r="C1144" t="n">
        <v>0</v>
      </c>
      <c r="D1144" t="n">
        <v>0</v>
      </c>
      <c r="E1144" t="s">
        <v>1154</v>
      </c>
      <c r="F1144" t="s"/>
      <c r="G1144" t="s"/>
      <c r="H1144" t="s"/>
      <c r="I1144" t="s"/>
      <c r="J1144" t="n">
        <v>-0.836</v>
      </c>
      <c r="K1144" t="n">
        <v>0.432</v>
      </c>
      <c r="L1144" t="n">
        <v>0.48</v>
      </c>
      <c r="M1144" t="n">
        <v>0.08699999999999999</v>
      </c>
    </row>
    <row r="1145" spans="1:13">
      <c r="A1145" s="1">
        <f>HYPERLINK("http://www.twitter.com/NathanBLawrence/status/992227760063041536", "992227760063041536")</f>
        <v/>
      </c>
      <c r="B1145" s="2" t="n">
        <v>43224.09846064815</v>
      </c>
      <c r="C1145" t="n">
        <v>0</v>
      </c>
      <c r="D1145" t="n">
        <v>26</v>
      </c>
      <c r="E1145" t="s">
        <v>1155</v>
      </c>
      <c r="F1145">
        <f>HYPERLINK("http://pbs.twimg.com/media/DcT7gLkW0AAKtQB.jpg", "http://pbs.twimg.com/media/DcT7gLkW0AAKtQB.jpg")</f>
        <v/>
      </c>
      <c r="G1145" t="s"/>
      <c r="H1145" t="s"/>
      <c r="I1145" t="s"/>
      <c r="J1145" t="n">
        <v>0.2023</v>
      </c>
      <c r="K1145" t="n">
        <v>0</v>
      </c>
      <c r="L1145" t="n">
        <v>0.917</v>
      </c>
      <c r="M1145" t="n">
        <v>0.083</v>
      </c>
    </row>
    <row r="1146" spans="1:13">
      <c r="A1146" s="1">
        <f>HYPERLINK("http://www.twitter.com/NathanBLawrence/status/992226526753157121", "992226526753157121")</f>
        <v/>
      </c>
      <c r="B1146" s="2" t="n">
        <v>43224.09505787037</v>
      </c>
      <c r="C1146" t="n">
        <v>0</v>
      </c>
      <c r="D1146" t="n">
        <v>2</v>
      </c>
      <c r="E1146" t="s">
        <v>1156</v>
      </c>
      <c r="F1146" t="s"/>
      <c r="G1146" t="s"/>
      <c r="H1146" t="s"/>
      <c r="I1146" t="s"/>
      <c r="J1146" t="n">
        <v>0</v>
      </c>
      <c r="K1146" t="n">
        <v>0</v>
      </c>
      <c r="L1146" t="n">
        <v>1</v>
      </c>
      <c r="M1146" t="n">
        <v>0</v>
      </c>
    </row>
    <row r="1147" spans="1:13">
      <c r="A1147" s="1">
        <f>HYPERLINK("http://www.twitter.com/NathanBLawrence/status/992223335026249730", "992223335026249730")</f>
        <v/>
      </c>
      <c r="B1147" s="2" t="n">
        <v>43224.08625</v>
      </c>
      <c r="C1147" t="n">
        <v>0</v>
      </c>
      <c r="D1147" t="n">
        <v>9</v>
      </c>
      <c r="E1147" t="s">
        <v>1157</v>
      </c>
      <c r="F1147" t="s"/>
      <c r="G1147" t="s"/>
      <c r="H1147" t="s"/>
      <c r="I1147" t="s"/>
      <c r="J1147" t="n">
        <v>-0.3182</v>
      </c>
      <c r="K1147" t="n">
        <v>0.358</v>
      </c>
      <c r="L1147" t="n">
        <v>0.423</v>
      </c>
      <c r="M1147" t="n">
        <v>0.218</v>
      </c>
    </row>
    <row r="1148" spans="1:13">
      <c r="A1148" s="1">
        <f>HYPERLINK("http://www.twitter.com/NathanBLawrence/status/992223103450341377", "992223103450341377")</f>
        <v/>
      </c>
      <c r="B1148" s="2" t="n">
        <v>43224.08561342592</v>
      </c>
      <c r="C1148" t="n">
        <v>0</v>
      </c>
      <c r="D1148" t="n">
        <v>10</v>
      </c>
      <c r="E1148" t="s">
        <v>1158</v>
      </c>
      <c r="F1148" t="s"/>
      <c r="G1148" t="s"/>
      <c r="H1148" t="s"/>
      <c r="I1148" t="s"/>
      <c r="J1148" t="n">
        <v>0</v>
      </c>
      <c r="K1148" t="n">
        <v>0</v>
      </c>
      <c r="L1148" t="n">
        <v>1</v>
      </c>
      <c r="M1148" t="n">
        <v>0</v>
      </c>
    </row>
    <row r="1149" spans="1:13">
      <c r="A1149" s="1">
        <f>HYPERLINK("http://www.twitter.com/NathanBLawrence/status/992206310639919104", "992206310639919104")</f>
        <v/>
      </c>
      <c r="B1149" s="2" t="n">
        <v>43224.03927083333</v>
      </c>
      <c r="C1149" t="n">
        <v>4</v>
      </c>
      <c r="D1149" t="n">
        <v>1</v>
      </c>
      <c r="E1149" t="s">
        <v>1159</v>
      </c>
      <c r="F1149" t="s"/>
      <c r="G1149" t="s"/>
      <c r="H1149" t="s"/>
      <c r="I1149" t="s"/>
      <c r="J1149" t="n">
        <v>0.7092000000000001</v>
      </c>
      <c r="K1149" t="n">
        <v>0</v>
      </c>
      <c r="L1149" t="n">
        <v>0.797</v>
      </c>
      <c r="M1149" t="n">
        <v>0.203</v>
      </c>
    </row>
    <row r="1150" spans="1:13">
      <c r="A1150" s="1">
        <f>HYPERLINK("http://www.twitter.com/NathanBLawrence/status/992204352969420800", "992204352969420800")</f>
        <v/>
      </c>
      <c r="B1150" s="2" t="n">
        <v>43224.03386574074</v>
      </c>
      <c r="C1150" t="n">
        <v>3</v>
      </c>
      <c r="D1150" t="n">
        <v>1</v>
      </c>
      <c r="E1150" t="s">
        <v>1160</v>
      </c>
      <c r="F1150" t="s"/>
      <c r="G1150" t="s"/>
      <c r="H1150" t="s"/>
      <c r="I1150" t="s"/>
      <c r="J1150" t="n">
        <v>0.6124000000000001</v>
      </c>
      <c r="K1150" t="n">
        <v>0</v>
      </c>
      <c r="L1150" t="n">
        <v>0.737</v>
      </c>
      <c r="M1150" t="n">
        <v>0.263</v>
      </c>
    </row>
    <row r="1151" spans="1:13">
      <c r="A1151" s="1">
        <f>HYPERLINK("http://www.twitter.com/NathanBLawrence/status/992203505514549248", "992203505514549248")</f>
        <v/>
      </c>
      <c r="B1151" s="2" t="n">
        <v>43224.03152777778</v>
      </c>
      <c r="C1151" t="n">
        <v>0</v>
      </c>
      <c r="D1151" t="n">
        <v>11</v>
      </c>
      <c r="E1151" t="s">
        <v>1161</v>
      </c>
      <c r="F1151" t="s"/>
      <c r="G1151" t="s"/>
      <c r="H1151" t="s"/>
      <c r="I1151" t="s"/>
      <c r="J1151" t="n">
        <v>0</v>
      </c>
      <c r="K1151" t="n">
        <v>0</v>
      </c>
      <c r="L1151" t="n">
        <v>1</v>
      </c>
      <c r="M1151" t="n">
        <v>0</v>
      </c>
    </row>
    <row r="1152" spans="1:13">
      <c r="A1152" s="1">
        <f>HYPERLINK("http://www.twitter.com/NathanBLawrence/status/992201448221020160", "992201448221020160")</f>
        <v/>
      </c>
      <c r="B1152" s="2" t="n">
        <v>43224.02585648148</v>
      </c>
      <c r="C1152" t="n">
        <v>1</v>
      </c>
      <c r="D1152" t="n">
        <v>0</v>
      </c>
      <c r="E1152" t="s">
        <v>1162</v>
      </c>
      <c r="F1152" t="s"/>
      <c r="G1152" t="s"/>
      <c r="H1152" t="s"/>
      <c r="I1152" t="s"/>
      <c r="J1152" t="n">
        <v>0</v>
      </c>
      <c r="K1152" t="n">
        <v>0</v>
      </c>
      <c r="L1152" t="n">
        <v>1</v>
      </c>
      <c r="M1152" t="n">
        <v>0</v>
      </c>
    </row>
    <row r="1153" spans="1:13">
      <c r="A1153" s="1">
        <f>HYPERLINK("http://www.twitter.com/NathanBLawrence/status/992191757797527552", "992191757797527552")</f>
        <v/>
      </c>
      <c r="B1153" s="2" t="n">
        <v>43223.9991087963</v>
      </c>
      <c r="C1153" t="n">
        <v>0</v>
      </c>
      <c r="D1153" t="n">
        <v>46</v>
      </c>
      <c r="E1153" t="s">
        <v>1163</v>
      </c>
      <c r="F1153">
        <f>HYPERLINK("http://pbs.twimg.com/media/DcT1233XUAEvbnQ.jpg", "http://pbs.twimg.com/media/DcT1233XUAEvbnQ.jpg")</f>
        <v/>
      </c>
      <c r="G1153" t="s"/>
      <c r="H1153" t="s"/>
      <c r="I1153" t="s"/>
      <c r="J1153" t="n">
        <v>0.7783</v>
      </c>
      <c r="K1153" t="n">
        <v>0</v>
      </c>
      <c r="L1153" t="n">
        <v>0.673</v>
      </c>
      <c r="M1153" t="n">
        <v>0.327</v>
      </c>
    </row>
    <row r="1154" spans="1:13">
      <c r="A1154" s="1">
        <f>HYPERLINK("http://www.twitter.com/NathanBLawrence/status/992174165833764864", "992174165833764864")</f>
        <v/>
      </c>
      <c r="B1154" s="2" t="n">
        <v>43223.95056712963</v>
      </c>
      <c r="C1154" t="n">
        <v>11</v>
      </c>
      <c r="D1154" t="n">
        <v>6</v>
      </c>
      <c r="E1154" t="s">
        <v>1164</v>
      </c>
      <c r="F1154" t="s"/>
      <c r="G1154" t="s"/>
      <c r="H1154" t="s"/>
      <c r="I1154" t="s"/>
      <c r="J1154" t="n">
        <v>-0.3954</v>
      </c>
      <c r="K1154" t="n">
        <v>0.16</v>
      </c>
      <c r="L1154" t="n">
        <v>0.71</v>
      </c>
      <c r="M1154" t="n">
        <v>0.13</v>
      </c>
    </row>
    <row r="1155" spans="1:13">
      <c r="A1155" s="1">
        <f>HYPERLINK("http://www.twitter.com/NathanBLawrence/status/992172220611997697", "992172220611997697")</f>
        <v/>
      </c>
      <c r="B1155" s="2" t="n">
        <v>43223.94519675926</v>
      </c>
      <c r="C1155" t="n">
        <v>2</v>
      </c>
      <c r="D1155" t="n">
        <v>1</v>
      </c>
      <c r="E1155" t="s">
        <v>1165</v>
      </c>
      <c r="F1155" t="s"/>
      <c r="G1155" t="s"/>
      <c r="H1155" t="s"/>
      <c r="I1155" t="s"/>
      <c r="J1155" t="n">
        <v>-0.7562</v>
      </c>
      <c r="K1155" t="n">
        <v>0.516</v>
      </c>
      <c r="L1155" t="n">
        <v>0.484</v>
      </c>
      <c r="M1155" t="n">
        <v>0</v>
      </c>
    </row>
    <row r="1156" spans="1:13">
      <c r="A1156" s="1">
        <f>HYPERLINK("http://www.twitter.com/NathanBLawrence/status/992171252969345024", "992171252969345024")</f>
        <v/>
      </c>
      <c r="B1156" s="2" t="n">
        <v>43223.94253472222</v>
      </c>
      <c r="C1156" t="n">
        <v>2</v>
      </c>
      <c r="D1156" t="n">
        <v>1</v>
      </c>
      <c r="E1156" t="s">
        <v>1166</v>
      </c>
      <c r="F1156" t="s"/>
      <c r="G1156" t="s"/>
      <c r="H1156" t="s"/>
      <c r="I1156" t="s"/>
      <c r="J1156" t="n">
        <v>-0.7351</v>
      </c>
      <c r="K1156" t="n">
        <v>0.175</v>
      </c>
      <c r="L1156" t="n">
        <v>0.825</v>
      </c>
      <c r="M1156" t="n">
        <v>0</v>
      </c>
    </row>
    <row r="1157" spans="1:13">
      <c r="A1157" s="1">
        <f>HYPERLINK("http://www.twitter.com/NathanBLawrence/status/992170108817723392", "992170108817723392")</f>
        <v/>
      </c>
      <c r="B1157" s="2" t="n">
        <v>43223.939375</v>
      </c>
      <c r="C1157" t="n">
        <v>0</v>
      </c>
      <c r="D1157" t="n">
        <v>1</v>
      </c>
      <c r="E1157" t="s">
        <v>1167</v>
      </c>
      <c r="F1157" t="s"/>
      <c r="G1157" t="s"/>
      <c r="H1157" t="s"/>
      <c r="I1157" t="s"/>
      <c r="J1157" t="n">
        <v>0</v>
      </c>
      <c r="K1157" t="n">
        <v>0</v>
      </c>
      <c r="L1157" t="n">
        <v>1</v>
      </c>
      <c r="M1157" t="n">
        <v>0</v>
      </c>
    </row>
    <row r="1158" spans="1:13">
      <c r="A1158" s="1">
        <f>HYPERLINK("http://www.twitter.com/NathanBLawrence/status/992148262907006977", "992148262907006977")</f>
        <v/>
      </c>
      <c r="B1158" s="2" t="n">
        <v>43223.87908564815</v>
      </c>
      <c r="C1158" t="n">
        <v>0</v>
      </c>
      <c r="D1158" t="n">
        <v>10</v>
      </c>
      <c r="E1158" t="s">
        <v>1168</v>
      </c>
      <c r="F1158" t="s"/>
      <c r="G1158" t="s"/>
      <c r="H1158" t="s"/>
      <c r="I1158" t="s"/>
      <c r="J1158" t="n">
        <v>0.2263</v>
      </c>
      <c r="K1158" t="n">
        <v>0</v>
      </c>
      <c r="L1158" t="n">
        <v>0.894</v>
      </c>
      <c r="M1158" t="n">
        <v>0.106</v>
      </c>
    </row>
    <row r="1159" spans="1:13">
      <c r="A1159" s="1">
        <f>HYPERLINK("http://www.twitter.com/NathanBLawrence/status/992147389254430720", "992147389254430720")</f>
        <v/>
      </c>
      <c r="B1159" s="2" t="n">
        <v>43223.87667824074</v>
      </c>
      <c r="C1159" t="n">
        <v>0</v>
      </c>
      <c r="D1159" t="n">
        <v>1</v>
      </c>
      <c r="E1159" t="s">
        <v>1169</v>
      </c>
      <c r="F1159" t="s"/>
      <c r="G1159" t="s"/>
      <c r="H1159" t="s"/>
      <c r="I1159" t="s"/>
      <c r="J1159" t="n">
        <v>-0.1027</v>
      </c>
      <c r="K1159" t="n">
        <v>0.06</v>
      </c>
      <c r="L1159" t="n">
        <v>0.9399999999999999</v>
      </c>
      <c r="M1159" t="n">
        <v>0</v>
      </c>
    </row>
    <row r="1160" spans="1:13">
      <c r="A1160" s="1">
        <f>HYPERLINK("http://www.twitter.com/NathanBLawrence/status/992145972292702209", "992145972292702209")</f>
        <v/>
      </c>
      <c r="B1160" s="2" t="n">
        <v>43223.87276620371</v>
      </c>
      <c r="C1160" t="n">
        <v>5</v>
      </c>
      <c r="D1160" t="n">
        <v>0</v>
      </c>
      <c r="E1160" t="s">
        <v>1170</v>
      </c>
      <c r="F1160" t="s"/>
      <c r="G1160" t="s"/>
      <c r="H1160" t="s"/>
      <c r="I1160" t="s"/>
      <c r="J1160" t="n">
        <v>0.5562</v>
      </c>
      <c r="K1160" t="n">
        <v>0</v>
      </c>
      <c r="L1160" t="n">
        <v>0.626</v>
      </c>
      <c r="M1160" t="n">
        <v>0.374</v>
      </c>
    </row>
    <row r="1161" spans="1:13">
      <c r="A1161" s="1">
        <f>HYPERLINK("http://www.twitter.com/NathanBLawrence/status/992145814842691586", "992145814842691586")</f>
        <v/>
      </c>
      <c r="B1161" s="2" t="n">
        <v>43223.87233796297</v>
      </c>
      <c r="C1161" t="n">
        <v>0</v>
      </c>
      <c r="D1161" t="n">
        <v>43</v>
      </c>
      <c r="E1161" t="s">
        <v>1171</v>
      </c>
      <c r="F1161" t="s"/>
      <c r="G1161" t="s"/>
      <c r="H1161" t="s"/>
      <c r="I1161" t="s"/>
      <c r="J1161" t="n">
        <v>0.7579</v>
      </c>
      <c r="K1161" t="n">
        <v>0</v>
      </c>
      <c r="L1161" t="n">
        <v>0.698</v>
      </c>
      <c r="M1161" t="n">
        <v>0.302</v>
      </c>
    </row>
    <row r="1162" spans="1:13">
      <c r="A1162" s="1">
        <f>HYPERLINK("http://www.twitter.com/NathanBLawrence/status/992068175641677824", "992068175641677824")</f>
        <v/>
      </c>
      <c r="B1162" s="2" t="n">
        <v>43223.65809027778</v>
      </c>
      <c r="C1162" t="n">
        <v>0</v>
      </c>
      <c r="D1162" t="n">
        <v>0</v>
      </c>
      <c r="E1162" t="s">
        <v>1172</v>
      </c>
      <c r="F1162" t="s"/>
      <c r="G1162" t="s"/>
      <c r="H1162" t="s"/>
      <c r="I1162" t="s"/>
      <c r="J1162" t="n">
        <v>0.7487</v>
      </c>
      <c r="K1162" t="n">
        <v>0.118</v>
      </c>
      <c r="L1162" t="n">
        <v>0.478</v>
      </c>
      <c r="M1162" t="n">
        <v>0.404</v>
      </c>
    </row>
    <row r="1163" spans="1:13">
      <c r="A1163" s="1">
        <f>HYPERLINK("http://www.twitter.com/NathanBLawrence/status/992063944452911111", "992063944452911111")</f>
        <v/>
      </c>
      <c r="B1163" s="2" t="n">
        <v>43223.64641203704</v>
      </c>
      <c r="C1163" t="n">
        <v>0</v>
      </c>
      <c r="D1163" t="n">
        <v>0</v>
      </c>
      <c r="E1163" t="s">
        <v>1173</v>
      </c>
      <c r="F1163" t="s"/>
      <c r="G1163" t="s"/>
      <c r="H1163" t="s"/>
      <c r="I1163" t="s"/>
      <c r="J1163" t="n">
        <v>-0.1901</v>
      </c>
      <c r="K1163" t="n">
        <v>0.06900000000000001</v>
      </c>
      <c r="L1163" t="n">
        <v>0.931</v>
      </c>
      <c r="M1163" t="n">
        <v>0</v>
      </c>
    </row>
    <row r="1164" spans="1:13">
      <c r="A1164" s="1">
        <f>HYPERLINK("http://www.twitter.com/NathanBLawrence/status/992061703373426688", "992061703373426688")</f>
        <v/>
      </c>
      <c r="B1164" s="2" t="n">
        <v>43223.64023148148</v>
      </c>
      <c r="C1164" t="n">
        <v>7</v>
      </c>
      <c r="D1164" t="n">
        <v>4</v>
      </c>
      <c r="E1164" t="s">
        <v>1174</v>
      </c>
      <c r="F1164" t="s"/>
      <c r="G1164" t="s"/>
      <c r="H1164" t="s"/>
      <c r="I1164" t="s"/>
      <c r="J1164" t="n">
        <v>0.25</v>
      </c>
      <c r="K1164" t="n">
        <v>0.07199999999999999</v>
      </c>
      <c r="L1164" t="n">
        <v>0.856</v>
      </c>
      <c r="M1164" t="n">
        <v>0.07199999999999999</v>
      </c>
    </row>
    <row r="1165" spans="1:13">
      <c r="A1165" s="1">
        <f>HYPERLINK("http://www.twitter.com/NathanBLawrence/status/992055984733515776", "992055984733515776")</f>
        <v/>
      </c>
      <c r="B1165" s="2" t="n">
        <v>43223.62444444445</v>
      </c>
      <c r="C1165" t="n">
        <v>2</v>
      </c>
      <c r="D1165" t="n">
        <v>0</v>
      </c>
      <c r="E1165" t="s">
        <v>1175</v>
      </c>
      <c r="F1165" t="s"/>
      <c r="G1165" t="s"/>
      <c r="H1165" t="s"/>
      <c r="I1165" t="s"/>
      <c r="J1165" t="n">
        <v>-0.149</v>
      </c>
      <c r="K1165" t="n">
        <v>0.128</v>
      </c>
      <c r="L1165" t="n">
        <v>0.782</v>
      </c>
      <c r="M1165" t="n">
        <v>0.09</v>
      </c>
    </row>
    <row r="1166" spans="1:13">
      <c r="A1166" s="1">
        <f>HYPERLINK("http://www.twitter.com/NathanBLawrence/status/992055649449242624", "992055649449242624")</f>
        <v/>
      </c>
      <c r="B1166" s="2" t="n">
        <v>43223.62351851852</v>
      </c>
      <c r="C1166" t="n">
        <v>0</v>
      </c>
      <c r="D1166" t="n">
        <v>18</v>
      </c>
      <c r="E1166" t="s">
        <v>1176</v>
      </c>
      <c r="F1166">
        <f>HYPERLINK("http://pbs.twimg.com/media/DcPevNVUwAIDIyV.jpg", "http://pbs.twimg.com/media/DcPevNVUwAIDIyV.jpg")</f>
        <v/>
      </c>
      <c r="G1166" t="s"/>
      <c r="H1166" t="s"/>
      <c r="I1166" t="s"/>
      <c r="J1166" t="n">
        <v>0</v>
      </c>
      <c r="K1166" t="n">
        <v>0</v>
      </c>
      <c r="L1166" t="n">
        <v>1</v>
      </c>
      <c r="M1166" t="n">
        <v>0</v>
      </c>
    </row>
    <row r="1167" spans="1:13">
      <c r="A1167" s="1">
        <f>HYPERLINK("http://www.twitter.com/NathanBLawrence/status/992053808867041280", "992053808867041280")</f>
        <v/>
      </c>
      <c r="B1167" s="2" t="n">
        <v>43223.61844907407</v>
      </c>
      <c r="C1167" t="n">
        <v>0</v>
      </c>
      <c r="D1167" t="n">
        <v>15</v>
      </c>
      <c r="E1167" t="s">
        <v>1177</v>
      </c>
      <c r="F1167" t="s"/>
      <c r="G1167" t="s"/>
      <c r="H1167" t="s"/>
      <c r="I1167" t="s"/>
      <c r="J1167" t="n">
        <v>-0.296</v>
      </c>
      <c r="K1167" t="n">
        <v>0.104</v>
      </c>
      <c r="L1167" t="n">
        <v>0.896</v>
      </c>
      <c r="M1167" t="n">
        <v>0</v>
      </c>
    </row>
    <row r="1168" spans="1:13">
      <c r="A1168" s="1">
        <f>HYPERLINK("http://www.twitter.com/NathanBLawrence/status/992046828068720640", "992046828068720640")</f>
        <v/>
      </c>
      <c r="B1168" s="2" t="n">
        <v>43223.59917824074</v>
      </c>
      <c r="C1168" t="n">
        <v>1</v>
      </c>
      <c r="D1168" t="n">
        <v>1</v>
      </c>
      <c r="E1168" t="s">
        <v>1178</v>
      </c>
      <c r="F1168" t="s"/>
      <c r="G1168" t="s"/>
      <c r="H1168" t="s"/>
      <c r="I1168" t="s"/>
      <c r="J1168" t="n">
        <v>0.6124000000000001</v>
      </c>
      <c r="K1168" t="n">
        <v>0.095</v>
      </c>
      <c r="L1168" t="n">
        <v>0.731</v>
      </c>
      <c r="M1168" t="n">
        <v>0.174</v>
      </c>
    </row>
    <row r="1169" spans="1:13">
      <c r="A1169" s="1">
        <f>HYPERLINK("http://www.twitter.com/NathanBLawrence/status/992045245494972416", "992045245494972416")</f>
        <v/>
      </c>
      <c r="B1169" s="2" t="n">
        <v>43223.59481481482</v>
      </c>
      <c r="C1169" t="n">
        <v>0</v>
      </c>
      <c r="D1169" t="n">
        <v>4</v>
      </c>
      <c r="E1169" t="s">
        <v>1179</v>
      </c>
      <c r="F1169" t="s"/>
      <c r="G1169" t="s"/>
      <c r="H1169" t="s"/>
      <c r="I1169" t="s"/>
      <c r="J1169" t="n">
        <v>0.8993</v>
      </c>
      <c r="K1169" t="n">
        <v>0</v>
      </c>
      <c r="L1169" t="n">
        <v>0.539</v>
      </c>
      <c r="M1169" t="n">
        <v>0.461</v>
      </c>
    </row>
    <row r="1170" spans="1:13">
      <c r="A1170" s="1">
        <f>HYPERLINK("http://www.twitter.com/NathanBLawrence/status/992042775427407873", "992042775427407873")</f>
        <v/>
      </c>
      <c r="B1170" s="2" t="n">
        <v>43223.58799768519</v>
      </c>
      <c r="C1170" t="n">
        <v>0</v>
      </c>
      <c r="D1170" t="n">
        <v>14</v>
      </c>
      <c r="E1170" t="s">
        <v>1180</v>
      </c>
      <c r="F1170" t="s"/>
      <c r="G1170" t="s"/>
      <c r="H1170" t="s"/>
      <c r="I1170" t="s"/>
      <c r="J1170" t="n">
        <v>-0.3818</v>
      </c>
      <c r="K1170" t="n">
        <v>0.115</v>
      </c>
      <c r="L1170" t="n">
        <v>0.885</v>
      </c>
      <c r="M1170" t="n">
        <v>0</v>
      </c>
    </row>
    <row r="1171" spans="1:13">
      <c r="A1171" s="1">
        <f>HYPERLINK("http://www.twitter.com/NathanBLawrence/status/992036435359424512", "992036435359424512")</f>
        <v/>
      </c>
      <c r="B1171" s="2" t="n">
        <v>43223.57049768518</v>
      </c>
      <c r="C1171" t="n">
        <v>5</v>
      </c>
      <c r="D1171" t="n">
        <v>3</v>
      </c>
      <c r="E1171" t="s">
        <v>1181</v>
      </c>
      <c r="F1171" t="s"/>
      <c r="G1171" t="s"/>
      <c r="H1171" t="s"/>
      <c r="I1171" t="s"/>
      <c r="J1171" t="n">
        <v>0.7262999999999999</v>
      </c>
      <c r="K1171" t="n">
        <v>0.119</v>
      </c>
      <c r="L1171" t="n">
        <v>0.638</v>
      </c>
      <c r="M1171" t="n">
        <v>0.243</v>
      </c>
    </row>
    <row r="1172" spans="1:13">
      <c r="A1172" s="1">
        <f>HYPERLINK("http://www.twitter.com/NathanBLawrence/status/992033360338915334", "992033360338915334")</f>
        <v/>
      </c>
      <c r="B1172" s="2" t="n">
        <v>43223.56201388889</v>
      </c>
      <c r="C1172" t="n">
        <v>1</v>
      </c>
      <c r="D1172" t="n">
        <v>0</v>
      </c>
      <c r="E1172" t="s">
        <v>1182</v>
      </c>
      <c r="F1172" t="s"/>
      <c r="G1172" t="s"/>
      <c r="H1172" t="s"/>
      <c r="I1172" t="s"/>
      <c r="J1172" t="n">
        <v>-0.9565</v>
      </c>
      <c r="K1172" t="n">
        <v>0.319</v>
      </c>
      <c r="L1172" t="n">
        <v>0.681</v>
      </c>
      <c r="M1172" t="n">
        <v>0</v>
      </c>
    </row>
    <row r="1173" spans="1:13">
      <c r="A1173" s="1">
        <f>HYPERLINK("http://www.twitter.com/NathanBLawrence/status/992012154160189441", "992012154160189441")</f>
        <v/>
      </c>
      <c r="B1173" s="2" t="n">
        <v>43223.50349537037</v>
      </c>
      <c r="C1173" t="n">
        <v>3</v>
      </c>
      <c r="D1173" t="n">
        <v>3</v>
      </c>
      <c r="E1173" t="s">
        <v>1183</v>
      </c>
      <c r="F1173">
        <f>HYPERLINK("http://pbs.twimg.com/media/DcRVyiKV0AAc4WP.jpg", "http://pbs.twimg.com/media/DcRVyiKV0AAc4WP.jpg")</f>
        <v/>
      </c>
      <c r="G1173" t="s"/>
      <c r="H1173" t="s"/>
      <c r="I1173" t="s"/>
      <c r="J1173" t="n">
        <v>-0.4329</v>
      </c>
      <c r="K1173" t="n">
        <v>0.08699999999999999</v>
      </c>
      <c r="L1173" t="n">
        <v>0.913</v>
      </c>
      <c r="M1173" t="n">
        <v>0</v>
      </c>
    </row>
    <row r="1174" spans="1:13">
      <c r="A1174" s="1">
        <f>HYPERLINK("http://www.twitter.com/NathanBLawrence/status/992010112964407297", "992010112964407297")</f>
        <v/>
      </c>
      <c r="B1174" s="2" t="n">
        <v>43223.49787037037</v>
      </c>
      <c r="C1174" t="n">
        <v>0</v>
      </c>
      <c r="D1174" t="n">
        <v>72</v>
      </c>
      <c r="E1174" t="s">
        <v>1184</v>
      </c>
      <c r="F1174">
        <f>HYPERLINK("http://pbs.twimg.com/media/DcOcN-ZVAAAYylq.jpg", "http://pbs.twimg.com/media/DcOcN-ZVAAAYylq.jpg")</f>
        <v/>
      </c>
      <c r="G1174">
        <f>HYPERLINK("http://pbs.twimg.com/media/DcOcN-jVwAAYS89.jpg", "http://pbs.twimg.com/media/DcOcN-jVwAAYS89.jpg")</f>
        <v/>
      </c>
      <c r="H1174" t="s"/>
      <c r="I1174" t="s"/>
      <c r="J1174" t="n">
        <v>0.4404</v>
      </c>
      <c r="K1174" t="n">
        <v>0</v>
      </c>
      <c r="L1174" t="n">
        <v>0.888</v>
      </c>
      <c r="M1174" t="n">
        <v>0.112</v>
      </c>
    </row>
    <row r="1175" spans="1:13">
      <c r="A1175" s="1">
        <f>HYPERLINK("http://www.twitter.com/NathanBLawrence/status/992009897964384258", "992009897964384258")</f>
        <v/>
      </c>
      <c r="B1175" s="2" t="n">
        <v>43223.49726851852</v>
      </c>
      <c r="C1175" t="n">
        <v>0</v>
      </c>
      <c r="D1175" t="n">
        <v>2</v>
      </c>
      <c r="E1175" t="s">
        <v>1185</v>
      </c>
      <c r="F1175">
        <f>HYPERLINK("http://pbs.twimg.com/media/DcRScwSX0AYRs6_.jpg", "http://pbs.twimg.com/media/DcRScwSX0AYRs6_.jpg")</f>
        <v/>
      </c>
      <c r="G1175" t="s"/>
      <c r="H1175" t="s"/>
      <c r="I1175" t="s"/>
      <c r="J1175" t="n">
        <v>0</v>
      </c>
      <c r="K1175" t="n">
        <v>0</v>
      </c>
      <c r="L1175" t="n">
        <v>1</v>
      </c>
      <c r="M1175" t="n">
        <v>0</v>
      </c>
    </row>
    <row r="1176" spans="1:13">
      <c r="A1176" s="1">
        <f>HYPERLINK("http://www.twitter.com/NathanBLawrence/status/992009420795269120", "992009420795269120")</f>
        <v/>
      </c>
      <c r="B1176" s="2" t="n">
        <v>43223.49596064815</v>
      </c>
      <c r="C1176" t="n">
        <v>2</v>
      </c>
      <c r="D1176" t="n">
        <v>1</v>
      </c>
      <c r="E1176" t="s">
        <v>1186</v>
      </c>
      <c r="F1176" t="s"/>
      <c r="G1176" t="s"/>
      <c r="H1176" t="s"/>
      <c r="I1176" t="s"/>
      <c r="J1176" t="n">
        <v>-0.7579</v>
      </c>
      <c r="K1176" t="n">
        <v>0.259</v>
      </c>
      <c r="L1176" t="n">
        <v>0.642</v>
      </c>
      <c r="M1176" t="n">
        <v>0.099</v>
      </c>
    </row>
    <row r="1177" spans="1:13">
      <c r="A1177" s="1">
        <f>HYPERLINK("http://www.twitter.com/NathanBLawrence/status/992004729583624192", "992004729583624192")</f>
        <v/>
      </c>
      <c r="B1177" s="2" t="n">
        <v>43223.48300925926</v>
      </c>
      <c r="C1177" t="n">
        <v>3</v>
      </c>
      <c r="D1177" t="n">
        <v>1</v>
      </c>
      <c r="E1177" t="s">
        <v>1187</v>
      </c>
      <c r="F1177" t="s"/>
      <c r="G1177" t="s"/>
      <c r="H1177" t="s"/>
      <c r="I1177" t="s"/>
      <c r="J1177" t="n">
        <v>0</v>
      </c>
      <c r="K1177" t="n">
        <v>0</v>
      </c>
      <c r="L1177" t="n">
        <v>1</v>
      </c>
      <c r="M1177" t="n">
        <v>0</v>
      </c>
    </row>
    <row r="1178" spans="1:13">
      <c r="A1178" s="1">
        <f>HYPERLINK("http://www.twitter.com/NathanBLawrence/status/992003535456882688", "992003535456882688")</f>
        <v/>
      </c>
      <c r="B1178" s="2" t="n">
        <v>43223.47972222222</v>
      </c>
      <c r="C1178" t="n">
        <v>0</v>
      </c>
      <c r="D1178" t="n">
        <v>1</v>
      </c>
      <c r="E1178" t="s">
        <v>1188</v>
      </c>
      <c r="F1178" t="s"/>
      <c r="G1178" t="s"/>
      <c r="H1178" t="s"/>
      <c r="I1178" t="s"/>
      <c r="J1178" t="n">
        <v>-0.2732</v>
      </c>
      <c r="K1178" t="n">
        <v>0.123</v>
      </c>
      <c r="L1178" t="n">
        <v>0.877</v>
      </c>
      <c r="M1178" t="n">
        <v>0</v>
      </c>
    </row>
    <row r="1179" spans="1:13">
      <c r="A1179" s="1">
        <f>HYPERLINK("http://www.twitter.com/NathanBLawrence/status/992002432652718080", "992002432652718080")</f>
        <v/>
      </c>
      <c r="B1179" s="2" t="n">
        <v>43223.47667824074</v>
      </c>
      <c r="C1179" t="n">
        <v>1</v>
      </c>
      <c r="D1179" t="n">
        <v>1</v>
      </c>
      <c r="E1179" t="s">
        <v>1189</v>
      </c>
      <c r="F1179" t="s"/>
      <c r="G1179" t="s"/>
      <c r="H1179" t="s"/>
      <c r="I1179" t="s"/>
      <c r="J1179" t="n">
        <v>0.0772</v>
      </c>
      <c r="K1179" t="n">
        <v>0.095</v>
      </c>
      <c r="L1179" t="n">
        <v>0.8</v>
      </c>
      <c r="M1179" t="n">
        <v>0.105</v>
      </c>
    </row>
    <row r="1180" spans="1:13">
      <c r="A1180" s="1">
        <f>HYPERLINK("http://www.twitter.com/NathanBLawrence/status/992001692265828352", "992001692265828352")</f>
        <v/>
      </c>
      <c r="B1180" s="2" t="n">
        <v>43223.47462962963</v>
      </c>
      <c r="C1180" t="n">
        <v>1</v>
      </c>
      <c r="D1180" t="n">
        <v>0</v>
      </c>
      <c r="E1180" t="s">
        <v>1190</v>
      </c>
      <c r="F1180" t="s"/>
      <c r="G1180" t="s"/>
      <c r="H1180" t="s"/>
      <c r="I1180" t="s"/>
      <c r="J1180" t="n">
        <v>0</v>
      </c>
      <c r="K1180" t="n">
        <v>0</v>
      </c>
      <c r="L1180" t="n">
        <v>1</v>
      </c>
      <c r="M1180" t="n">
        <v>0</v>
      </c>
    </row>
    <row r="1181" spans="1:13">
      <c r="A1181" s="1">
        <f>HYPERLINK("http://www.twitter.com/NathanBLawrence/status/992000269163655168", "992000269163655168")</f>
        <v/>
      </c>
      <c r="B1181" s="2" t="n">
        <v>43223.47070601852</v>
      </c>
      <c r="C1181" t="n">
        <v>4</v>
      </c>
      <c r="D1181" t="n">
        <v>2</v>
      </c>
      <c r="E1181" t="s">
        <v>1191</v>
      </c>
      <c r="F1181" t="s"/>
      <c r="G1181" t="s"/>
      <c r="H1181" t="s"/>
      <c r="I1181" t="s"/>
      <c r="J1181" t="n">
        <v>0.8486</v>
      </c>
      <c r="K1181" t="n">
        <v>0</v>
      </c>
      <c r="L1181" t="n">
        <v>0.833</v>
      </c>
      <c r="M1181" t="n">
        <v>0.167</v>
      </c>
    </row>
    <row r="1182" spans="1:13">
      <c r="A1182" s="1">
        <f>HYPERLINK("http://www.twitter.com/NathanBLawrence/status/991998306023804930", "991998306023804930")</f>
        <v/>
      </c>
      <c r="B1182" s="2" t="n">
        <v>43223.46528935185</v>
      </c>
      <c r="C1182" t="n">
        <v>1</v>
      </c>
      <c r="D1182" t="n">
        <v>0</v>
      </c>
      <c r="E1182" t="s">
        <v>1192</v>
      </c>
      <c r="F1182" t="s"/>
      <c r="G1182" t="s"/>
      <c r="H1182" t="s"/>
      <c r="I1182" t="s"/>
      <c r="J1182" t="n">
        <v>-0.34</v>
      </c>
      <c r="K1182" t="n">
        <v>0.179</v>
      </c>
      <c r="L1182" t="n">
        <v>0.821</v>
      </c>
      <c r="M1182" t="n">
        <v>0</v>
      </c>
    </row>
    <row r="1183" spans="1:13">
      <c r="A1183" s="1">
        <f>HYPERLINK("http://www.twitter.com/NathanBLawrence/status/991994852727513088", "991994852727513088")</f>
        <v/>
      </c>
      <c r="B1183" s="2" t="n">
        <v>43223.45575231482</v>
      </c>
      <c r="C1183" t="n">
        <v>2</v>
      </c>
      <c r="D1183" t="n">
        <v>1</v>
      </c>
      <c r="E1183" t="s">
        <v>1193</v>
      </c>
      <c r="F1183" t="s"/>
      <c r="G1183" t="s"/>
      <c r="H1183" t="s"/>
      <c r="I1183" t="s"/>
      <c r="J1183" t="n">
        <v>-0.3913</v>
      </c>
      <c r="K1183" t="n">
        <v>0.08799999999999999</v>
      </c>
      <c r="L1183" t="n">
        <v>0.86</v>
      </c>
      <c r="M1183" t="n">
        <v>0.053</v>
      </c>
    </row>
    <row r="1184" spans="1:13">
      <c r="A1184" s="1">
        <f>HYPERLINK("http://www.twitter.com/NathanBLawrence/status/991989769709244416", "991989769709244416")</f>
        <v/>
      </c>
      <c r="B1184" s="2" t="n">
        <v>43223.44173611111</v>
      </c>
      <c r="C1184" t="n">
        <v>1</v>
      </c>
      <c r="D1184" t="n">
        <v>0</v>
      </c>
      <c r="E1184" t="s">
        <v>1194</v>
      </c>
      <c r="F1184" t="s"/>
      <c r="G1184" t="s"/>
      <c r="H1184" t="s"/>
      <c r="I1184" t="s"/>
      <c r="J1184" t="n">
        <v>0.2481</v>
      </c>
      <c r="K1184" t="n">
        <v>0.184</v>
      </c>
      <c r="L1184" t="n">
        <v>0.579</v>
      </c>
      <c r="M1184" t="n">
        <v>0.237</v>
      </c>
    </row>
    <row r="1185" spans="1:13">
      <c r="A1185" s="1">
        <f>HYPERLINK("http://www.twitter.com/NathanBLawrence/status/991989089984548869", "991989089984548869")</f>
        <v/>
      </c>
      <c r="B1185" s="2" t="n">
        <v>43223.43984953704</v>
      </c>
      <c r="C1185" t="n">
        <v>1</v>
      </c>
      <c r="D1185" t="n">
        <v>0</v>
      </c>
      <c r="E1185" t="s">
        <v>1195</v>
      </c>
      <c r="F1185" t="s"/>
      <c r="G1185" t="s"/>
      <c r="H1185" t="s"/>
      <c r="I1185" t="s"/>
      <c r="J1185" t="n">
        <v>0.4753</v>
      </c>
      <c r="K1185" t="n">
        <v>0</v>
      </c>
      <c r="L1185" t="n">
        <v>0.5639999999999999</v>
      </c>
      <c r="M1185" t="n">
        <v>0.436</v>
      </c>
    </row>
    <row r="1186" spans="1:13">
      <c r="A1186" s="1">
        <f>HYPERLINK("http://www.twitter.com/NathanBLawrence/status/991988691810897920", "991988691810897920")</f>
        <v/>
      </c>
      <c r="B1186" s="2" t="n">
        <v>43223.43876157407</v>
      </c>
      <c r="C1186" t="n">
        <v>2</v>
      </c>
      <c r="D1186" t="n">
        <v>0</v>
      </c>
      <c r="E1186" t="s">
        <v>1196</v>
      </c>
      <c r="F1186" t="s"/>
      <c r="G1186" t="s"/>
      <c r="H1186" t="s"/>
      <c r="I1186" t="s"/>
      <c r="J1186" t="n">
        <v>0.1166</v>
      </c>
      <c r="K1186" t="n">
        <v>0.171</v>
      </c>
      <c r="L1186" t="n">
        <v>0.619</v>
      </c>
      <c r="M1186" t="n">
        <v>0.211</v>
      </c>
    </row>
    <row r="1187" spans="1:13">
      <c r="A1187" s="1">
        <f>HYPERLINK("http://www.twitter.com/NathanBLawrence/status/991987811615166464", "991987811615166464")</f>
        <v/>
      </c>
      <c r="B1187" s="2" t="n">
        <v>43223.43633101852</v>
      </c>
      <c r="C1187" t="n">
        <v>9</v>
      </c>
      <c r="D1187" t="n">
        <v>5</v>
      </c>
      <c r="E1187" t="s">
        <v>1197</v>
      </c>
      <c r="F1187" t="s"/>
      <c r="G1187" t="s"/>
      <c r="H1187" t="s"/>
      <c r="I1187" t="s"/>
      <c r="J1187" t="n">
        <v>-0.184</v>
      </c>
      <c r="K1187" t="n">
        <v>0.12</v>
      </c>
      <c r="L1187" t="n">
        <v>0.784</v>
      </c>
      <c r="M1187" t="n">
        <v>0.095</v>
      </c>
    </row>
    <row r="1188" spans="1:13">
      <c r="A1188" s="1">
        <f>HYPERLINK("http://www.twitter.com/NathanBLawrence/status/991986589860614144", "991986589860614144")</f>
        <v/>
      </c>
      <c r="B1188" s="2" t="n">
        <v>43223.43295138889</v>
      </c>
      <c r="C1188" t="n">
        <v>0</v>
      </c>
      <c r="D1188" t="n">
        <v>0</v>
      </c>
      <c r="E1188" t="s">
        <v>1198</v>
      </c>
      <c r="F1188" t="s"/>
      <c r="G1188" t="s"/>
      <c r="H1188" t="s"/>
      <c r="I1188" t="s"/>
      <c r="J1188" t="n">
        <v>-0.5386</v>
      </c>
      <c r="K1188" t="n">
        <v>0.215</v>
      </c>
      <c r="L1188" t="n">
        <v>0.635</v>
      </c>
      <c r="M1188" t="n">
        <v>0.15</v>
      </c>
    </row>
    <row r="1189" spans="1:13">
      <c r="A1189" s="1">
        <f>HYPERLINK("http://www.twitter.com/NathanBLawrence/status/991980672007987201", "991980672007987201")</f>
        <v/>
      </c>
      <c r="B1189" s="2" t="n">
        <v>43223.41662037037</v>
      </c>
      <c r="C1189" t="n">
        <v>0</v>
      </c>
      <c r="D1189" t="n">
        <v>2</v>
      </c>
      <c r="E1189" t="s">
        <v>1199</v>
      </c>
      <c r="F1189" t="s"/>
      <c r="G1189" t="s"/>
      <c r="H1189" t="s"/>
      <c r="I1189" t="s"/>
      <c r="J1189" t="n">
        <v>0</v>
      </c>
      <c r="K1189" t="n">
        <v>0</v>
      </c>
      <c r="L1189" t="n">
        <v>1</v>
      </c>
      <c r="M1189" t="n">
        <v>0</v>
      </c>
    </row>
    <row r="1190" spans="1:13">
      <c r="A1190" s="1">
        <f>HYPERLINK("http://www.twitter.com/NathanBLawrence/status/991980438062280704", "991980438062280704")</f>
        <v/>
      </c>
      <c r="B1190" s="2" t="n">
        <v>43223.41598379629</v>
      </c>
      <c r="C1190" t="n">
        <v>2</v>
      </c>
      <c r="D1190" t="n">
        <v>0</v>
      </c>
      <c r="E1190" t="s">
        <v>1200</v>
      </c>
      <c r="F1190" t="s"/>
      <c r="G1190" t="s"/>
      <c r="H1190" t="s"/>
      <c r="I1190" t="s"/>
      <c r="J1190" t="n">
        <v>0</v>
      </c>
      <c r="K1190" t="n">
        <v>0</v>
      </c>
      <c r="L1190" t="n">
        <v>1</v>
      </c>
      <c r="M1190" t="n">
        <v>0</v>
      </c>
    </row>
    <row r="1191" spans="1:13">
      <c r="A1191" s="1">
        <f>HYPERLINK("http://www.twitter.com/NathanBLawrence/status/991978822126985223", "991978822126985223")</f>
        <v/>
      </c>
      <c r="B1191" s="2" t="n">
        <v>43223.41151620371</v>
      </c>
      <c r="C1191" t="n">
        <v>0</v>
      </c>
      <c r="D1191" t="n">
        <v>0</v>
      </c>
      <c r="E1191" t="s">
        <v>1201</v>
      </c>
      <c r="F1191" t="s"/>
      <c r="G1191" t="s"/>
      <c r="H1191" t="s"/>
      <c r="I1191" t="s"/>
      <c r="J1191" t="n">
        <v>-0.25</v>
      </c>
      <c r="K1191" t="n">
        <v>0.125</v>
      </c>
      <c r="L1191" t="n">
        <v>0.875</v>
      </c>
      <c r="M1191" t="n">
        <v>0</v>
      </c>
    </row>
    <row r="1192" spans="1:13">
      <c r="A1192" s="1">
        <f>HYPERLINK("http://www.twitter.com/NathanBLawrence/status/991972807977439232", "991972807977439232")</f>
        <v/>
      </c>
      <c r="B1192" s="2" t="n">
        <v>43223.39493055556</v>
      </c>
      <c r="C1192" t="n">
        <v>0</v>
      </c>
      <c r="D1192" t="n">
        <v>1</v>
      </c>
      <c r="E1192" t="s">
        <v>1202</v>
      </c>
      <c r="F1192">
        <f>HYPERLINK("http://pbs.twimg.com/media/DcP8Lc_X0AAdZb5.jpg", "http://pbs.twimg.com/media/DcP8Lc_X0AAdZb5.jpg")</f>
        <v/>
      </c>
      <c r="G1192" t="s"/>
      <c r="H1192" t="s"/>
      <c r="I1192" t="s"/>
      <c r="J1192" t="n">
        <v>0</v>
      </c>
      <c r="K1192" t="n">
        <v>0</v>
      </c>
      <c r="L1192" t="n">
        <v>1</v>
      </c>
      <c r="M1192" t="n">
        <v>0</v>
      </c>
    </row>
    <row r="1193" spans="1:13">
      <c r="A1193" s="1">
        <f>HYPERLINK("http://www.twitter.com/NathanBLawrence/status/991878134868914176", "991878134868914176")</f>
        <v/>
      </c>
      <c r="B1193" s="2" t="n">
        <v>43223.13368055555</v>
      </c>
      <c r="C1193" t="n">
        <v>0</v>
      </c>
      <c r="D1193" t="n">
        <v>13</v>
      </c>
      <c r="E1193" t="s">
        <v>1203</v>
      </c>
      <c r="F1193" t="s"/>
      <c r="G1193" t="s"/>
      <c r="H1193" t="s"/>
      <c r="I1193" t="s"/>
      <c r="J1193" t="n">
        <v>-0.3182</v>
      </c>
      <c r="K1193" t="n">
        <v>0.272</v>
      </c>
      <c r="L1193" t="n">
        <v>0.553</v>
      </c>
      <c r="M1193" t="n">
        <v>0.174</v>
      </c>
    </row>
    <row r="1194" spans="1:13">
      <c r="A1194" s="1">
        <f>HYPERLINK("http://www.twitter.com/NathanBLawrence/status/991872478980034561", "991872478980034561")</f>
        <v/>
      </c>
      <c r="B1194" s="2" t="n">
        <v>43223.11806712963</v>
      </c>
      <c r="C1194" t="n">
        <v>0</v>
      </c>
      <c r="D1194" t="n">
        <v>3</v>
      </c>
      <c r="E1194" t="s">
        <v>1204</v>
      </c>
      <c r="F1194" t="s"/>
      <c r="G1194" t="s"/>
      <c r="H1194" t="s"/>
      <c r="I1194" t="s"/>
      <c r="J1194" t="n">
        <v>0</v>
      </c>
      <c r="K1194" t="n">
        <v>0</v>
      </c>
      <c r="L1194" t="n">
        <v>1</v>
      </c>
      <c r="M1194" t="n">
        <v>0</v>
      </c>
    </row>
    <row r="1195" spans="1:13">
      <c r="A1195" s="1">
        <f>HYPERLINK("http://www.twitter.com/NathanBLawrence/status/991862935365529602", "991862935365529602")</f>
        <v/>
      </c>
      <c r="B1195" s="2" t="n">
        <v>43223.09173611111</v>
      </c>
      <c r="C1195" t="n">
        <v>0</v>
      </c>
      <c r="D1195" t="n">
        <v>0</v>
      </c>
      <c r="E1195" t="s">
        <v>1205</v>
      </c>
      <c r="F1195" t="s"/>
      <c r="G1195" t="s"/>
      <c r="H1195" t="s"/>
      <c r="I1195" t="s"/>
      <c r="J1195" t="n">
        <v>0</v>
      </c>
      <c r="K1195" t="n">
        <v>0</v>
      </c>
      <c r="L1195" t="n">
        <v>1</v>
      </c>
      <c r="M1195" t="n">
        <v>0</v>
      </c>
    </row>
    <row r="1196" spans="1:13">
      <c r="A1196" s="1">
        <f>HYPERLINK("http://www.twitter.com/NathanBLawrence/status/991858592008548353", "991858592008548353")</f>
        <v/>
      </c>
      <c r="B1196" s="2" t="n">
        <v>43223.07974537037</v>
      </c>
      <c r="C1196" t="n">
        <v>5</v>
      </c>
      <c r="D1196" t="n">
        <v>5</v>
      </c>
      <c r="E1196" t="s">
        <v>1206</v>
      </c>
      <c r="F1196" t="s"/>
      <c r="G1196" t="s"/>
      <c r="H1196" t="s"/>
      <c r="I1196" t="s"/>
      <c r="J1196" t="n">
        <v>0</v>
      </c>
      <c r="K1196" t="n">
        <v>0</v>
      </c>
      <c r="L1196" t="n">
        <v>1</v>
      </c>
      <c r="M1196" t="n">
        <v>0</v>
      </c>
    </row>
    <row r="1197" spans="1:13">
      <c r="A1197" s="1">
        <f>HYPERLINK("http://www.twitter.com/NathanBLawrence/status/991854234252521472", "991854234252521472")</f>
        <v/>
      </c>
      <c r="B1197" s="2" t="n">
        <v>43223.06771990741</v>
      </c>
      <c r="C1197" t="n">
        <v>0</v>
      </c>
      <c r="D1197" t="n">
        <v>5</v>
      </c>
      <c r="E1197" t="s">
        <v>1207</v>
      </c>
      <c r="F1197" t="s"/>
      <c r="G1197" t="s"/>
      <c r="H1197" t="s"/>
      <c r="I1197" t="s"/>
      <c r="J1197" t="n">
        <v>0.4215</v>
      </c>
      <c r="K1197" t="n">
        <v>0</v>
      </c>
      <c r="L1197" t="n">
        <v>0.887</v>
      </c>
      <c r="M1197" t="n">
        <v>0.113</v>
      </c>
    </row>
    <row r="1198" spans="1:13">
      <c r="A1198" s="1">
        <f>HYPERLINK("http://www.twitter.com/NathanBLawrence/status/991853376618008576", "991853376618008576")</f>
        <v/>
      </c>
      <c r="B1198" s="2" t="n">
        <v>43223.0653587963</v>
      </c>
      <c r="C1198" t="n">
        <v>34</v>
      </c>
      <c r="D1198" t="n">
        <v>14</v>
      </c>
      <c r="E1198" t="s">
        <v>1208</v>
      </c>
      <c r="F1198" t="s"/>
      <c r="G1198" t="s"/>
      <c r="H1198" t="s"/>
      <c r="I1198" t="s"/>
      <c r="J1198" t="n">
        <v>-0.8645</v>
      </c>
      <c r="K1198" t="n">
        <v>0.165</v>
      </c>
      <c r="L1198" t="n">
        <v>0.835</v>
      </c>
      <c r="M1198" t="n">
        <v>0</v>
      </c>
    </row>
    <row r="1199" spans="1:13">
      <c r="A1199" s="1">
        <f>HYPERLINK("http://www.twitter.com/NathanBLawrence/status/991849058493960192", "991849058493960192")</f>
        <v/>
      </c>
      <c r="B1199" s="2" t="n">
        <v>43223.0534375</v>
      </c>
      <c r="C1199" t="n">
        <v>3</v>
      </c>
      <c r="D1199" t="n">
        <v>1</v>
      </c>
      <c r="E1199" t="s">
        <v>1209</v>
      </c>
      <c r="F1199" t="s"/>
      <c r="G1199" t="s"/>
      <c r="H1199" t="s"/>
      <c r="I1199" t="s"/>
      <c r="J1199" t="n">
        <v>-0.4574</v>
      </c>
      <c r="K1199" t="n">
        <v>0.23</v>
      </c>
      <c r="L1199" t="n">
        <v>0.77</v>
      </c>
      <c r="M1199" t="n">
        <v>0</v>
      </c>
    </row>
    <row r="1200" spans="1:13">
      <c r="A1200" s="1">
        <f>HYPERLINK("http://www.twitter.com/NathanBLawrence/status/991848196384014336", "991848196384014336")</f>
        <v/>
      </c>
      <c r="B1200" s="2" t="n">
        <v>43223.05106481481</v>
      </c>
      <c r="C1200" t="n">
        <v>0</v>
      </c>
      <c r="D1200" t="n">
        <v>0</v>
      </c>
      <c r="E1200" t="s">
        <v>1210</v>
      </c>
      <c r="F1200" t="s"/>
      <c r="G1200" t="s"/>
      <c r="H1200" t="s"/>
      <c r="I1200" t="s"/>
      <c r="J1200" t="n">
        <v>0.4215</v>
      </c>
      <c r="K1200" t="n">
        <v>0</v>
      </c>
      <c r="L1200" t="n">
        <v>0.797</v>
      </c>
      <c r="M1200" t="n">
        <v>0.203</v>
      </c>
    </row>
    <row r="1201" spans="1:13">
      <c r="A1201" s="1">
        <f>HYPERLINK("http://www.twitter.com/NathanBLawrence/status/991844032811855873", "991844032811855873")</f>
        <v/>
      </c>
      <c r="B1201" s="2" t="n">
        <v>43223.03957175926</v>
      </c>
      <c r="C1201" t="n">
        <v>0</v>
      </c>
      <c r="D1201" t="n">
        <v>0</v>
      </c>
      <c r="E1201" t="s">
        <v>1211</v>
      </c>
      <c r="F1201" t="s"/>
      <c r="G1201" t="s"/>
      <c r="H1201" t="s"/>
      <c r="I1201" t="s"/>
      <c r="J1201" t="n">
        <v>-0.4588</v>
      </c>
      <c r="K1201" t="n">
        <v>0.158</v>
      </c>
      <c r="L1201" t="n">
        <v>0.842</v>
      </c>
      <c r="M1201" t="n">
        <v>0</v>
      </c>
    </row>
    <row r="1202" spans="1:13">
      <c r="A1202" s="1">
        <f>HYPERLINK("http://www.twitter.com/NathanBLawrence/status/991842867705360385", "991842867705360385")</f>
        <v/>
      </c>
      <c r="B1202" s="2" t="n">
        <v>43223.03635416667</v>
      </c>
      <c r="C1202" t="n">
        <v>0</v>
      </c>
      <c r="D1202" t="n">
        <v>5</v>
      </c>
      <c r="E1202" t="s">
        <v>1212</v>
      </c>
      <c r="F1202" t="s"/>
      <c r="G1202" t="s"/>
      <c r="H1202" t="s"/>
      <c r="I1202" t="s"/>
      <c r="J1202" t="n">
        <v>0.7846</v>
      </c>
      <c r="K1202" t="n">
        <v>0</v>
      </c>
      <c r="L1202" t="n">
        <v>0.67</v>
      </c>
      <c r="M1202" t="n">
        <v>0.33</v>
      </c>
    </row>
    <row r="1203" spans="1:13">
      <c r="A1203" s="1">
        <f>HYPERLINK("http://www.twitter.com/NathanBLawrence/status/991842797148762112", "991842797148762112")</f>
        <v/>
      </c>
      <c r="B1203" s="2" t="n">
        <v>43223.03616898148</v>
      </c>
      <c r="C1203" t="n">
        <v>0</v>
      </c>
      <c r="D1203" t="n">
        <v>1</v>
      </c>
      <c r="E1203" t="s">
        <v>1213</v>
      </c>
      <c r="F1203" t="s"/>
      <c r="G1203" t="s"/>
      <c r="H1203" t="s"/>
      <c r="I1203" t="s"/>
      <c r="J1203" t="n">
        <v>0.128</v>
      </c>
      <c r="K1203" t="n">
        <v>0.073</v>
      </c>
      <c r="L1203" t="n">
        <v>0.829</v>
      </c>
      <c r="M1203" t="n">
        <v>0.098</v>
      </c>
    </row>
    <row r="1204" spans="1:13">
      <c r="A1204" s="1">
        <f>HYPERLINK("http://www.twitter.com/NathanBLawrence/status/991842473579286530", "991842473579286530")</f>
        <v/>
      </c>
      <c r="B1204" s="2" t="n">
        <v>43223.0352662037</v>
      </c>
      <c r="C1204" t="n">
        <v>0</v>
      </c>
      <c r="D1204" t="n">
        <v>10</v>
      </c>
      <c r="E1204" t="s">
        <v>1214</v>
      </c>
      <c r="F1204" t="s"/>
      <c r="G1204" t="s"/>
      <c r="H1204" t="s"/>
      <c r="I1204" t="s"/>
      <c r="J1204" t="n">
        <v>0</v>
      </c>
      <c r="K1204" t="n">
        <v>0</v>
      </c>
      <c r="L1204" t="n">
        <v>1</v>
      </c>
      <c r="M1204" t="n">
        <v>0</v>
      </c>
    </row>
    <row r="1205" spans="1:13">
      <c r="A1205" s="1">
        <f>HYPERLINK("http://www.twitter.com/NathanBLawrence/status/991842418231197696", "991842418231197696")</f>
        <v/>
      </c>
      <c r="B1205" s="2" t="n">
        <v>43223.03511574074</v>
      </c>
      <c r="C1205" t="n">
        <v>0</v>
      </c>
      <c r="D1205" t="n">
        <v>5</v>
      </c>
      <c r="E1205" t="s">
        <v>1215</v>
      </c>
      <c r="F1205" t="s"/>
      <c r="G1205" t="s"/>
      <c r="H1205" t="s"/>
      <c r="I1205" t="s"/>
      <c r="J1205" t="n">
        <v>0</v>
      </c>
      <c r="K1205" t="n">
        <v>0</v>
      </c>
      <c r="L1205" t="n">
        <v>1</v>
      </c>
      <c r="M1205" t="n">
        <v>0</v>
      </c>
    </row>
    <row r="1206" spans="1:13">
      <c r="A1206" s="1">
        <f>HYPERLINK("http://www.twitter.com/NathanBLawrence/status/991842232352165888", "991842232352165888")</f>
        <v/>
      </c>
      <c r="B1206" s="2" t="n">
        <v>43223.03460648148</v>
      </c>
      <c r="C1206" t="n">
        <v>0</v>
      </c>
      <c r="D1206" t="n">
        <v>5</v>
      </c>
      <c r="E1206" t="s">
        <v>1216</v>
      </c>
      <c r="F1206" t="s"/>
      <c r="G1206" t="s"/>
      <c r="H1206" t="s"/>
      <c r="I1206" t="s"/>
      <c r="J1206" t="n">
        <v>-0.4404</v>
      </c>
      <c r="K1206" t="n">
        <v>0.187</v>
      </c>
      <c r="L1206" t="n">
        <v>0.727</v>
      </c>
      <c r="M1206" t="n">
        <v>0.08699999999999999</v>
      </c>
    </row>
    <row r="1207" spans="1:13">
      <c r="A1207" s="1">
        <f>HYPERLINK("http://www.twitter.com/NathanBLawrence/status/991842171593539585", "991842171593539585")</f>
        <v/>
      </c>
      <c r="B1207" s="2" t="n">
        <v>43223.03443287037</v>
      </c>
      <c r="C1207" t="n">
        <v>0</v>
      </c>
      <c r="D1207" t="n">
        <v>5</v>
      </c>
      <c r="E1207" t="s">
        <v>1217</v>
      </c>
      <c r="F1207" t="s"/>
      <c r="G1207" t="s"/>
      <c r="H1207" t="s"/>
      <c r="I1207" t="s"/>
      <c r="J1207" t="n">
        <v>-0.0516</v>
      </c>
      <c r="K1207" t="n">
        <v>0.062</v>
      </c>
      <c r="L1207" t="n">
        <v>0.9379999999999999</v>
      </c>
      <c r="M1207" t="n">
        <v>0</v>
      </c>
    </row>
    <row r="1208" spans="1:13">
      <c r="A1208" s="1">
        <f>HYPERLINK("http://www.twitter.com/NathanBLawrence/status/991841692725657600", "991841692725657600")</f>
        <v/>
      </c>
      <c r="B1208" s="2" t="n">
        <v>43223.03311342592</v>
      </c>
      <c r="C1208" t="n">
        <v>1</v>
      </c>
      <c r="D1208" t="n">
        <v>1</v>
      </c>
      <c r="E1208" t="s">
        <v>1218</v>
      </c>
      <c r="F1208" t="s"/>
      <c r="G1208" t="s"/>
      <c r="H1208" t="s"/>
      <c r="I1208" t="s"/>
      <c r="J1208" t="n">
        <v>0.9325</v>
      </c>
      <c r="K1208" t="n">
        <v>0.023</v>
      </c>
      <c r="L1208" t="n">
        <v>0.669</v>
      </c>
      <c r="M1208" t="n">
        <v>0.308</v>
      </c>
    </row>
    <row r="1209" spans="1:13">
      <c r="A1209" s="1">
        <f>HYPERLINK("http://www.twitter.com/NathanBLawrence/status/991836743694462976", "991836743694462976")</f>
        <v/>
      </c>
      <c r="B1209" s="2" t="n">
        <v>43223.01945601852</v>
      </c>
      <c r="C1209" t="n">
        <v>0</v>
      </c>
      <c r="D1209" t="n">
        <v>41</v>
      </c>
      <c r="E1209" t="s">
        <v>1219</v>
      </c>
      <c r="F1209" t="s"/>
      <c r="G1209" t="s"/>
      <c r="H1209" t="s"/>
      <c r="I1209" t="s"/>
      <c r="J1209" t="n">
        <v>-0.3612</v>
      </c>
      <c r="K1209" t="n">
        <v>0.135</v>
      </c>
      <c r="L1209" t="n">
        <v>0.865</v>
      </c>
      <c r="M1209" t="n">
        <v>0</v>
      </c>
    </row>
    <row r="1210" spans="1:13">
      <c r="A1210" s="1">
        <f>HYPERLINK("http://www.twitter.com/NathanBLawrence/status/991836179610861568", "991836179610861568")</f>
        <v/>
      </c>
      <c r="B1210" s="2" t="n">
        <v>43223.01790509259</v>
      </c>
      <c r="C1210" t="n">
        <v>1</v>
      </c>
      <c r="D1210" t="n">
        <v>0</v>
      </c>
      <c r="E1210" t="s">
        <v>1220</v>
      </c>
      <c r="F1210" t="s"/>
      <c r="G1210" t="s"/>
      <c r="H1210" t="s"/>
      <c r="I1210" t="s"/>
      <c r="J1210" t="n">
        <v>0.1027</v>
      </c>
      <c r="K1210" t="n">
        <v>0.07099999999999999</v>
      </c>
      <c r="L1210" t="n">
        <v>0.873</v>
      </c>
      <c r="M1210" t="n">
        <v>0.057</v>
      </c>
    </row>
    <row r="1211" spans="1:13">
      <c r="A1211" s="1">
        <f>HYPERLINK("http://www.twitter.com/NathanBLawrence/status/991833159032598529", "991833159032598529")</f>
        <v/>
      </c>
      <c r="B1211" s="2" t="n">
        <v>43223.00957175926</v>
      </c>
      <c r="C1211" t="n">
        <v>0</v>
      </c>
      <c r="D1211" t="n">
        <v>0</v>
      </c>
      <c r="E1211" t="s">
        <v>1221</v>
      </c>
      <c r="F1211" t="s"/>
      <c r="G1211" t="s"/>
      <c r="H1211" t="s"/>
      <c r="I1211" t="s"/>
      <c r="J1211" t="n">
        <v>-0.4466</v>
      </c>
      <c r="K1211" t="n">
        <v>0.328</v>
      </c>
      <c r="L1211" t="n">
        <v>0.672</v>
      </c>
      <c r="M1211" t="n">
        <v>0</v>
      </c>
    </row>
    <row r="1212" spans="1:13">
      <c r="A1212" s="1">
        <f>HYPERLINK("http://www.twitter.com/NathanBLawrence/status/991810398675505152", "991810398675505152")</f>
        <v/>
      </c>
      <c r="B1212" s="2" t="n">
        <v>43222.94675925926</v>
      </c>
      <c r="C1212" t="n">
        <v>1</v>
      </c>
      <c r="D1212" t="n">
        <v>0</v>
      </c>
      <c r="E1212" t="s">
        <v>1222</v>
      </c>
      <c r="F1212" t="s"/>
      <c r="G1212" t="s"/>
      <c r="H1212" t="s"/>
      <c r="I1212" t="s"/>
      <c r="J1212" t="n">
        <v>0.2732</v>
      </c>
      <c r="K1212" t="n">
        <v>0.094</v>
      </c>
      <c r="L1212" t="n">
        <v>0.766</v>
      </c>
      <c r="M1212" t="n">
        <v>0.14</v>
      </c>
    </row>
    <row r="1213" spans="1:13">
      <c r="A1213" s="1">
        <f>HYPERLINK("http://www.twitter.com/NathanBLawrence/status/991809835695001605", "991809835695001605")</f>
        <v/>
      </c>
      <c r="B1213" s="2" t="n">
        <v>43222.94520833333</v>
      </c>
      <c r="C1213" t="n">
        <v>0</v>
      </c>
      <c r="D1213" t="n">
        <v>3</v>
      </c>
      <c r="E1213" t="s">
        <v>1223</v>
      </c>
      <c r="F1213" t="s"/>
      <c r="G1213" t="s"/>
      <c r="H1213" t="s"/>
      <c r="I1213" t="s"/>
      <c r="J1213" t="n">
        <v>0</v>
      </c>
      <c r="K1213" t="n">
        <v>0</v>
      </c>
      <c r="L1213" t="n">
        <v>1</v>
      </c>
      <c r="M1213" t="n">
        <v>0</v>
      </c>
    </row>
    <row r="1214" spans="1:13">
      <c r="A1214" s="1">
        <f>HYPERLINK("http://www.twitter.com/NathanBLawrence/status/991809778451144704", "991809778451144704")</f>
        <v/>
      </c>
      <c r="B1214" s="2" t="n">
        <v>43222.9450462963</v>
      </c>
      <c r="C1214" t="n">
        <v>0</v>
      </c>
      <c r="D1214" t="n">
        <v>9</v>
      </c>
      <c r="E1214" t="s">
        <v>1224</v>
      </c>
      <c r="F1214" t="s"/>
      <c r="G1214" t="s"/>
      <c r="H1214" t="s"/>
      <c r="I1214" t="s"/>
      <c r="J1214" t="n">
        <v>-0.8415</v>
      </c>
      <c r="K1214" t="n">
        <v>0.277</v>
      </c>
      <c r="L1214" t="n">
        <v>0.723</v>
      </c>
      <c r="M1214" t="n">
        <v>0</v>
      </c>
    </row>
    <row r="1215" spans="1:13">
      <c r="A1215" s="1">
        <f>HYPERLINK("http://www.twitter.com/NathanBLawrence/status/991808728075730945", "991808728075730945")</f>
        <v/>
      </c>
      <c r="B1215" s="2" t="n">
        <v>43222.94215277778</v>
      </c>
      <c r="C1215" t="n">
        <v>1</v>
      </c>
      <c r="D1215" t="n">
        <v>0</v>
      </c>
      <c r="E1215" t="s">
        <v>1225</v>
      </c>
      <c r="F1215" t="s"/>
      <c r="G1215" t="s"/>
      <c r="H1215" t="s"/>
      <c r="I1215" t="s"/>
      <c r="J1215" t="n">
        <v>0</v>
      </c>
      <c r="K1215" t="n">
        <v>0</v>
      </c>
      <c r="L1215" t="n">
        <v>1</v>
      </c>
      <c r="M1215" t="n">
        <v>0</v>
      </c>
    </row>
    <row r="1216" spans="1:13">
      <c r="A1216" s="1">
        <f>HYPERLINK("http://www.twitter.com/NathanBLawrence/status/991805428777541633", "991805428777541633")</f>
        <v/>
      </c>
      <c r="B1216" s="2" t="n">
        <v>43222.93304398148</v>
      </c>
      <c r="C1216" t="n">
        <v>3</v>
      </c>
      <c r="D1216" t="n">
        <v>0</v>
      </c>
      <c r="E1216" t="s">
        <v>1226</v>
      </c>
      <c r="F1216" t="s"/>
      <c r="G1216" t="s"/>
      <c r="H1216" t="s"/>
      <c r="I1216" t="s"/>
      <c r="J1216" t="n">
        <v>-0.3612</v>
      </c>
      <c r="K1216" t="n">
        <v>0.172</v>
      </c>
      <c r="L1216" t="n">
        <v>0.828</v>
      </c>
      <c r="M1216" t="n">
        <v>0</v>
      </c>
    </row>
    <row r="1217" spans="1:13">
      <c r="A1217" s="1">
        <f>HYPERLINK("http://www.twitter.com/NathanBLawrence/status/991796316983394306", "991796316983394306")</f>
        <v/>
      </c>
      <c r="B1217" s="2" t="n">
        <v>43222.90790509259</v>
      </c>
      <c r="C1217" t="n">
        <v>0</v>
      </c>
      <c r="D1217" t="n">
        <v>11</v>
      </c>
      <c r="E1217" t="s">
        <v>1227</v>
      </c>
      <c r="F1217">
        <f>HYPERLINK("http://pbs.twimg.com/media/DcOPCIXUwAARGSL.jpg", "http://pbs.twimg.com/media/DcOPCIXUwAARGSL.jpg")</f>
        <v/>
      </c>
      <c r="G1217" t="s"/>
      <c r="H1217" t="s"/>
      <c r="I1217" t="s"/>
      <c r="J1217" t="n">
        <v>0.128</v>
      </c>
      <c r="K1217" t="n">
        <v>0</v>
      </c>
      <c r="L1217" t="n">
        <v>0.93</v>
      </c>
      <c r="M1217" t="n">
        <v>0.07000000000000001</v>
      </c>
    </row>
    <row r="1218" spans="1:13">
      <c r="A1218" s="1">
        <f>HYPERLINK("http://www.twitter.com/NathanBLawrence/status/991796302768943106", "991796302768943106")</f>
        <v/>
      </c>
      <c r="B1218" s="2" t="n">
        <v>43222.90785879629</v>
      </c>
      <c r="C1218" t="n">
        <v>0</v>
      </c>
      <c r="D1218" t="n">
        <v>3</v>
      </c>
      <c r="E1218" t="s">
        <v>1228</v>
      </c>
      <c r="F1218">
        <f>HYPERLINK("http://pbs.twimg.com/media/DcOQ1v8U8AAWOLL.jpg", "http://pbs.twimg.com/media/DcOQ1v8U8AAWOLL.jpg")</f>
        <v/>
      </c>
      <c r="G1218" t="s"/>
      <c r="H1218" t="s"/>
      <c r="I1218" t="s"/>
      <c r="J1218" t="n">
        <v>0.34</v>
      </c>
      <c r="K1218" t="n">
        <v>0</v>
      </c>
      <c r="L1218" t="n">
        <v>0.833</v>
      </c>
      <c r="M1218" t="n">
        <v>0.167</v>
      </c>
    </row>
    <row r="1219" spans="1:13">
      <c r="A1219" s="1">
        <f>HYPERLINK("http://www.twitter.com/NathanBLawrence/status/991793135503183872", "991793135503183872")</f>
        <v/>
      </c>
      <c r="B1219" s="2" t="n">
        <v>43222.89912037037</v>
      </c>
      <c r="C1219" t="n">
        <v>0</v>
      </c>
      <c r="D1219" t="n">
        <v>21</v>
      </c>
      <c r="E1219" t="s">
        <v>1229</v>
      </c>
      <c r="F1219">
        <f>HYPERLINK("http://pbs.twimg.com/media/DcOFjXvX0AcP-kZ.jpg", "http://pbs.twimg.com/media/DcOFjXvX0AcP-kZ.jpg")</f>
        <v/>
      </c>
      <c r="G1219" t="s"/>
      <c r="H1219" t="s"/>
      <c r="I1219" t="s"/>
      <c r="J1219" t="n">
        <v>0</v>
      </c>
      <c r="K1219" t="n">
        <v>0</v>
      </c>
      <c r="L1219" t="n">
        <v>1</v>
      </c>
      <c r="M1219" t="n">
        <v>0</v>
      </c>
    </row>
    <row r="1220" spans="1:13">
      <c r="A1220" s="1">
        <f>HYPERLINK("http://www.twitter.com/NathanBLawrence/status/991788717307252736", "991788717307252736")</f>
        <v/>
      </c>
      <c r="B1220" s="2" t="n">
        <v>43222.88693287037</v>
      </c>
      <c r="C1220" t="n">
        <v>0</v>
      </c>
      <c r="D1220" t="n">
        <v>0</v>
      </c>
      <c r="E1220" t="s">
        <v>1230</v>
      </c>
      <c r="F1220" t="s"/>
      <c r="G1220" t="s"/>
      <c r="H1220" t="s"/>
      <c r="I1220" t="s"/>
      <c r="J1220" t="n">
        <v>-0.296</v>
      </c>
      <c r="K1220" t="n">
        <v>0.08400000000000001</v>
      </c>
      <c r="L1220" t="n">
        <v>0.916</v>
      </c>
      <c r="M1220" t="n">
        <v>0</v>
      </c>
    </row>
    <row r="1221" spans="1:13">
      <c r="A1221" s="1">
        <f>HYPERLINK("http://www.twitter.com/NathanBLawrence/status/991786949890502656", "991786949890502656")</f>
        <v/>
      </c>
      <c r="B1221" s="2" t="n">
        <v>43222.88206018518</v>
      </c>
      <c r="C1221" t="n">
        <v>2</v>
      </c>
      <c r="D1221" t="n">
        <v>1</v>
      </c>
      <c r="E1221" t="s">
        <v>1231</v>
      </c>
      <c r="F1221" t="s"/>
      <c r="G1221" t="s"/>
      <c r="H1221" t="s"/>
      <c r="I1221" t="s"/>
      <c r="J1221" t="n">
        <v>-0.296</v>
      </c>
      <c r="K1221" t="n">
        <v>0.128</v>
      </c>
      <c r="L1221" t="n">
        <v>0.872</v>
      </c>
      <c r="M1221" t="n">
        <v>0</v>
      </c>
    </row>
    <row r="1222" spans="1:13">
      <c r="A1222" s="1">
        <f>HYPERLINK("http://www.twitter.com/NathanBLawrence/status/991770472550412289", "991770472550412289")</f>
        <v/>
      </c>
      <c r="B1222" s="2" t="n">
        <v>43222.83658564815</v>
      </c>
      <c r="C1222" t="n">
        <v>0</v>
      </c>
      <c r="D1222" t="n">
        <v>1</v>
      </c>
      <c r="E1222" t="s">
        <v>1232</v>
      </c>
      <c r="F1222" t="s"/>
      <c r="G1222" t="s"/>
      <c r="H1222" t="s"/>
      <c r="I1222" t="s"/>
      <c r="J1222" t="n">
        <v>-0.9022</v>
      </c>
      <c r="K1222" t="n">
        <v>0.377</v>
      </c>
      <c r="L1222" t="n">
        <v>0.623</v>
      </c>
      <c r="M1222" t="n">
        <v>0</v>
      </c>
    </row>
    <row r="1223" spans="1:13">
      <c r="A1223" s="1">
        <f>HYPERLINK("http://www.twitter.com/NathanBLawrence/status/991766628277936129", "991766628277936129")</f>
        <v/>
      </c>
      <c r="B1223" s="2" t="n">
        <v>43222.82597222222</v>
      </c>
      <c r="C1223" t="n">
        <v>0</v>
      </c>
      <c r="D1223" t="n">
        <v>3</v>
      </c>
      <c r="E1223" t="s">
        <v>1233</v>
      </c>
      <c r="F1223" t="s"/>
      <c r="G1223" t="s"/>
      <c r="H1223" t="s"/>
      <c r="I1223" t="s"/>
      <c r="J1223" t="n">
        <v>-0.5106000000000001</v>
      </c>
      <c r="K1223" t="n">
        <v>0.235</v>
      </c>
      <c r="L1223" t="n">
        <v>0.765</v>
      </c>
      <c r="M1223" t="n">
        <v>0</v>
      </c>
    </row>
    <row r="1224" spans="1:13">
      <c r="A1224" s="1">
        <f>HYPERLINK("http://www.twitter.com/NathanBLawrence/status/991766255513292803", "991766255513292803")</f>
        <v/>
      </c>
      <c r="B1224" s="2" t="n">
        <v>43222.8249537037</v>
      </c>
      <c r="C1224" t="n">
        <v>0</v>
      </c>
      <c r="D1224" t="n">
        <v>6</v>
      </c>
      <c r="E1224" t="s">
        <v>1234</v>
      </c>
      <c r="F1224" t="s"/>
      <c r="G1224" t="s"/>
      <c r="H1224" t="s"/>
      <c r="I1224" t="s"/>
      <c r="J1224" t="n">
        <v>0.4939</v>
      </c>
      <c r="K1224" t="n">
        <v>0.065</v>
      </c>
      <c r="L1224" t="n">
        <v>0.733</v>
      </c>
      <c r="M1224" t="n">
        <v>0.203</v>
      </c>
    </row>
    <row r="1225" spans="1:13">
      <c r="A1225" s="1">
        <f>HYPERLINK("http://www.twitter.com/NathanBLawrence/status/991765499796221959", "991765499796221959")</f>
        <v/>
      </c>
      <c r="B1225" s="2" t="n">
        <v>43222.82285879629</v>
      </c>
      <c r="C1225" t="n">
        <v>0</v>
      </c>
      <c r="D1225" t="n">
        <v>1</v>
      </c>
      <c r="E1225" t="s">
        <v>1235</v>
      </c>
      <c r="F1225" t="s"/>
      <c r="G1225" t="s"/>
      <c r="H1225" t="s"/>
      <c r="I1225" t="s"/>
      <c r="J1225" t="n">
        <v>0.3291</v>
      </c>
      <c r="K1225" t="n">
        <v>0</v>
      </c>
      <c r="L1225" t="n">
        <v>0.915</v>
      </c>
      <c r="M1225" t="n">
        <v>0.08500000000000001</v>
      </c>
    </row>
    <row r="1226" spans="1:13">
      <c r="A1226" s="1">
        <f>HYPERLINK("http://www.twitter.com/NathanBLawrence/status/991763015249944577", "991763015249944577")</f>
        <v/>
      </c>
      <c r="B1226" s="2" t="n">
        <v>43222.81600694444</v>
      </c>
      <c r="C1226" t="n">
        <v>1</v>
      </c>
      <c r="D1226" t="n">
        <v>1</v>
      </c>
      <c r="E1226" t="s">
        <v>1236</v>
      </c>
      <c r="F1226" t="s"/>
      <c r="G1226" t="s"/>
      <c r="H1226" t="s"/>
      <c r="I1226" t="s"/>
      <c r="J1226" t="n">
        <v>0</v>
      </c>
      <c r="K1226" t="n">
        <v>0</v>
      </c>
      <c r="L1226" t="n">
        <v>1</v>
      </c>
      <c r="M1226" t="n">
        <v>0</v>
      </c>
    </row>
    <row r="1227" spans="1:13">
      <c r="A1227" s="1">
        <f>HYPERLINK("http://www.twitter.com/NathanBLawrence/status/991762434347225088", "991762434347225088")</f>
        <v/>
      </c>
      <c r="B1227" s="2" t="n">
        <v>43222.81440972222</v>
      </c>
      <c r="C1227" t="n">
        <v>0</v>
      </c>
      <c r="D1227" t="n">
        <v>7</v>
      </c>
      <c r="E1227" t="s">
        <v>1237</v>
      </c>
      <c r="F1227">
        <f>HYPERLINK("http://pbs.twimg.com/media/DcNv0M2WkAA1A8P.jpg", "http://pbs.twimg.com/media/DcNv0M2WkAA1A8P.jpg")</f>
        <v/>
      </c>
      <c r="G1227" t="s"/>
      <c r="H1227" t="s"/>
      <c r="I1227" t="s"/>
      <c r="J1227" t="n">
        <v>0.4648</v>
      </c>
      <c r="K1227" t="n">
        <v>0</v>
      </c>
      <c r="L1227" t="n">
        <v>0.841</v>
      </c>
      <c r="M1227" t="n">
        <v>0.159</v>
      </c>
    </row>
    <row r="1228" spans="1:13">
      <c r="A1228" s="1">
        <f>HYPERLINK("http://www.twitter.com/NathanBLawrence/status/991751160536150016", "991751160536150016")</f>
        <v/>
      </c>
      <c r="B1228" s="2" t="n">
        <v>43222.78329861111</v>
      </c>
      <c r="C1228" t="n">
        <v>0</v>
      </c>
      <c r="D1228" t="n">
        <v>4</v>
      </c>
      <c r="E1228" t="s">
        <v>1238</v>
      </c>
      <c r="F1228" t="s"/>
      <c r="G1228" t="s"/>
      <c r="H1228" t="s"/>
      <c r="I1228" t="s"/>
      <c r="J1228" t="n">
        <v>0.0516</v>
      </c>
      <c r="K1228" t="n">
        <v>0.161</v>
      </c>
      <c r="L1228" t="n">
        <v>0.671</v>
      </c>
      <c r="M1228" t="n">
        <v>0.168</v>
      </c>
    </row>
    <row r="1229" spans="1:13">
      <c r="A1229" s="1">
        <f>HYPERLINK("http://www.twitter.com/NathanBLawrence/status/991750908039061504", "991750908039061504")</f>
        <v/>
      </c>
      <c r="B1229" s="2" t="n">
        <v>43222.78259259259</v>
      </c>
      <c r="C1229" t="n">
        <v>1</v>
      </c>
      <c r="D1229" t="n">
        <v>0</v>
      </c>
      <c r="E1229" t="s">
        <v>1239</v>
      </c>
      <c r="F1229" t="s"/>
      <c r="G1229" t="s"/>
      <c r="H1229" t="s"/>
      <c r="I1229" t="s"/>
      <c r="J1229" t="n">
        <v>0</v>
      </c>
      <c r="K1229" t="n">
        <v>0</v>
      </c>
      <c r="L1229" t="n">
        <v>1</v>
      </c>
      <c r="M1229" t="n">
        <v>0</v>
      </c>
    </row>
    <row r="1230" spans="1:13">
      <c r="A1230" s="1">
        <f>HYPERLINK("http://www.twitter.com/NathanBLawrence/status/991749145223483394", "991749145223483394")</f>
        <v/>
      </c>
      <c r="B1230" s="2" t="n">
        <v>43222.77773148148</v>
      </c>
      <c r="C1230" t="n">
        <v>2</v>
      </c>
      <c r="D1230" t="n">
        <v>1</v>
      </c>
      <c r="E1230" t="s">
        <v>1240</v>
      </c>
      <c r="F1230" t="s"/>
      <c r="G1230" t="s"/>
      <c r="H1230" t="s"/>
      <c r="I1230" t="s"/>
      <c r="J1230" t="n">
        <v>0</v>
      </c>
      <c r="K1230" t="n">
        <v>0</v>
      </c>
      <c r="L1230" t="n">
        <v>1</v>
      </c>
      <c r="M1230" t="n">
        <v>0</v>
      </c>
    </row>
    <row r="1231" spans="1:13">
      <c r="A1231" s="1">
        <f>HYPERLINK("http://www.twitter.com/NathanBLawrence/status/991747724277141504", "991747724277141504")</f>
        <v/>
      </c>
      <c r="B1231" s="2" t="n">
        <v>43222.77380787037</v>
      </c>
      <c r="C1231" t="n">
        <v>0</v>
      </c>
      <c r="D1231" t="n">
        <v>4</v>
      </c>
      <c r="E1231" t="s">
        <v>1241</v>
      </c>
      <c r="F1231" t="s"/>
      <c r="G1231" t="s"/>
      <c r="H1231" t="s"/>
      <c r="I1231" t="s"/>
      <c r="J1231" t="n">
        <v>-0.2732</v>
      </c>
      <c r="K1231" t="n">
        <v>0.296</v>
      </c>
      <c r="L1231" t="n">
        <v>0.704</v>
      </c>
      <c r="M1231" t="n">
        <v>0</v>
      </c>
    </row>
    <row r="1232" spans="1:13">
      <c r="A1232" s="1">
        <f>HYPERLINK("http://www.twitter.com/NathanBLawrence/status/991736159524057089", "991736159524057089")</f>
        <v/>
      </c>
      <c r="B1232" s="2" t="n">
        <v>43222.74189814815</v>
      </c>
      <c r="C1232" t="n">
        <v>0</v>
      </c>
      <c r="D1232" t="n">
        <v>812</v>
      </c>
      <c r="E1232" t="s">
        <v>1242</v>
      </c>
      <c r="F1232">
        <f>HYPERLINK("http://pbs.twimg.com/media/DcNWXBZWkAAG8Z8.jpg", "http://pbs.twimg.com/media/DcNWXBZWkAAG8Z8.jpg")</f>
        <v/>
      </c>
      <c r="G1232">
        <f>HYPERLINK("http://pbs.twimg.com/media/DcNWXWFXcAAez0L.jpg", "http://pbs.twimg.com/media/DcNWXWFXcAAez0L.jpg")</f>
        <v/>
      </c>
      <c r="H1232">
        <f>HYPERLINK("http://pbs.twimg.com/media/DcNWXnOWsAIOhxy.jpg", "http://pbs.twimg.com/media/DcNWXnOWsAIOhxy.jpg")</f>
        <v/>
      </c>
      <c r="I1232" t="s"/>
      <c r="J1232" t="n">
        <v>0</v>
      </c>
      <c r="K1232" t="n">
        <v>0</v>
      </c>
      <c r="L1232" t="n">
        <v>1</v>
      </c>
      <c r="M1232" t="n">
        <v>0</v>
      </c>
    </row>
    <row r="1233" spans="1:13">
      <c r="A1233" s="1">
        <f>HYPERLINK("http://www.twitter.com/NathanBLawrence/status/991732799978786816", "991732799978786816")</f>
        <v/>
      </c>
      <c r="B1233" s="2" t="n">
        <v>43222.73262731481</v>
      </c>
      <c r="C1233" t="n">
        <v>0</v>
      </c>
      <c r="D1233" t="n">
        <v>0</v>
      </c>
      <c r="E1233" t="s">
        <v>1243</v>
      </c>
      <c r="F1233" t="s"/>
      <c r="G1233" t="s"/>
      <c r="H1233" t="s"/>
      <c r="I1233" t="s"/>
      <c r="J1233" t="n">
        <v>0</v>
      </c>
      <c r="K1233" t="n">
        <v>0</v>
      </c>
      <c r="L1233" t="n">
        <v>1</v>
      </c>
      <c r="M1233" t="n">
        <v>0</v>
      </c>
    </row>
    <row r="1234" spans="1:13">
      <c r="A1234" s="1">
        <f>HYPERLINK("http://www.twitter.com/NathanBLawrence/status/991731886031560709", "991731886031560709")</f>
        <v/>
      </c>
      <c r="B1234" s="2" t="n">
        <v>43222.73010416667</v>
      </c>
      <c r="C1234" t="n">
        <v>3</v>
      </c>
      <c r="D1234" t="n">
        <v>4</v>
      </c>
      <c r="E1234" t="s">
        <v>1244</v>
      </c>
      <c r="F1234" t="s"/>
      <c r="G1234" t="s"/>
      <c r="H1234" t="s"/>
      <c r="I1234" t="s"/>
      <c r="J1234" t="n">
        <v>-0.7447</v>
      </c>
      <c r="K1234" t="n">
        <v>0.294</v>
      </c>
      <c r="L1234" t="n">
        <v>0.706</v>
      </c>
      <c r="M1234" t="n">
        <v>0</v>
      </c>
    </row>
    <row r="1235" spans="1:13">
      <c r="A1235" s="1">
        <f>HYPERLINK("http://www.twitter.com/NathanBLawrence/status/991730247950389248", "991730247950389248")</f>
        <v/>
      </c>
      <c r="B1235" s="2" t="n">
        <v>43222.72559027778</v>
      </c>
      <c r="C1235" t="n">
        <v>0</v>
      </c>
      <c r="D1235" t="n">
        <v>0</v>
      </c>
      <c r="E1235" t="s">
        <v>1245</v>
      </c>
      <c r="F1235" t="s"/>
      <c r="G1235" t="s"/>
      <c r="H1235" t="s"/>
      <c r="I1235" t="s"/>
      <c r="J1235" t="n">
        <v>0.25</v>
      </c>
      <c r="K1235" t="n">
        <v>0.091</v>
      </c>
      <c r="L1235" t="n">
        <v>0.731</v>
      </c>
      <c r="M1235" t="n">
        <v>0.178</v>
      </c>
    </row>
    <row r="1236" spans="1:13">
      <c r="A1236" s="1">
        <f>HYPERLINK("http://www.twitter.com/NathanBLawrence/status/991720807197020161", "991720807197020161")</f>
        <v/>
      </c>
      <c r="B1236" s="2" t="n">
        <v>43222.69953703704</v>
      </c>
      <c r="C1236" t="n">
        <v>0</v>
      </c>
      <c r="D1236" t="n">
        <v>9</v>
      </c>
      <c r="E1236" t="s">
        <v>1246</v>
      </c>
      <c r="F1236" t="s"/>
      <c r="G1236" t="s"/>
      <c r="H1236" t="s"/>
      <c r="I1236" t="s"/>
      <c r="J1236" t="n">
        <v>-0.3089</v>
      </c>
      <c r="K1236" t="n">
        <v>0.201</v>
      </c>
      <c r="L1236" t="n">
        <v>0.799</v>
      </c>
      <c r="M1236" t="n">
        <v>0</v>
      </c>
    </row>
    <row r="1237" spans="1:13">
      <c r="A1237" s="1">
        <f>HYPERLINK("http://www.twitter.com/NathanBLawrence/status/991719867249291266", "991719867249291266")</f>
        <v/>
      </c>
      <c r="B1237" s="2" t="n">
        <v>43222.69694444445</v>
      </c>
      <c r="C1237" t="n">
        <v>0</v>
      </c>
      <c r="D1237" t="n">
        <v>7</v>
      </c>
      <c r="E1237" t="s">
        <v>1247</v>
      </c>
      <c r="F1237" t="s"/>
      <c r="G1237" t="s"/>
      <c r="H1237" t="s"/>
      <c r="I1237" t="s"/>
      <c r="J1237" t="n">
        <v>0.1027</v>
      </c>
      <c r="K1237" t="n">
        <v>0.058</v>
      </c>
      <c r="L1237" t="n">
        <v>0.868</v>
      </c>
      <c r="M1237" t="n">
        <v>0.074</v>
      </c>
    </row>
    <row r="1238" spans="1:13">
      <c r="A1238" s="1">
        <f>HYPERLINK("http://www.twitter.com/NathanBLawrence/status/991718734627835904", "991718734627835904")</f>
        <v/>
      </c>
      <c r="B1238" s="2" t="n">
        <v>43222.69381944444</v>
      </c>
      <c r="C1238" t="n">
        <v>3</v>
      </c>
      <c r="D1238" t="n">
        <v>3</v>
      </c>
      <c r="E1238" t="s">
        <v>1248</v>
      </c>
      <c r="F1238" t="s"/>
      <c r="G1238" t="s"/>
      <c r="H1238" t="s"/>
      <c r="I1238" t="s"/>
      <c r="J1238" t="n">
        <v>-0.296</v>
      </c>
      <c r="K1238" t="n">
        <v>0.058</v>
      </c>
      <c r="L1238" t="n">
        <v>0.9419999999999999</v>
      </c>
      <c r="M1238" t="n">
        <v>0</v>
      </c>
    </row>
    <row r="1239" spans="1:13">
      <c r="A1239" s="1">
        <f>HYPERLINK("http://www.twitter.com/NathanBLawrence/status/991717101693005824", "991717101693005824")</f>
        <v/>
      </c>
      <c r="B1239" s="2" t="n">
        <v>43222.68930555556</v>
      </c>
      <c r="C1239" t="n">
        <v>0</v>
      </c>
      <c r="D1239" t="n">
        <v>0</v>
      </c>
      <c r="E1239" t="s">
        <v>1249</v>
      </c>
      <c r="F1239" t="s"/>
      <c r="G1239" t="s"/>
      <c r="H1239" t="s"/>
      <c r="I1239" t="s"/>
      <c r="J1239" t="n">
        <v>0.3612</v>
      </c>
      <c r="K1239" t="n">
        <v>0.09</v>
      </c>
      <c r="L1239" t="n">
        <v>0.74</v>
      </c>
      <c r="M1239" t="n">
        <v>0.17</v>
      </c>
    </row>
    <row r="1240" spans="1:13">
      <c r="A1240" s="1">
        <f>HYPERLINK("http://www.twitter.com/NathanBLawrence/status/991716843634282497", "991716843634282497")</f>
        <v/>
      </c>
      <c r="B1240" s="2" t="n">
        <v>43222.68859953704</v>
      </c>
      <c r="C1240" t="n">
        <v>1</v>
      </c>
      <c r="D1240" t="n">
        <v>0</v>
      </c>
      <c r="E1240" t="s">
        <v>1250</v>
      </c>
      <c r="F1240" t="s"/>
      <c r="G1240" t="s"/>
      <c r="H1240" t="s"/>
      <c r="I1240" t="s"/>
      <c r="J1240" t="n">
        <v>0</v>
      </c>
      <c r="K1240" t="n">
        <v>0</v>
      </c>
      <c r="L1240" t="n">
        <v>1</v>
      </c>
      <c r="M1240" t="n">
        <v>0</v>
      </c>
    </row>
    <row r="1241" spans="1:13">
      <c r="A1241" s="1">
        <f>HYPERLINK("http://www.twitter.com/NathanBLawrence/status/991712439896076288", "991712439896076288")</f>
        <v/>
      </c>
      <c r="B1241" s="2" t="n">
        <v>43222.67644675926</v>
      </c>
      <c r="C1241" t="n">
        <v>0</v>
      </c>
      <c r="D1241" t="n">
        <v>11</v>
      </c>
      <c r="E1241" t="s">
        <v>1251</v>
      </c>
      <c r="F1241">
        <f>HYPERLINK("http://pbs.twimg.com/media/DcNE05wVMAEwScK.jpg", "http://pbs.twimg.com/media/DcNE05wVMAEwScK.jpg")</f>
        <v/>
      </c>
      <c r="G1241" t="s"/>
      <c r="H1241" t="s"/>
      <c r="I1241" t="s"/>
      <c r="J1241" t="n">
        <v>0</v>
      </c>
      <c r="K1241" t="n">
        <v>0</v>
      </c>
      <c r="L1241" t="n">
        <v>1</v>
      </c>
      <c r="M1241" t="n">
        <v>0</v>
      </c>
    </row>
    <row r="1242" spans="1:13">
      <c r="A1242" s="1">
        <f>HYPERLINK("http://www.twitter.com/NathanBLawrence/status/991712298518663168", "991712298518663168")</f>
        <v/>
      </c>
      <c r="B1242" s="2" t="n">
        <v>43222.67605324074</v>
      </c>
      <c r="C1242" t="n">
        <v>9</v>
      </c>
      <c r="D1242" t="n">
        <v>7</v>
      </c>
      <c r="E1242" t="s">
        <v>1252</v>
      </c>
      <c r="F1242" t="s"/>
      <c r="G1242" t="s"/>
      <c r="H1242" t="s"/>
      <c r="I1242" t="s"/>
      <c r="J1242" t="n">
        <v>-0.7808</v>
      </c>
      <c r="K1242" t="n">
        <v>0.149</v>
      </c>
      <c r="L1242" t="n">
        <v>0.851</v>
      </c>
      <c r="M1242" t="n">
        <v>0</v>
      </c>
    </row>
    <row r="1243" spans="1:13">
      <c r="A1243" s="1">
        <f>HYPERLINK("http://www.twitter.com/NathanBLawrence/status/991710198858506241", "991710198858506241")</f>
        <v/>
      </c>
      <c r="B1243" s="2" t="n">
        <v>43222.67026620371</v>
      </c>
      <c r="C1243" t="n">
        <v>1</v>
      </c>
      <c r="D1243" t="n">
        <v>1</v>
      </c>
      <c r="E1243" t="s">
        <v>1253</v>
      </c>
      <c r="F1243">
        <f>HYPERLINK("http://pbs.twimg.com/media/DcNDKjuXkAED-ys.jpg", "http://pbs.twimg.com/media/DcNDKjuXkAED-ys.jpg")</f>
        <v/>
      </c>
      <c r="G1243" t="s"/>
      <c r="H1243" t="s"/>
      <c r="I1243" t="s"/>
      <c r="J1243" t="n">
        <v>0.7717000000000001</v>
      </c>
      <c r="K1243" t="n">
        <v>0</v>
      </c>
      <c r="L1243" t="n">
        <v>0.676</v>
      </c>
      <c r="M1243" t="n">
        <v>0.324</v>
      </c>
    </row>
    <row r="1244" spans="1:13">
      <c r="A1244" s="1">
        <f>HYPERLINK("http://www.twitter.com/NathanBLawrence/status/991709072289345536", "991709072289345536")</f>
        <v/>
      </c>
      <c r="B1244" s="2" t="n">
        <v>43222.66715277778</v>
      </c>
      <c r="C1244" t="n">
        <v>1</v>
      </c>
      <c r="D1244" t="n">
        <v>0</v>
      </c>
      <c r="E1244" t="s">
        <v>1254</v>
      </c>
      <c r="F1244" t="s"/>
      <c r="G1244" t="s"/>
      <c r="H1244" t="s"/>
      <c r="I1244" t="s"/>
      <c r="J1244" t="n">
        <v>0</v>
      </c>
      <c r="K1244" t="n">
        <v>0</v>
      </c>
      <c r="L1244" t="n">
        <v>1</v>
      </c>
      <c r="M1244" t="n">
        <v>0</v>
      </c>
    </row>
    <row r="1245" spans="1:13">
      <c r="A1245" s="1">
        <f>HYPERLINK("http://www.twitter.com/NathanBLawrence/status/991706446768365576", "991706446768365576")</f>
        <v/>
      </c>
      <c r="B1245" s="2" t="n">
        <v>43222.6599074074</v>
      </c>
      <c r="C1245" t="n">
        <v>0</v>
      </c>
      <c r="D1245" t="n">
        <v>7</v>
      </c>
      <c r="E1245" t="s">
        <v>1255</v>
      </c>
      <c r="F1245" t="s"/>
      <c r="G1245" t="s"/>
      <c r="H1245" t="s"/>
      <c r="I1245" t="s"/>
      <c r="J1245" t="n">
        <v>0</v>
      </c>
      <c r="K1245" t="n">
        <v>0</v>
      </c>
      <c r="L1245" t="n">
        <v>1</v>
      </c>
      <c r="M1245" t="n">
        <v>0</v>
      </c>
    </row>
    <row r="1246" spans="1:13">
      <c r="A1246" s="1">
        <f>HYPERLINK("http://www.twitter.com/NathanBLawrence/status/991706316396814338", "991706316396814338")</f>
        <v/>
      </c>
      <c r="B1246" s="2" t="n">
        <v>43222.65954861111</v>
      </c>
      <c r="C1246" t="n">
        <v>1</v>
      </c>
      <c r="D1246" t="n">
        <v>0</v>
      </c>
      <c r="E1246" t="s">
        <v>1256</v>
      </c>
      <c r="F1246" t="s"/>
      <c r="G1246" t="s"/>
      <c r="H1246" t="s"/>
      <c r="I1246" t="s"/>
      <c r="J1246" t="n">
        <v>0</v>
      </c>
      <c r="K1246" t="n">
        <v>0</v>
      </c>
      <c r="L1246" t="n">
        <v>1</v>
      </c>
      <c r="M1246" t="n">
        <v>0</v>
      </c>
    </row>
    <row r="1247" spans="1:13">
      <c r="A1247" s="1">
        <f>HYPERLINK("http://www.twitter.com/NathanBLawrence/status/991705795216764928", "991705795216764928")</f>
        <v/>
      </c>
      <c r="B1247" s="2" t="n">
        <v>43222.65811342592</v>
      </c>
      <c r="C1247" t="n">
        <v>0</v>
      </c>
      <c r="D1247" t="n">
        <v>2</v>
      </c>
      <c r="E1247" t="s">
        <v>1257</v>
      </c>
      <c r="F1247" t="s"/>
      <c r="G1247" t="s"/>
      <c r="H1247" t="s"/>
      <c r="I1247" t="s"/>
      <c r="J1247" t="n">
        <v>-0.8342000000000001</v>
      </c>
      <c r="K1247" t="n">
        <v>0.343</v>
      </c>
      <c r="L1247" t="n">
        <v>0.657</v>
      </c>
      <c r="M1247" t="n">
        <v>0</v>
      </c>
    </row>
    <row r="1248" spans="1:13">
      <c r="A1248" s="1">
        <f>HYPERLINK("http://www.twitter.com/NathanBLawrence/status/991705460549046272", "991705460549046272")</f>
        <v/>
      </c>
      <c r="B1248" s="2" t="n">
        <v>43222.6571875</v>
      </c>
      <c r="C1248" t="n">
        <v>0</v>
      </c>
      <c r="D1248" t="n">
        <v>7</v>
      </c>
      <c r="E1248" t="s">
        <v>1258</v>
      </c>
      <c r="F1248">
        <f>HYPERLINK("http://pbs.twimg.com/media/DcM79T7WkAIBT7q.jpg", "http://pbs.twimg.com/media/DcM79T7WkAIBT7q.jpg")</f>
        <v/>
      </c>
      <c r="G1248">
        <f>HYPERLINK("http://pbs.twimg.com/media/DcM8hiSXUAE-8-4.jpg", "http://pbs.twimg.com/media/DcM8hiSXUAE-8-4.jpg")</f>
        <v/>
      </c>
      <c r="H1248" t="s"/>
      <c r="I1248" t="s"/>
      <c r="J1248" t="n">
        <v>-0.3818</v>
      </c>
      <c r="K1248" t="n">
        <v>0.167</v>
      </c>
      <c r="L1248" t="n">
        <v>0.833</v>
      </c>
      <c r="M1248" t="n">
        <v>0</v>
      </c>
    </row>
    <row r="1249" spans="1:13">
      <c r="A1249" s="1">
        <f>HYPERLINK("http://www.twitter.com/NathanBLawrence/status/991705366982471680", "991705366982471680")</f>
        <v/>
      </c>
      <c r="B1249" s="2" t="n">
        <v>43222.65693287037</v>
      </c>
      <c r="C1249" t="n">
        <v>1</v>
      </c>
      <c r="D1249" t="n">
        <v>0</v>
      </c>
      <c r="E1249" t="s">
        <v>1259</v>
      </c>
      <c r="F1249" t="s"/>
      <c r="G1249" t="s"/>
      <c r="H1249" t="s"/>
      <c r="I1249" t="s"/>
      <c r="J1249" t="n">
        <v>0.1027</v>
      </c>
      <c r="K1249" t="n">
        <v>0.107</v>
      </c>
      <c r="L1249" t="n">
        <v>0.802</v>
      </c>
      <c r="M1249" t="n">
        <v>0.091</v>
      </c>
    </row>
    <row r="1250" spans="1:13">
      <c r="A1250" s="1">
        <f>HYPERLINK("http://www.twitter.com/NathanBLawrence/status/991702699929464832", "991702699929464832")</f>
        <v/>
      </c>
      <c r="B1250" s="2" t="n">
        <v>43222.64957175926</v>
      </c>
      <c r="C1250" t="n">
        <v>0</v>
      </c>
      <c r="D1250" t="n">
        <v>16</v>
      </c>
      <c r="E1250" t="s">
        <v>1260</v>
      </c>
      <c r="F1250" t="s"/>
      <c r="G1250" t="s"/>
      <c r="H1250" t="s"/>
      <c r="I1250" t="s"/>
      <c r="J1250" t="n">
        <v>0</v>
      </c>
      <c r="K1250" t="n">
        <v>0</v>
      </c>
      <c r="L1250" t="n">
        <v>1</v>
      </c>
      <c r="M1250" t="n">
        <v>0</v>
      </c>
    </row>
    <row r="1251" spans="1:13">
      <c r="A1251" s="1">
        <f>HYPERLINK("http://www.twitter.com/NathanBLawrence/status/991701390417387523", "991701390417387523")</f>
        <v/>
      </c>
      <c r="B1251" s="2" t="n">
        <v>43222.64596064815</v>
      </c>
      <c r="C1251" t="n">
        <v>0</v>
      </c>
      <c r="D1251" t="n">
        <v>14</v>
      </c>
      <c r="E1251" t="s">
        <v>1261</v>
      </c>
      <c r="F1251">
        <f>HYPERLINK("http://pbs.twimg.com/media/DcM6E7fV4AAHmBA.jpg", "http://pbs.twimg.com/media/DcM6E7fV4AAHmBA.jpg")</f>
        <v/>
      </c>
      <c r="G1251">
        <f>HYPERLINK("http://pbs.twimg.com/media/DcM6E7hVAAA_Pvj.jpg", "http://pbs.twimg.com/media/DcM6E7hVAAA_Pvj.jpg")</f>
        <v/>
      </c>
      <c r="H1251">
        <f>HYPERLINK("http://pbs.twimg.com/media/DcM6E7gU0AASsJ3.jpg", "http://pbs.twimg.com/media/DcM6E7gU0AASsJ3.jpg")</f>
        <v/>
      </c>
      <c r="I1251">
        <f>HYPERLINK("http://pbs.twimg.com/media/DcM6E7iVMAAj9vu.jpg", "http://pbs.twimg.com/media/DcM6E7iVMAAj9vu.jpg")</f>
        <v/>
      </c>
      <c r="J1251" t="n">
        <v>-0.8038</v>
      </c>
      <c r="K1251" t="n">
        <v>0.256</v>
      </c>
      <c r="L1251" t="n">
        <v>0.744</v>
      </c>
      <c r="M1251" t="n">
        <v>0</v>
      </c>
    </row>
    <row r="1252" spans="1:13">
      <c r="A1252" s="1">
        <f>HYPERLINK("http://www.twitter.com/NathanBLawrence/status/991701325120462848", "991701325120462848")</f>
        <v/>
      </c>
      <c r="B1252" s="2" t="n">
        <v>43222.64577546297</v>
      </c>
      <c r="C1252" t="n">
        <v>0</v>
      </c>
      <c r="D1252" t="n">
        <v>14</v>
      </c>
      <c r="E1252" t="s">
        <v>1262</v>
      </c>
      <c r="F1252" t="s"/>
      <c r="G1252" t="s"/>
      <c r="H1252" t="s"/>
      <c r="I1252" t="s"/>
      <c r="J1252" t="n">
        <v>0</v>
      </c>
      <c r="K1252" t="n">
        <v>0</v>
      </c>
      <c r="L1252" t="n">
        <v>1</v>
      </c>
      <c r="M1252" t="n">
        <v>0</v>
      </c>
    </row>
    <row r="1253" spans="1:13">
      <c r="A1253" s="1">
        <f>HYPERLINK("http://www.twitter.com/NathanBLawrence/status/991695084981833729", "991695084981833729")</f>
        <v/>
      </c>
      <c r="B1253" s="2" t="n">
        <v>43222.62855324074</v>
      </c>
      <c r="C1253" t="n">
        <v>0</v>
      </c>
      <c r="D1253" t="n">
        <v>3</v>
      </c>
      <c r="E1253" t="s">
        <v>1263</v>
      </c>
      <c r="F1253">
        <f>HYPERLINK("http://pbs.twimg.com/media/DcMjlPeW4AEnWyg.jpg", "http://pbs.twimg.com/media/DcMjlPeW4AEnWyg.jpg")</f>
        <v/>
      </c>
      <c r="G1253" t="s"/>
      <c r="H1253" t="s"/>
      <c r="I1253" t="s"/>
      <c r="J1253" t="n">
        <v>0</v>
      </c>
      <c r="K1253" t="n">
        <v>0</v>
      </c>
      <c r="L1253" t="n">
        <v>1</v>
      </c>
      <c r="M1253" t="n">
        <v>0</v>
      </c>
    </row>
    <row r="1254" spans="1:13">
      <c r="A1254" s="1">
        <f>HYPERLINK("http://www.twitter.com/NathanBLawrence/status/991693027482718209", "991693027482718209")</f>
        <v/>
      </c>
      <c r="B1254" s="2" t="n">
        <v>43222.62288194444</v>
      </c>
      <c r="C1254" t="n">
        <v>0</v>
      </c>
      <c r="D1254" t="n">
        <v>1</v>
      </c>
      <c r="E1254" t="s">
        <v>1264</v>
      </c>
      <c r="F1254" t="s"/>
      <c r="G1254" t="s"/>
      <c r="H1254" t="s"/>
      <c r="I1254" t="s"/>
      <c r="J1254" t="n">
        <v>0</v>
      </c>
      <c r="K1254" t="n">
        <v>0</v>
      </c>
      <c r="L1254" t="n">
        <v>1</v>
      </c>
      <c r="M1254" t="n">
        <v>0</v>
      </c>
    </row>
    <row r="1255" spans="1:13">
      <c r="A1255" s="1">
        <f>HYPERLINK("http://www.twitter.com/NathanBLawrence/status/991692837035982848", "991692837035982848")</f>
        <v/>
      </c>
      <c r="B1255" s="2" t="n">
        <v>43222.62234953704</v>
      </c>
      <c r="C1255" t="n">
        <v>0</v>
      </c>
      <c r="D1255" t="n">
        <v>0</v>
      </c>
      <c r="E1255" t="s">
        <v>1265</v>
      </c>
      <c r="F1255" t="s"/>
      <c r="G1255" t="s"/>
      <c r="H1255" t="s"/>
      <c r="I1255" t="s"/>
      <c r="J1255" t="n">
        <v>0</v>
      </c>
      <c r="K1255" t="n">
        <v>0</v>
      </c>
      <c r="L1255" t="n">
        <v>1</v>
      </c>
      <c r="M1255" t="n">
        <v>0</v>
      </c>
    </row>
    <row r="1256" spans="1:13">
      <c r="A1256" s="1">
        <f>HYPERLINK("http://www.twitter.com/NathanBLawrence/status/991692526682869766", "991692526682869766")</f>
        <v/>
      </c>
      <c r="B1256" s="2" t="n">
        <v>43222.62149305556</v>
      </c>
      <c r="C1256" t="n">
        <v>1</v>
      </c>
      <c r="D1256" t="n">
        <v>0</v>
      </c>
      <c r="E1256" t="s">
        <v>1266</v>
      </c>
      <c r="F1256" t="s"/>
      <c r="G1256" t="s"/>
      <c r="H1256" t="s"/>
      <c r="I1256" t="s"/>
      <c r="J1256" t="n">
        <v>0.0772</v>
      </c>
      <c r="K1256" t="n">
        <v>0</v>
      </c>
      <c r="L1256" t="n">
        <v>0.949</v>
      </c>
      <c r="M1256" t="n">
        <v>0.051</v>
      </c>
    </row>
    <row r="1257" spans="1:13">
      <c r="A1257" s="1">
        <f>HYPERLINK("http://www.twitter.com/NathanBLawrence/status/991690941160460288", "991690941160460288")</f>
        <v/>
      </c>
      <c r="B1257" s="2" t="n">
        <v>43222.61711805555</v>
      </c>
      <c r="C1257" t="n">
        <v>0</v>
      </c>
      <c r="D1257" t="n">
        <v>2</v>
      </c>
      <c r="E1257" t="s">
        <v>1267</v>
      </c>
      <c r="F1257" t="s"/>
      <c r="G1257" t="s"/>
      <c r="H1257" t="s"/>
      <c r="I1257" t="s"/>
      <c r="J1257" t="n">
        <v>-0.6597</v>
      </c>
      <c r="K1257" t="n">
        <v>0.286</v>
      </c>
      <c r="L1257" t="n">
        <v>0.714</v>
      </c>
      <c r="M1257" t="n">
        <v>0</v>
      </c>
    </row>
    <row r="1258" spans="1:13">
      <c r="A1258" s="1">
        <f>HYPERLINK("http://www.twitter.com/NathanBLawrence/status/991690022360363008", "991690022360363008")</f>
        <v/>
      </c>
      <c r="B1258" s="2" t="n">
        <v>43222.61458333334</v>
      </c>
      <c r="C1258" t="n">
        <v>1</v>
      </c>
      <c r="D1258" t="n">
        <v>0</v>
      </c>
      <c r="E1258" t="s">
        <v>1268</v>
      </c>
      <c r="F1258" t="s"/>
      <c r="G1258" t="s"/>
      <c r="H1258" t="s"/>
      <c r="I1258" t="s"/>
      <c r="J1258" t="n">
        <v>-0.924</v>
      </c>
      <c r="K1258" t="n">
        <v>0.274</v>
      </c>
      <c r="L1258" t="n">
        <v>0.726</v>
      </c>
      <c r="M1258" t="n">
        <v>0</v>
      </c>
    </row>
    <row r="1259" spans="1:13">
      <c r="A1259" s="1">
        <f>HYPERLINK("http://www.twitter.com/NathanBLawrence/status/991688142859227136", "991688142859227136")</f>
        <v/>
      </c>
      <c r="B1259" s="2" t="n">
        <v>43222.60939814815</v>
      </c>
      <c r="C1259" t="n">
        <v>0</v>
      </c>
      <c r="D1259" t="n">
        <v>0</v>
      </c>
      <c r="E1259" t="s">
        <v>1269</v>
      </c>
      <c r="F1259" t="s"/>
      <c r="G1259" t="s"/>
      <c r="H1259" t="s"/>
      <c r="I1259" t="s"/>
      <c r="J1259" t="n">
        <v>0</v>
      </c>
      <c r="K1259" t="n">
        <v>0</v>
      </c>
      <c r="L1259" t="n">
        <v>1</v>
      </c>
      <c r="M1259" t="n">
        <v>0</v>
      </c>
    </row>
    <row r="1260" spans="1:13">
      <c r="A1260" s="1">
        <f>HYPERLINK("http://www.twitter.com/NathanBLawrence/status/991686405087776769", "991686405087776769")</f>
        <v/>
      </c>
      <c r="B1260" s="2" t="n">
        <v>43222.60460648148</v>
      </c>
      <c r="C1260" t="n">
        <v>0</v>
      </c>
      <c r="D1260" t="n">
        <v>3</v>
      </c>
      <c r="E1260" t="s">
        <v>1270</v>
      </c>
      <c r="F1260" t="s"/>
      <c r="G1260" t="s"/>
      <c r="H1260" t="s"/>
      <c r="I1260" t="s"/>
      <c r="J1260" t="n">
        <v>0</v>
      </c>
      <c r="K1260" t="n">
        <v>0</v>
      </c>
      <c r="L1260" t="n">
        <v>1</v>
      </c>
      <c r="M1260" t="n">
        <v>0</v>
      </c>
    </row>
    <row r="1261" spans="1:13">
      <c r="A1261" s="1">
        <f>HYPERLINK("http://www.twitter.com/NathanBLawrence/status/991684809041825792", "991684809041825792")</f>
        <v/>
      </c>
      <c r="B1261" s="2" t="n">
        <v>43222.60019675926</v>
      </c>
      <c r="C1261" t="n">
        <v>0</v>
      </c>
      <c r="D1261" t="n">
        <v>5</v>
      </c>
      <c r="E1261" t="s">
        <v>1271</v>
      </c>
      <c r="F1261">
        <f>HYPERLINK("http://pbs.twimg.com/media/DcMqqNyXUAEM_QG.jpg", "http://pbs.twimg.com/media/DcMqqNyXUAEM_QG.jpg")</f>
        <v/>
      </c>
      <c r="G1261" t="s"/>
      <c r="H1261" t="s"/>
      <c r="I1261" t="s"/>
      <c r="J1261" t="n">
        <v>0</v>
      </c>
      <c r="K1261" t="n">
        <v>0</v>
      </c>
      <c r="L1261" t="n">
        <v>1</v>
      </c>
      <c r="M1261" t="n">
        <v>0</v>
      </c>
    </row>
    <row r="1262" spans="1:13">
      <c r="A1262" s="1">
        <f>HYPERLINK("http://www.twitter.com/NathanBLawrence/status/991684665420472320", "991684665420472320")</f>
        <v/>
      </c>
      <c r="B1262" s="2" t="n">
        <v>43222.59980324074</v>
      </c>
      <c r="C1262" t="n">
        <v>1</v>
      </c>
      <c r="D1262" t="n">
        <v>0</v>
      </c>
      <c r="E1262" t="s">
        <v>1272</v>
      </c>
      <c r="F1262">
        <f>HYPERLINK("http://pbs.twimg.com/media/DcMr8W7W4AAYdkc.jpg", "http://pbs.twimg.com/media/DcMr8W7W4AAYdkc.jpg")</f>
        <v/>
      </c>
      <c r="G1262" t="s"/>
      <c r="H1262" t="s"/>
      <c r="I1262" t="s"/>
      <c r="J1262" t="n">
        <v>0</v>
      </c>
      <c r="K1262" t="n">
        <v>0</v>
      </c>
      <c r="L1262" t="n">
        <v>1</v>
      </c>
      <c r="M1262" t="n">
        <v>0</v>
      </c>
    </row>
    <row r="1263" spans="1:13">
      <c r="A1263" s="1">
        <f>HYPERLINK("http://www.twitter.com/NathanBLawrence/status/991684300398628864", "991684300398628864")</f>
        <v/>
      </c>
      <c r="B1263" s="2" t="n">
        <v>43222.5987962963</v>
      </c>
      <c r="C1263" t="n">
        <v>1</v>
      </c>
      <c r="D1263" t="n">
        <v>1</v>
      </c>
      <c r="E1263" t="s">
        <v>1273</v>
      </c>
      <c r="F1263">
        <f>HYPERLINK("http://pbs.twimg.com/media/DcMrnFjXkAEGroZ.jpg", "http://pbs.twimg.com/media/DcMrnFjXkAEGroZ.jpg")</f>
        <v/>
      </c>
      <c r="G1263" t="s"/>
      <c r="H1263" t="s"/>
      <c r="I1263" t="s"/>
      <c r="J1263" t="n">
        <v>-0.3612</v>
      </c>
      <c r="K1263" t="n">
        <v>0.135</v>
      </c>
      <c r="L1263" t="n">
        <v>0.865</v>
      </c>
      <c r="M1263" t="n">
        <v>0</v>
      </c>
    </row>
    <row r="1264" spans="1:13">
      <c r="A1264" s="1">
        <f>HYPERLINK("http://www.twitter.com/NathanBLawrence/status/991679568980398081", "991679568980398081")</f>
        <v/>
      </c>
      <c r="B1264" s="2" t="n">
        <v>43222.58574074074</v>
      </c>
      <c r="C1264" t="n">
        <v>0</v>
      </c>
      <c r="D1264" t="n">
        <v>8</v>
      </c>
      <c r="E1264" t="s">
        <v>1274</v>
      </c>
      <c r="F1264" t="s"/>
      <c r="G1264" t="s"/>
      <c r="H1264" t="s"/>
      <c r="I1264" t="s"/>
      <c r="J1264" t="n">
        <v>0.4019</v>
      </c>
      <c r="K1264" t="n">
        <v>0.08400000000000001</v>
      </c>
      <c r="L1264" t="n">
        <v>0.728</v>
      </c>
      <c r="M1264" t="n">
        <v>0.188</v>
      </c>
    </row>
    <row r="1265" spans="1:13">
      <c r="A1265" s="1">
        <f>HYPERLINK("http://www.twitter.com/NathanBLawrence/status/991678940220657664", "991678940220657664")</f>
        <v/>
      </c>
      <c r="B1265" s="2" t="n">
        <v>43222.58400462963</v>
      </c>
      <c r="C1265" t="n">
        <v>0</v>
      </c>
      <c r="D1265" t="n">
        <v>0</v>
      </c>
      <c r="E1265" t="s">
        <v>1275</v>
      </c>
      <c r="F1265" t="s"/>
      <c r="G1265" t="s"/>
      <c r="H1265" t="s"/>
      <c r="I1265" t="s"/>
      <c r="J1265" t="n">
        <v>0.2263</v>
      </c>
      <c r="K1265" t="n">
        <v>0</v>
      </c>
      <c r="L1265" t="n">
        <v>0.905</v>
      </c>
      <c r="M1265" t="n">
        <v>0.095</v>
      </c>
    </row>
    <row r="1266" spans="1:13">
      <c r="A1266" s="1">
        <f>HYPERLINK("http://www.twitter.com/NathanBLawrence/status/991678298093768704", "991678298093768704")</f>
        <v/>
      </c>
      <c r="B1266" s="2" t="n">
        <v>43222.5822337963</v>
      </c>
      <c r="C1266" t="n">
        <v>4</v>
      </c>
      <c r="D1266" t="n">
        <v>3</v>
      </c>
      <c r="E1266" t="s">
        <v>1276</v>
      </c>
      <c r="F1266" t="s"/>
      <c r="G1266" t="s"/>
      <c r="H1266" t="s"/>
      <c r="I1266" t="s"/>
      <c r="J1266" t="n">
        <v>0</v>
      </c>
      <c r="K1266" t="n">
        <v>0</v>
      </c>
      <c r="L1266" t="n">
        <v>1</v>
      </c>
      <c r="M1266" t="n">
        <v>0</v>
      </c>
    </row>
    <row r="1267" spans="1:13">
      <c r="A1267" s="1">
        <f>HYPERLINK("http://www.twitter.com/NathanBLawrence/status/991675435095339009", "991675435095339009")</f>
        <v/>
      </c>
      <c r="B1267" s="2" t="n">
        <v>43222.5743287037</v>
      </c>
      <c r="C1267" t="n">
        <v>2</v>
      </c>
      <c r="D1267" t="n">
        <v>0</v>
      </c>
      <c r="E1267" t="s">
        <v>1277</v>
      </c>
      <c r="F1267" t="s"/>
      <c r="G1267" t="s"/>
      <c r="H1267" t="s"/>
      <c r="I1267" t="s"/>
      <c r="J1267" t="n">
        <v>0.8834</v>
      </c>
      <c r="K1267" t="n">
        <v>0</v>
      </c>
      <c r="L1267" t="n">
        <v>0.708</v>
      </c>
      <c r="M1267" t="n">
        <v>0.292</v>
      </c>
    </row>
    <row r="1268" spans="1:13">
      <c r="A1268" s="1">
        <f>HYPERLINK("http://www.twitter.com/NathanBLawrence/status/991670257977880577", "991670257977880577")</f>
        <v/>
      </c>
      <c r="B1268" s="2" t="n">
        <v>43222.5600462963</v>
      </c>
      <c r="C1268" t="n">
        <v>2</v>
      </c>
      <c r="D1268" t="n">
        <v>2</v>
      </c>
      <c r="E1268" t="s">
        <v>1278</v>
      </c>
      <c r="F1268" t="s"/>
      <c r="G1268" t="s"/>
      <c r="H1268" t="s"/>
      <c r="I1268" t="s"/>
      <c r="J1268" t="n">
        <v>0.5986</v>
      </c>
      <c r="K1268" t="n">
        <v>0.074</v>
      </c>
      <c r="L1268" t="n">
        <v>0.734</v>
      </c>
      <c r="M1268" t="n">
        <v>0.193</v>
      </c>
    </row>
    <row r="1269" spans="1:13">
      <c r="A1269" s="1">
        <f>HYPERLINK("http://www.twitter.com/NathanBLawrence/status/991669386409840640", "991669386409840640")</f>
        <v/>
      </c>
      <c r="B1269" s="2" t="n">
        <v>43222.55763888889</v>
      </c>
      <c r="C1269" t="n">
        <v>0</v>
      </c>
      <c r="D1269" t="n">
        <v>2</v>
      </c>
      <c r="E1269" t="s">
        <v>1279</v>
      </c>
      <c r="F1269" t="s"/>
      <c r="G1269" t="s"/>
      <c r="H1269" t="s"/>
      <c r="I1269" t="s"/>
      <c r="J1269" t="n">
        <v>-0.4767</v>
      </c>
      <c r="K1269" t="n">
        <v>0.193</v>
      </c>
      <c r="L1269" t="n">
        <v>0.8070000000000001</v>
      </c>
      <c r="M1269" t="n">
        <v>0</v>
      </c>
    </row>
    <row r="1270" spans="1:13">
      <c r="A1270" s="1">
        <f>HYPERLINK("http://www.twitter.com/NathanBLawrence/status/991666582937112576", "991666582937112576")</f>
        <v/>
      </c>
      <c r="B1270" s="2" t="n">
        <v>43222.54990740741</v>
      </c>
      <c r="C1270" t="n">
        <v>0</v>
      </c>
      <c r="D1270" t="n">
        <v>2</v>
      </c>
      <c r="E1270" t="s">
        <v>1280</v>
      </c>
      <c r="F1270" t="s"/>
      <c r="G1270" t="s"/>
      <c r="H1270" t="s"/>
      <c r="I1270" t="s"/>
      <c r="J1270" t="n">
        <v>0</v>
      </c>
      <c r="K1270" t="n">
        <v>0</v>
      </c>
      <c r="L1270" t="n">
        <v>1</v>
      </c>
      <c r="M1270" t="n">
        <v>0</v>
      </c>
    </row>
    <row r="1271" spans="1:13">
      <c r="A1271" s="1">
        <f>HYPERLINK("http://www.twitter.com/NathanBLawrence/status/991666419925504005", "991666419925504005")</f>
        <v/>
      </c>
      <c r="B1271" s="2" t="n">
        <v>43222.54945601852</v>
      </c>
      <c r="C1271" t="n">
        <v>1</v>
      </c>
      <c r="D1271" t="n">
        <v>0</v>
      </c>
      <c r="E1271" t="s">
        <v>1281</v>
      </c>
      <c r="F1271" t="s"/>
      <c r="G1271" t="s"/>
      <c r="H1271" t="s"/>
      <c r="I1271" t="s"/>
      <c r="J1271" t="n">
        <v>-0.5849</v>
      </c>
      <c r="K1271" t="n">
        <v>0.196</v>
      </c>
      <c r="L1271" t="n">
        <v>0.6919999999999999</v>
      </c>
      <c r="M1271" t="n">
        <v>0.112</v>
      </c>
    </row>
    <row r="1272" spans="1:13">
      <c r="A1272" s="1">
        <f>HYPERLINK("http://www.twitter.com/NathanBLawrence/status/991665626899992576", "991665626899992576")</f>
        <v/>
      </c>
      <c r="B1272" s="2" t="n">
        <v>43222.54726851852</v>
      </c>
      <c r="C1272" t="n">
        <v>1</v>
      </c>
      <c r="D1272" t="n">
        <v>0</v>
      </c>
      <c r="E1272" t="s">
        <v>1282</v>
      </c>
      <c r="F1272" t="s"/>
      <c r="G1272" t="s"/>
      <c r="H1272" t="s"/>
      <c r="I1272" t="s"/>
      <c r="J1272" t="n">
        <v>0</v>
      </c>
      <c r="K1272" t="n">
        <v>0</v>
      </c>
      <c r="L1272" t="n">
        <v>1</v>
      </c>
      <c r="M1272" t="n">
        <v>0</v>
      </c>
    </row>
    <row r="1273" spans="1:13">
      <c r="A1273" s="1">
        <f>HYPERLINK("http://www.twitter.com/NathanBLawrence/status/991663965754331136", "991663965754331136")</f>
        <v/>
      </c>
      <c r="B1273" s="2" t="n">
        <v>43222.54268518519</v>
      </c>
      <c r="C1273" t="n">
        <v>0</v>
      </c>
      <c r="D1273" t="n">
        <v>9</v>
      </c>
      <c r="E1273" t="s">
        <v>1283</v>
      </c>
      <c r="F1273" t="s"/>
      <c r="G1273" t="s"/>
      <c r="H1273" t="s"/>
      <c r="I1273" t="s"/>
      <c r="J1273" t="n">
        <v>-0.4767</v>
      </c>
      <c r="K1273" t="n">
        <v>0.129</v>
      </c>
      <c r="L1273" t="n">
        <v>0.871</v>
      </c>
      <c r="M1273" t="n">
        <v>0</v>
      </c>
    </row>
    <row r="1274" spans="1:13">
      <c r="A1274" s="1">
        <f>HYPERLINK("http://www.twitter.com/NathanBLawrence/status/991663907864563715", "991663907864563715")</f>
        <v/>
      </c>
      <c r="B1274" s="2" t="n">
        <v>43222.54252314815</v>
      </c>
      <c r="C1274" t="n">
        <v>0</v>
      </c>
      <c r="D1274" t="n">
        <v>7</v>
      </c>
      <c r="E1274" t="s">
        <v>1284</v>
      </c>
      <c r="F1274" t="s"/>
      <c r="G1274" t="s"/>
      <c r="H1274" t="s"/>
      <c r="I1274" t="s"/>
      <c r="J1274" t="n">
        <v>0.546</v>
      </c>
      <c r="K1274" t="n">
        <v>0.08500000000000001</v>
      </c>
      <c r="L1274" t="n">
        <v>0.6840000000000001</v>
      </c>
      <c r="M1274" t="n">
        <v>0.232</v>
      </c>
    </row>
    <row r="1275" spans="1:13">
      <c r="A1275" s="1">
        <f>HYPERLINK("http://www.twitter.com/NathanBLawrence/status/991659117713346561", "991659117713346561")</f>
        <v/>
      </c>
      <c r="B1275" s="2" t="n">
        <v>43222.52930555555</v>
      </c>
      <c r="C1275" t="n">
        <v>2</v>
      </c>
      <c r="D1275" t="n">
        <v>1</v>
      </c>
      <c r="E1275" t="s">
        <v>1285</v>
      </c>
      <c r="F1275" t="s"/>
      <c r="G1275" t="s"/>
      <c r="H1275" t="s"/>
      <c r="I1275" t="s"/>
      <c r="J1275" t="n">
        <v>0.6597</v>
      </c>
      <c r="K1275" t="n">
        <v>0</v>
      </c>
      <c r="L1275" t="n">
        <v>0.863</v>
      </c>
      <c r="M1275" t="n">
        <v>0.137</v>
      </c>
    </row>
    <row r="1276" spans="1:13">
      <c r="A1276" s="1">
        <f>HYPERLINK("http://www.twitter.com/NathanBLawrence/status/991658717446799362", "991658717446799362")</f>
        <v/>
      </c>
      <c r="B1276" s="2" t="n">
        <v>43222.52820601852</v>
      </c>
      <c r="C1276" t="n">
        <v>0</v>
      </c>
      <c r="D1276" t="n">
        <v>6</v>
      </c>
      <c r="E1276" t="s">
        <v>1286</v>
      </c>
      <c r="F1276">
        <f>HYPERLINK("http://pbs.twimg.com/media/DcMLFl3V0AE1yFb.jpg", "http://pbs.twimg.com/media/DcMLFl3V0AE1yFb.jpg")</f>
        <v/>
      </c>
      <c r="G1276" t="s"/>
      <c r="H1276" t="s"/>
      <c r="I1276" t="s"/>
      <c r="J1276" t="n">
        <v>-0.6124000000000001</v>
      </c>
      <c r="K1276" t="n">
        <v>0.268</v>
      </c>
      <c r="L1276" t="n">
        <v>0.643</v>
      </c>
      <c r="M1276" t="n">
        <v>0.089</v>
      </c>
    </row>
    <row r="1277" spans="1:13">
      <c r="A1277" s="1">
        <f>HYPERLINK("http://www.twitter.com/NathanBLawrence/status/991656829309669376", "991656829309669376")</f>
        <v/>
      </c>
      <c r="B1277" s="2" t="n">
        <v>43222.52298611111</v>
      </c>
      <c r="C1277" t="n">
        <v>10</v>
      </c>
      <c r="D1277" t="n">
        <v>7</v>
      </c>
      <c r="E1277" t="s">
        <v>1287</v>
      </c>
      <c r="F1277" t="s"/>
      <c r="G1277" t="s"/>
      <c r="H1277" t="s"/>
      <c r="I1277" t="s"/>
      <c r="J1277" t="n">
        <v>0.9352</v>
      </c>
      <c r="K1277" t="n">
        <v>0.045</v>
      </c>
      <c r="L1277" t="n">
        <v>0.645</v>
      </c>
      <c r="M1277" t="n">
        <v>0.31</v>
      </c>
    </row>
    <row r="1278" spans="1:13">
      <c r="A1278" s="1">
        <f>HYPERLINK("http://www.twitter.com/NathanBLawrence/status/991653104453025792", "991653104453025792")</f>
        <v/>
      </c>
      <c r="B1278" s="2" t="n">
        <v>43222.51270833334</v>
      </c>
      <c r="C1278" t="n">
        <v>0</v>
      </c>
      <c r="D1278" t="n">
        <v>0</v>
      </c>
      <c r="E1278" t="s">
        <v>1288</v>
      </c>
      <c r="F1278" t="s"/>
      <c r="G1278" t="s"/>
      <c r="H1278" t="s"/>
      <c r="I1278" t="s"/>
      <c r="J1278" t="n">
        <v>-0.0516</v>
      </c>
      <c r="K1278" t="n">
        <v>0.173</v>
      </c>
      <c r="L1278" t="n">
        <v>0.663</v>
      </c>
      <c r="M1278" t="n">
        <v>0.163</v>
      </c>
    </row>
    <row r="1279" spans="1:13">
      <c r="A1279" s="1">
        <f>HYPERLINK("http://www.twitter.com/NathanBLawrence/status/991640830749347840", "991640830749347840")</f>
        <v/>
      </c>
      <c r="B1279" s="2" t="n">
        <v>43222.47884259259</v>
      </c>
      <c r="C1279" t="n">
        <v>0</v>
      </c>
      <c r="D1279" t="n">
        <v>1</v>
      </c>
      <c r="E1279" t="s">
        <v>1289</v>
      </c>
      <c r="F1279" t="s"/>
      <c r="G1279" t="s"/>
      <c r="H1279" t="s"/>
      <c r="I1279" t="s"/>
      <c r="J1279" t="n">
        <v>-0.1531</v>
      </c>
      <c r="K1279" t="n">
        <v>0.103</v>
      </c>
      <c r="L1279" t="n">
        <v>0.897</v>
      </c>
      <c r="M1279" t="n">
        <v>0</v>
      </c>
    </row>
    <row r="1280" spans="1:13">
      <c r="A1280" s="1">
        <f>HYPERLINK("http://www.twitter.com/NathanBLawrence/status/991637021574815747", "991637021574815747")</f>
        <v/>
      </c>
      <c r="B1280" s="2" t="n">
        <v>43222.46833333333</v>
      </c>
      <c r="C1280" t="n">
        <v>13</v>
      </c>
      <c r="D1280" t="n">
        <v>10</v>
      </c>
      <c r="E1280" t="s">
        <v>1290</v>
      </c>
      <c r="F1280">
        <f>HYPERLINK("http://pbs.twimg.com/media/DcMAnIGU0AAGaLM.jpg", "http://pbs.twimg.com/media/DcMAnIGU0AAGaLM.jpg")</f>
        <v/>
      </c>
      <c r="G1280" t="s"/>
      <c r="H1280" t="s"/>
      <c r="I1280" t="s"/>
      <c r="J1280" t="n">
        <v>0.128</v>
      </c>
      <c r="K1280" t="n">
        <v>0.05</v>
      </c>
      <c r="L1280" t="n">
        <v>0.891</v>
      </c>
      <c r="M1280" t="n">
        <v>0.059</v>
      </c>
    </row>
    <row r="1281" spans="1:13">
      <c r="A1281" s="1">
        <f>HYPERLINK("http://www.twitter.com/NathanBLawrence/status/991635789980356609", "991635789980356609")</f>
        <v/>
      </c>
      <c r="B1281" s="2" t="n">
        <v>43222.46493055556</v>
      </c>
      <c r="C1281" t="n">
        <v>0</v>
      </c>
      <c r="D1281" t="n">
        <v>13</v>
      </c>
      <c r="E1281" t="s">
        <v>1291</v>
      </c>
      <c r="F1281">
        <f>HYPERLINK("http://pbs.twimg.com/media/DcKUW7mWAAA7Osp.jpg", "http://pbs.twimg.com/media/DcKUW7mWAAA7Osp.jpg")</f>
        <v/>
      </c>
      <c r="G1281" t="s"/>
      <c r="H1281" t="s"/>
      <c r="I1281" t="s"/>
      <c r="J1281" t="n">
        <v>0.4404</v>
      </c>
      <c r="K1281" t="n">
        <v>0</v>
      </c>
      <c r="L1281" t="n">
        <v>0.854</v>
      </c>
      <c r="M1281" t="n">
        <v>0.146</v>
      </c>
    </row>
    <row r="1282" spans="1:13">
      <c r="A1282" s="1">
        <f>HYPERLINK("http://www.twitter.com/NathanBLawrence/status/991635246083866624", "991635246083866624")</f>
        <v/>
      </c>
      <c r="B1282" s="2" t="n">
        <v>43222.4634375</v>
      </c>
      <c r="C1282" t="n">
        <v>5</v>
      </c>
      <c r="D1282" t="n">
        <v>3</v>
      </c>
      <c r="E1282" t="s">
        <v>1292</v>
      </c>
      <c r="F1282" t="s"/>
      <c r="G1282" t="s"/>
      <c r="H1282" t="s"/>
      <c r="I1282" t="s"/>
      <c r="J1282" t="n">
        <v>0.7262999999999999</v>
      </c>
      <c r="K1282" t="n">
        <v>0.031</v>
      </c>
      <c r="L1282" t="n">
        <v>0.8149999999999999</v>
      </c>
      <c r="M1282" t="n">
        <v>0.155</v>
      </c>
    </row>
    <row r="1283" spans="1:13">
      <c r="A1283" s="1">
        <f>HYPERLINK("http://www.twitter.com/NathanBLawrence/status/991633490750910465", "991633490750910465")</f>
        <v/>
      </c>
      <c r="B1283" s="2" t="n">
        <v>43222.45858796296</v>
      </c>
      <c r="C1283" t="n">
        <v>17</v>
      </c>
      <c r="D1283" t="n">
        <v>10</v>
      </c>
      <c r="E1283" t="s">
        <v>1293</v>
      </c>
      <c r="F1283" t="s"/>
      <c r="G1283" t="s"/>
      <c r="H1283" t="s"/>
      <c r="I1283" t="s"/>
      <c r="J1283" t="n">
        <v>-0.3485</v>
      </c>
      <c r="K1283" t="n">
        <v>0.057</v>
      </c>
      <c r="L1283" t="n">
        <v>0.9429999999999999</v>
      </c>
      <c r="M1283" t="n">
        <v>0</v>
      </c>
    </row>
    <row r="1284" spans="1:13">
      <c r="A1284" s="1">
        <f>HYPERLINK("http://www.twitter.com/NathanBLawrence/status/991631619868983297", "991631619868983297")</f>
        <v/>
      </c>
      <c r="B1284" s="2" t="n">
        <v>43222.45342592592</v>
      </c>
      <c r="C1284" t="n">
        <v>0</v>
      </c>
      <c r="D1284" t="n">
        <v>2</v>
      </c>
      <c r="E1284" t="s">
        <v>1294</v>
      </c>
      <c r="F1284" t="s"/>
      <c r="G1284" t="s"/>
      <c r="H1284" t="s"/>
      <c r="I1284" t="s"/>
      <c r="J1284" t="n">
        <v>0</v>
      </c>
      <c r="K1284" t="n">
        <v>0</v>
      </c>
      <c r="L1284" t="n">
        <v>1</v>
      </c>
      <c r="M1284" t="n">
        <v>0</v>
      </c>
    </row>
    <row r="1285" spans="1:13">
      <c r="A1285" s="1">
        <f>HYPERLINK("http://www.twitter.com/NathanBLawrence/status/991631397017223168", "991631397017223168")</f>
        <v/>
      </c>
      <c r="B1285" s="2" t="n">
        <v>43222.4528125</v>
      </c>
      <c r="C1285" t="n">
        <v>0</v>
      </c>
      <c r="D1285" t="n">
        <v>3</v>
      </c>
      <c r="E1285" t="s">
        <v>1295</v>
      </c>
      <c r="F1285" t="s"/>
      <c r="G1285" t="s"/>
      <c r="H1285" t="s"/>
      <c r="I1285" t="s"/>
      <c r="J1285" t="n">
        <v>0.5362</v>
      </c>
      <c r="K1285" t="n">
        <v>0</v>
      </c>
      <c r="L1285" t="n">
        <v>0.839</v>
      </c>
      <c r="M1285" t="n">
        <v>0.161</v>
      </c>
    </row>
    <row r="1286" spans="1:13">
      <c r="A1286" s="1">
        <f>HYPERLINK("http://www.twitter.com/NathanBLawrence/status/991628251981336576", "991628251981336576")</f>
        <v/>
      </c>
      <c r="B1286" s="2" t="n">
        <v>43222.44413194444</v>
      </c>
      <c r="C1286" t="n">
        <v>0</v>
      </c>
      <c r="D1286" t="n">
        <v>1</v>
      </c>
      <c r="E1286" t="s">
        <v>1296</v>
      </c>
      <c r="F1286" t="s"/>
      <c r="G1286" t="s"/>
      <c r="H1286" t="s"/>
      <c r="I1286" t="s"/>
      <c r="J1286" t="n">
        <v>0</v>
      </c>
      <c r="K1286" t="n">
        <v>0</v>
      </c>
      <c r="L1286" t="n">
        <v>1</v>
      </c>
      <c r="M1286" t="n">
        <v>0</v>
      </c>
    </row>
    <row r="1287" spans="1:13">
      <c r="A1287" s="1">
        <f>HYPERLINK("http://www.twitter.com/NathanBLawrence/status/991627505315524608", "991627505315524608")</f>
        <v/>
      </c>
      <c r="B1287" s="2" t="n">
        <v>43222.44207175926</v>
      </c>
      <c r="C1287" t="n">
        <v>0</v>
      </c>
      <c r="D1287" t="n">
        <v>4</v>
      </c>
      <c r="E1287" t="s">
        <v>1297</v>
      </c>
      <c r="F1287" t="s"/>
      <c r="G1287" t="s"/>
      <c r="H1287" t="s"/>
      <c r="I1287" t="s"/>
      <c r="J1287" t="n">
        <v>0.5106000000000001</v>
      </c>
      <c r="K1287" t="n">
        <v>0</v>
      </c>
      <c r="L1287" t="n">
        <v>0.864</v>
      </c>
      <c r="M1287" t="n">
        <v>0.136</v>
      </c>
    </row>
    <row r="1288" spans="1:13">
      <c r="A1288" s="1">
        <f>HYPERLINK("http://www.twitter.com/NathanBLawrence/status/991627370070147072", "991627370070147072")</f>
        <v/>
      </c>
      <c r="B1288" s="2" t="n">
        <v>43222.44170138889</v>
      </c>
      <c r="C1288" t="n">
        <v>0</v>
      </c>
      <c r="D1288" t="n">
        <v>3</v>
      </c>
      <c r="E1288" t="s">
        <v>1298</v>
      </c>
      <c r="F1288" t="s"/>
      <c r="G1288" t="s"/>
      <c r="H1288" t="s"/>
      <c r="I1288" t="s"/>
      <c r="J1288" t="n">
        <v>0</v>
      </c>
      <c r="K1288" t="n">
        <v>0</v>
      </c>
      <c r="L1288" t="n">
        <v>1</v>
      </c>
      <c r="M1288" t="n">
        <v>0</v>
      </c>
    </row>
    <row r="1289" spans="1:13">
      <c r="A1289" s="1">
        <f>HYPERLINK("http://www.twitter.com/NathanBLawrence/status/991496012077453312", "991496012077453312")</f>
        <v/>
      </c>
      <c r="B1289" s="2" t="n">
        <v>43222.07922453704</v>
      </c>
      <c r="C1289" t="n">
        <v>1</v>
      </c>
      <c r="D1289" t="n">
        <v>1</v>
      </c>
      <c r="E1289" t="s">
        <v>1299</v>
      </c>
      <c r="F1289">
        <f>HYPERLINK("http://pbs.twimg.com/media/DcKAXHLVAAAm9aq.jpg", "http://pbs.twimg.com/media/DcKAXHLVAAAm9aq.jpg")</f>
        <v/>
      </c>
      <c r="G1289" t="s"/>
      <c r="H1289" t="s"/>
      <c r="I1289" t="s"/>
      <c r="J1289" t="n">
        <v>0.4019</v>
      </c>
      <c r="K1289" t="n">
        <v>0.103</v>
      </c>
      <c r="L1289" t="n">
        <v>0.673</v>
      </c>
      <c r="M1289" t="n">
        <v>0.224</v>
      </c>
    </row>
    <row r="1290" spans="1:13">
      <c r="A1290" s="1">
        <f>HYPERLINK("http://www.twitter.com/NathanBLawrence/status/991495387176464384", "991495387176464384")</f>
        <v/>
      </c>
      <c r="B1290" s="2" t="n">
        <v>43222.0775</v>
      </c>
      <c r="C1290" t="n">
        <v>0</v>
      </c>
      <c r="D1290" t="n">
        <v>4</v>
      </c>
      <c r="E1290" t="s">
        <v>1300</v>
      </c>
      <c r="F1290" t="s"/>
      <c r="G1290" t="s"/>
      <c r="H1290" t="s"/>
      <c r="I1290" t="s"/>
      <c r="J1290" t="n">
        <v>0</v>
      </c>
      <c r="K1290" t="n">
        <v>0</v>
      </c>
      <c r="L1290" t="n">
        <v>1</v>
      </c>
      <c r="M1290" t="n">
        <v>0</v>
      </c>
    </row>
    <row r="1291" spans="1:13">
      <c r="A1291" s="1">
        <f>HYPERLINK("http://www.twitter.com/NathanBLawrence/status/991495378351673345", "991495378351673345")</f>
        <v/>
      </c>
      <c r="B1291" s="2" t="n">
        <v>43222.07746527778</v>
      </c>
      <c r="C1291" t="n">
        <v>0</v>
      </c>
      <c r="D1291" t="n">
        <v>2</v>
      </c>
      <c r="E1291" t="s">
        <v>1301</v>
      </c>
      <c r="F1291" t="s"/>
      <c r="G1291" t="s"/>
      <c r="H1291" t="s"/>
      <c r="I1291" t="s"/>
      <c r="J1291" t="n">
        <v>0</v>
      </c>
      <c r="K1291" t="n">
        <v>0</v>
      </c>
      <c r="L1291" t="n">
        <v>1</v>
      </c>
      <c r="M1291" t="n">
        <v>0</v>
      </c>
    </row>
    <row r="1292" spans="1:13">
      <c r="A1292" s="1">
        <f>HYPERLINK("http://www.twitter.com/NathanBLawrence/status/991494925547130886", "991494925547130886")</f>
        <v/>
      </c>
      <c r="B1292" s="2" t="n">
        <v>43222.07621527778</v>
      </c>
      <c r="C1292" t="n">
        <v>0</v>
      </c>
      <c r="D1292" t="n">
        <v>5</v>
      </c>
      <c r="E1292" t="s">
        <v>1302</v>
      </c>
      <c r="F1292" t="s"/>
      <c r="G1292" t="s"/>
      <c r="H1292" t="s"/>
      <c r="I1292" t="s"/>
      <c r="J1292" t="n">
        <v>0.8481</v>
      </c>
      <c r="K1292" t="n">
        <v>0</v>
      </c>
      <c r="L1292" t="n">
        <v>0.545</v>
      </c>
      <c r="M1292" t="n">
        <v>0.455</v>
      </c>
    </row>
    <row r="1293" spans="1:13">
      <c r="A1293" s="1">
        <f>HYPERLINK("http://www.twitter.com/NathanBLawrence/status/991447581447335937", "991447581447335937")</f>
        <v/>
      </c>
      <c r="B1293" s="2" t="n">
        <v>43221.9455787037</v>
      </c>
      <c r="C1293" t="n">
        <v>0</v>
      </c>
      <c r="D1293" t="n">
        <v>23</v>
      </c>
      <c r="E1293" t="s">
        <v>1303</v>
      </c>
      <c r="F1293">
        <f>HYPERLINK("http://pbs.twimg.com/media/DcJRrv-UwAEJcKi.jpg", "http://pbs.twimg.com/media/DcJRrv-UwAEJcKi.jpg")</f>
        <v/>
      </c>
      <c r="G1293" t="s"/>
      <c r="H1293" t="s"/>
      <c r="I1293" t="s"/>
      <c r="J1293" t="n">
        <v>0.34</v>
      </c>
      <c r="K1293" t="n">
        <v>0</v>
      </c>
      <c r="L1293" t="n">
        <v>0.888</v>
      </c>
      <c r="M1293" t="n">
        <v>0.112</v>
      </c>
    </row>
    <row r="1294" spans="1:13">
      <c r="A1294" s="1">
        <f>HYPERLINK("http://www.twitter.com/NathanBLawrence/status/991430955024953345", "991430955024953345")</f>
        <v/>
      </c>
      <c r="B1294" s="2" t="n">
        <v>43221.89969907407</v>
      </c>
      <c r="C1294" t="n">
        <v>0</v>
      </c>
      <c r="D1294" t="n">
        <v>7</v>
      </c>
      <c r="E1294" t="s">
        <v>1304</v>
      </c>
      <c r="F1294" t="s"/>
      <c r="G1294" t="s"/>
      <c r="H1294" t="s"/>
      <c r="I1294" t="s"/>
      <c r="J1294" t="n">
        <v>-0.7783</v>
      </c>
      <c r="K1294" t="n">
        <v>0.375</v>
      </c>
      <c r="L1294" t="n">
        <v>0.625</v>
      </c>
      <c r="M1294" t="n">
        <v>0</v>
      </c>
    </row>
    <row r="1295" spans="1:13">
      <c r="A1295" s="1">
        <f>HYPERLINK("http://www.twitter.com/NathanBLawrence/status/991428880887054337", "991428880887054337")</f>
        <v/>
      </c>
      <c r="B1295" s="2" t="n">
        <v>43221.89396990741</v>
      </c>
      <c r="C1295" t="n">
        <v>10</v>
      </c>
      <c r="D1295" t="n">
        <v>4</v>
      </c>
      <c r="E1295" t="s">
        <v>1305</v>
      </c>
      <c r="F1295" t="s"/>
      <c r="G1295" t="s"/>
      <c r="H1295" t="s"/>
      <c r="I1295" t="s"/>
      <c r="J1295" t="n">
        <v>-0.4019</v>
      </c>
      <c r="K1295" t="n">
        <v>0.065</v>
      </c>
      <c r="L1295" t="n">
        <v>0.9350000000000001</v>
      </c>
      <c r="M1295" t="n">
        <v>0</v>
      </c>
    </row>
    <row r="1296" spans="1:13">
      <c r="A1296" s="1">
        <f>HYPERLINK("http://www.twitter.com/NathanBLawrence/status/991427375224295427", "991427375224295427")</f>
        <v/>
      </c>
      <c r="B1296" s="2" t="n">
        <v>43221.88981481481</v>
      </c>
      <c r="C1296" t="n">
        <v>3</v>
      </c>
      <c r="D1296" t="n">
        <v>0</v>
      </c>
      <c r="E1296" t="s">
        <v>1306</v>
      </c>
      <c r="F1296" t="s"/>
      <c r="G1296" t="s"/>
      <c r="H1296" t="s"/>
      <c r="I1296" t="s"/>
      <c r="J1296" t="n">
        <v>0</v>
      </c>
      <c r="K1296" t="n">
        <v>0</v>
      </c>
      <c r="L1296" t="n">
        <v>1</v>
      </c>
      <c r="M1296" t="n">
        <v>0</v>
      </c>
    </row>
    <row r="1297" spans="1:13">
      <c r="A1297" s="1">
        <f>HYPERLINK("http://www.twitter.com/NathanBLawrence/status/991427288611860480", "991427288611860480")</f>
        <v/>
      </c>
      <c r="B1297" s="2" t="n">
        <v>43221.88958333333</v>
      </c>
      <c r="C1297" t="n">
        <v>0</v>
      </c>
      <c r="D1297" t="n">
        <v>15</v>
      </c>
      <c r="E1297" t="s">
        <v>1307</v>
      </c>
      <c r="F1297">
        <f>HYPERLINK("http://pbs.twimg.com/media/DcJAujXXkAARzS6.jpg", "http://pbs.twimg.com/media/DcJAujXXkAARzS6.jpg")</f>
        <v/>
      </c>
      <c r="G1297" t="s"/>
      <c r="H1297" t="s"/>
      <c r="I1297" t="s"/>
      <c r="J1297" t="n">
        <v>0</v>
      </c>
      <c r="K1297" t="n">
        <v>0</v>
      </c>
      <c r="L1297" t="n">
        <v>1</v>
      </c>
      <c r="M1297" t="n">
        <v>0</v>
      </c>
    </row>
    <row r="1298" spans="1:13">
      <c r="A1298" s="1">
        <f>HYPERLINK("http://www.twitter.com/NathanBLawrence/status/991427158076743681", "991427158076743681")</f>
        <v/>
      </c>
      <c r="B1298" s="2" t="n">
        <v>43221.88921296296</v>
      </c>
      <c r="C1298" t="n">
        <v>2</v>
      </c>
      <c r="D1298" t="n">
        <v>1</v>
      </c>
      <c r="E1298" t="s">
        <v>1308</v>
      </c>
      <c r="F1298" t="s"/>
      <c r="G1298" t="s"/>
      <c r="H1298" t="s"/>
      <c r="I1298" t="s"/>
      <c r="J1298" t="n">
        <v>-0.6114000000000001</v>
      </c>
      <c r="K1298" t="n">
        <v>0.156</v>
      </c>
      <c r="L1298" t="n">
        <v>0.844</v>
      </c>
      <c r="M1298" t="n">
        <v>0</v>
      </c>
    </row>
    <row r="1299" spans="1:13">
      <c r="A1299" s="1">
        <f>HYPERLINK("http://www.twitter.com/NathanBLawrence/status/991421770669445120", "991421770669445120")</f>
        <v/>
      </c>
      <c r="B1299" s="2" t="n">
        <v>43221.87435185185</v>
      </c>
      <c r="C1299" t="n">
        <v>17</v>
      </c>
      <c r="D1299" t="n">
        <v>9</v>
      </c>
      <c r="E1299" t="s">
        <v>1309</v>
      </c>
      <c r="F1299" t="s"/>
      <c r="G1299" t="s"/>
      <c r="H1299" t="s"/>
      <c r="I1299" t="s"/>
      <c r="J1299" t="n">
        <v>0.5093</v>
      </c>
      <c r="K1299" t="n">
        <v>0</v>
      </c>
      <c r="L1299" t="n">
        <v>0.837</v>
      </c>
      <c r="M1299" t="n">
        <v>0.163</v>
      </c>
    </row>
    <row r="1300" spans="1:13">
      <c r="A1300" s="1">
        <f>HYPERLINK("http://www.twitter.com/NathanBLawrence/status/991418943939235840", "991418943939235840")</f>
        <v/>
      </c>
      <c r="B1300" s="2" t="n">
        <v>43221.86655092592</v>
      </c>
      <c r="C1300" t="n">
        <v>0</v>
      </c>
      <c r="D1300" t="n">
        <v>5</v>
      </c>
      <c r="E1300" t="s">
        <v>1310</v>
      </c>
      <c r="F1300" t="s"/>
      <c r="G1300" t="s"/>
      <c r="H1300" t="s"/>
      <c r="I1300" t="s"/>
      <c r="J1300" t="n">
        <v>0.2023</v>
      </c>
      <c r="K1300" t="n">
        <v>0</v>
      </c>
      <c r="L1300" t="n">
        <v>0.859</v>
      </c>
      <c r="M1300" t="n">
        <v>0.141</v>
      </c>
    </row>
    <row r="1301" spans="1:13">
      <c r="A1301" s="1">
        <f>HYPERLINK("http://www.twitter.com/NathanBLawrence/status/991412837099687943", "991412837099687943")</f>
        <v/>
      </c>
      <c r="B1301" s="2" t="n">
        <v>43221.84969907408</v>
      </c>
      <c r="C1301" t="n">
        <v>2</v>
      </c>
      <c r="D1301" t="n">
        <v>0</v>
      </c>
      <c r="E1301" t="s">
        <v>1311</v>
      </c>
      <c r="F1301" t="s"/>
      <c r="G1301" t="s"/>
      <c r="H1301" t="s"/>
      <c r="I1301" t="s"/>
      <c r="J1301" t="n">
        <v>0.4019</v>
      </c>
      <c r="K1301" t="n">
        <v>0</v>
      </c>
      <c r="L1301" t="n">
        <v>0.828</v>
      </c>
      <c r="M1301" t="n">
        <v>0.172</v>
      </c>
    </row>
    <row r="1302" spans="1:13">
      <c r="A1302" s="1">
        <f>HYPERLINK("http://www.twitter.com/NathanBLawrence/status/991406775512567812", "991406775512567812")</f>
        <v/>
      </c>
      <c r="B1302" s="2" t="n">
        <v>43221.83297453704</v>
      </c>
      <c r="C1302" t="n">
        <v>8</v>
      </c>
      <c r="D1302" t="n">
        <v>3</v>
      </c>
      <c r="E1302" t="s">
        <v>1312</v>
      </c>
      <c r="F1302" t="s"/>
      <c r="G1302" t="s"/>
      <c r="H1302" t="s"/>
      <c r="I1302" t="s"/>
      <c r="J1302" t="n">
        <v>0.8687</v>
      </c>
      <c r="K1302" t="n">
        <v>0</v>
      </c>
      <c r="L1302" t="n">
        <v>0.505</v>
      </c>
      <c r="M1302" t="n">
        <v>0.495</v>
      </c>
    </row>
    <row r="1303" spans="1:13">
      <c r="A1303" s="1">
        <f>HYPERLINK("http://www.twitter.com/NathanBLawrence/status/991406368438603776", "991406368438603776")</f>
        <v/>
      </c>
      <c r="B1303" s="2" t="n">
        <v>43221.83185185185</v>
      </c>
      <c r="C1303" t="n">
        <v>0</v>
      </c>
      <c r="D1303" t="n">
        <v>15</v>
      </c>
      <c r="E1303" t="s">
        <v>1313</v>
      </c>
      <c r="F1303" t="s"/>
      <c r="G1303" t="s"/>
      <c r="H1303" t="s"/>
      <c r="I1303" t="s"/>
      <c r="J1303" t="n">
        <v>0.6124000000000001</v>
      </c>
      <c r="K1303" t="n">
        <v>0</v>
      </c>
      <c r="L1303" t="n">
        <v>0.846</v>
      </c>
      <c r="M1303" t="n">
        <v>0.154</v>
      </c>
    </row>
    <row r="1304" spans="1:13">
      <c r="A1304" s="1">
        <f>HYPERLINK("http://www.twitter.com/NathanBLawrence/status/991403256583684096", "991403256583684096")</f>
        <v/>
      </c>
      <c r="B1304" s="2" t="n">
        <v>43221.82326388889</v>
      </c>
      <c r="C1304" t="n">
        <v>0</v>
      </c>
      <c r="D1304" t="n">
        <v>1</v>
      </c>
      <c r="E1304" t="s">
        <v>1314</v>
      </c>
      <c r="F1304" t="s"/>
      <c r="G1304" t="s"/>
      <c r="H1304" t="s"/>
      <c r="I1304" t="s"/>
      <c r="J1304" t="n">
        <v>0.3818</v>
      </c>
      <c r="K1304" t="n">
        <v>0</v>
      </c>
      <c r="L1304" t="n">
        <v>0.8090000000000001</v>
      </c>
      <c r="M1304" t="n">
        <v>0.191</v>
      </c>
    </row>
    <row r="1305" spans="1:13">
      <c r="A1305" s="1">
        <f>HYPERLINK("http://www.twitter.com/NathanBLawrence/status/991399914482651138", "991399914482651138")</f>
        <v/>
      </c>
      <c r="B1305" s="2" t="n">
        <v>43221.81403935186</v>
      </c>
      <c r="C1305" t="n">
        <v>0</v>
      </c>
      <c r="D1305" t="n">
        <v>5</v>
      </c>
      <c r="E1305" t="s">
        <v>1315</v>
      </c>
      <c r="F1305" t="s"/>
      <c r="G1305" t="s"/>
      <c r="H1305" t="s"/>
      <c r="I1305" t="s"/>
      <c r="J1305" t="n">
        <v>0.1779</v>
      </c>
      <c r="K1305" t="n">
        <v>0</v>
      </c>
      <c r="L1305" t="n">
        <v>0.884</v>
      </c>
      <c r="M1305" t="n">
        <v>0.116</v>
      </c>
    </row>
    <row r="1306" spans="1:13">
      <c r="A1306" s="1">
        <f>HYPERLINK("http://www.twitter.com/NathanBLawrence/status/991399281352376325", "991399281352376325")</f>
        <v/>
      </c>
      <c r="B1306" s="2" t="n">
        <v>43221.81229166667</v>
      </c>
      <c r="C1306" t="n">
        <v>0</v>
      </c>
      <c r="D1306" t="n">
        <v>10</v>
      </c>
      <c r="E1306" t="s">
        <v>1316</v>
      </c>
      <c r="F1306" t="s"/>
      <c r="G1306" t="s"/>
      <c r="H1306" t="s"/>
      <c r="I1306" t="s"/>
      <c r="J1306" t="n">
        <v>0</v>
      </c>
      <c r="K1306" t="n">
        <v>0</v>
      </c>
      <c r="L1306" t="n">
        <v>1</v>
      </c>
      <c r="M1306" t="n">
        <v>0</v>
      </c>
    </row>
    <row r="1307" spans="1:13">
      <c r="A1307" s="1">
        <f>HYPERLINK("http://www.twitter.com/NathanBLawrence/status/991398320236122112", "991398320236122112")</f>
        <v/>
      </c>
      <c r="B1307" s="2" t="n">
        <v>43221.8096412037</v>
      </c>
      <c r="C1307" t="n">
        <v>0</v>
      </c>
      <c r="D1307" t="n">
        <v>3</v>
      </c>
      <c r="E1307" t="s">
        <v>1317</v>
      </c>
      <c r="F1307">
        <f>HYPERLINK("http://pbs.twimg.com/media/DcIicAaU8AI257x.jpg", "http://pbs.twimg.com/media/DcIicAaU8AI257x.jpg")</f>
        <v/>
      </c>
      <c r="G1307" t="s"/>
      <c r="H1307" t="s"/>
      <c r="I1307" t="s"/>
      <c r="J1307" t="n">
        <v>0</v>
      </c>
      <c r="K1307" t="n">
        <v>0</v>
      </c>
      <c r="L1307" t="n">
        <v>1</v>
      </c>
      <c r="M1307" t="n">
        <v>0</v>
      </c>
    </row>
    <row r="1308" spans="1:13">
      <c r="A1308" s="1">
        <f>HYPERLINK("http://www.twitter.com/NathanBLawrence/status/991396564605243393", "991396564605243393")</f>
        <v/>
      </c>
      <c r="B1308" s="2" t="n">
        <v>43221.80479166667</v>
      </c>
      <c r="C1308" t="n">
        <v>0</v>
      </c>
      <c r="D1308" t="n">
        <v>0</v>
      </c>
      <c r="E1308" t="s">
        <v>1318</v>
      </c>
      <c r="F1308">
        <f>HYPERLINK("http://pbs.twimg.com/media/DcIl6tXXcAEz2SG.jpg", "http://pbs.twimg.com/media/DcIl6tXXcAEz2SG.jpg")</f>
        <v/>
      </c>
      <c r="G1308" t="s"/>
      <c r="H1308" t="s"/>
      <c r="I1308" t="s"/>
      <c r="J1308" t="n">
        <v>-0.9286</v>
      </c>
      <c r="K1308" t="n">
        <v>0.255</v>
      </c>
      <c r="L1308" t="n">
        <v>0.745</v>
      </c>
      <c r="M1308" t="n">
        <v>0</v>
      </c>
    </row>
    <row r="1309" spans="1:13">
      <c r="A1309" s="1">
        <f>HYPERLINK("http://www.twitter.com/NathanBLawrence/status/991395096422748161", "991395096422748161")</f>
        <v/>
      </c>
      <c r="B1309" s="2" t="n">
        <v>43221.80074074074</v>
      </c>
      <c r="C1309" t="n">
        <v>0</v>
      </c>
      <c r="D1309" t="n">
        <v>15</v>
      </c>
      <c r="E1309" t="s">
        <v>1319</v>
      </c>
      <c r="F1309">
        <f>HYPERLINK("https://video.twimg.com/ext_tw_video/991391719127072768/pu/vid/720x1280/lLpeUpqUbbZPI0Qm.mp4?tag=3", "https://video.twimg.com/ext_tw_video/991391719127072768/pu/vid/720x1280/lLpeUpqUbbZPI0Qm.mp4?tag=3")</f>
        <v/>
      </c>
      <c r="G1309" t="s"/>
      <c r="H1309" t="s"/>
      <c r="I1309" t="s"/>
      <c r="J1309" t="n">
        <v>0.9657</v>
      </c>
      <c r="K1309" t="n">
        <v>0</v>
      </c>
      <c r="L1309" t="n">
        <v>0.467</v>
      </c>
      <c r="M1309" t="n">
        <v>0.533</v>
      </c>
    </row>
    <row r="1310" spans="1:13">
      <c r="A1310" s="1">
        <f>HYPERLINK("http://www.twitter.com/NathanBLawrence/status/991393573382901762", "991393573382901762")</f>
        <v/>
      </c>
      <c r="B1310" s="2" t="n">
        <v>43221.79653935185</v>
      </c>
      <c r="C1310" t="n">
        <v>0</v>
      </c>
      <c r="D1310" t="n">
        <v>9</v>
      </c>
      <c r="E1310" t="s">
        <v>1320</v>
      </c>
      <c r="F1310" t="s"/>
      <c r="G1310" t="s"/>
      <c r="H1310" t="s"/>
      <c r="I1310" t="s"/>
      <c r="J1310" t="n">
        <v>-0.6072</v>
      </c>
      <c r="K1310" t="n">
        <v>0.265</v>
      </c>
      <c r="L1310" t="n">
        <v>0.735</v>
      </c>
      <c r="M1310" t="n">
        <v>0</v>
      </c>
    </row>
    <row r="1311" spans="1:13">
      <c r="A1311" s="1">
        <f>HYPERLINK("http://www.twitter.com/NathanBLawrence/status/991393174538129413", "991393174538129413")</f>
        <v/>
      </c>
      <c r="B1311" s="2" t="n">
        <v>43221.79543981481</v>
      </c>
      <c r="C1311" t="n">
        <v>0</v>
      </c>
      <c r="D1311" t="n">
        <v>29</v>
      </c>
      <c r="E1311" t="s">
        <v>1321</v>
      </c>
      <c r="F1311" t="s"/>
      <c r="G1311" t="s"/>
      <c r="H1311" t="s"/>
      <c r="I1311" t="s"/>
      <c r="J1311" t="n">
        <v>0.0258</v>
      </c>
      <c r="K1311" t="n">
        <v>0</v>
      </c>
      <c r="L1311" t="n">
        <v>0.945</v>
      </c>
      <c r="M1311" t="n">
        <v>0.055</v>
      </c>
    </row>
    <row r="1312" spans="1:13">
      <c r="A1312" s="1">
        <f>HYPERLINK("http://www.twitter.com/NathanBLawrence/status/991393107701829634", "991393107701829634")</f>
        <v/>
      </c>
      <c r="B1312" s="2" t="n">
        <v>43221.79525462963</v>
      </c>
      <c r="C1312" t="n">
        <v>0</v>
      </c>
      <c r="D1312" t="n">
        <v>13</v>
      </c>
      <c r="E1312" t="s">
        <v>1322</v>
      </c>
      <c r="F1312" t="s"/>
      <c r="G1312" t="s"/>
      <c r="H1312" t="s"/>
      <c r="I1312" t="s"/>
      <c r="J1312" t="n">
        <v>0.1779</v>
      </c>
      <c r="K1312" t="n">
        <v>0.076</v>
      </c>
      <c r="L1312" t="n">
        <v>0.79</v>
      </c>
      <c r="M1312" t="n">
        <v>0.134</v>
      </c>
    </row>
    <row r="1313" spans="1:13">
      <c r="A1313" s="1">
        <f>HYPERLINK("http://www.twitter.com/NathanBLawrence/status/991391878884085763", "991391878884085763")</f>
        <v/>
      </c>
      <c r="B1313" s="2" t="n">
        <v>43221.79186342593</v>
      </c>
      <c r="C1313" t="n">
        <v>3</v>
      </c>
      <c r="D1313" t="n">
        <v>0</v>
      </c>
      <c r="E1313" t="s">
        <v>1323</v>
      </c>
      <c r="F1313" t="s"/>
      <c r="G1313" t="s"/>
      <c r="H1313" t="s"/>
      <c r="I1313" t="s"/>
      <c r="J1313" t="n">
        <v>0.128</v>
      </c>
      <c r="K1313" t="n">
        <v>0</v>
      </c>
      <c r="L1313" t="n">
        <v>0.87</v>
      </c>
      <c r="M1313" t="n">
        <v>0.13</v>
      </c>
    </row>
    <row r="1314" spans="1:13">
      <c r="A1314" s="1">
        <f>HYPERLINK("http://www.twitter.com/NathanBLawrence/status/991389973239787520", "991389973239787520")</f>
        <v/>
      </c>
      <c r="B1314" s="2" t="n">
        <v>43221.7866087963</v>
      </c>
      <c r="C1314" t="n">
        <v>3</v>
      </c>
      <c r="D1314" t="n">
        <v>1</v>
      </c>
      <c r="E1314" t="s">
        <v>1324</v>
      </c>
      <c r="F1314" t="s"/>
      <c r="G1314" t="s"/>
      <c r="H1314" t="s"/>
      <c r="I1314" t="s"/>
      <c r="J1314" t="n">
        <v>-0.6476</v>
      </c>
      <c r="K1314" t="n">
        <v>0.181</v>
      </c>
      <c r="L1314" t="n">
        <v>0.777</v>
      </c>
      <c r="M1314" t="n">
        <v>0.042</v>
      </c>
    </row>
    <row r="1315" spans="1:13">
      <c r="A1315" s="1">
        <f>HYPERLINK("http://www.twitter.com/NathanBLawrence/status/991389612537937923", "991389612537937923")</f>
        <v/>
      </c>
      <c r="B1315" s="2" t="n">
        <v>43221.78561342593</v>
      </c>
      <c r="C1315" t="n">
        <v>0</v>
      </c>
      <c r="D1315" t="n">
        <v>12</v>
      </c>
      <c r="E1315" t="s">
        <v>1325</v>
      </c>
      <c r="F1315" t="s"/>
      <c r="G1315" t="s"/>
      <c r="H1315" t="s"/>
      <c r="I1315" t="s"/>
      <c r="J1315" t="n">
        <v>-0.0258</v>
      </c>
      <c r="K1315" t="n">
        <v>0.044</v>
      </c>
      <c r="L1315" t="n">
        <v>0.956</v>
      </c>
      <c r="M1315" t="n">
        <v>0</v>
      </c>
    </row>
    <row r="1316" spans="1:13">
      <c r="A1316" s="1">
        <f>HYPERLINK("http://www.twitter.com/NathanBLawrence/status/991388494516899840", "991388494516899840")</f>
        <v/>
      </c>
      <c r="B1316" s="2" t="n">
        <v>43221.78252314815</v>
      </c>
      <c r="C1316" t="n">
        <v>0</v>
      </c>
      <c r="D1316" t="n">
        <v>17</v>
      </c>
      <c r="E1316" t="s">
        <v>1326</v>
      </c>
      <c r="F1316">
        <f>HYPERLINK("http://pbs.twimg.com/media/DcIQ_1-X0AA7Qe0.jpg", "http://pbs.twimg.com/media/DcIQ_1-X0AA7Qe0.jpg")</f>
        <v/>
      </c>
      <c r="G1316" t="s"/>
      <c r="H1316" t="s"/>
      <c r="I1316" t="s"/>
      <c r="J1316" t="n">
        <v>0</v>
      </c>
      <c r="K1316" t="n">
        <v>0</v>
      </c>
      <c r="L1316" t="n">
        <v>1</v>
      </c>
      <c r="M1316" t="n">
        <v>0</v>
      </c>
    </row>
    <row r="1317" spans="1:13">
      <c r="A1317" s="1">
        <f>HYPERLINK("http://www.twitter.com/NathanBLawrence/status/991388455564447745", "991388455564447745")</f>
        <v/>
      </c>
      <c r="B1317" s="2" t="n">
        <v>43221.78241898148</v>
      </c>
      <c r="C1317" t="n">
        <v>0</v>
      </c>
      <c r="D1317" t="n">
        <v>0</v>
      </c>
      <c r="E1317" t="s">
        <v>1327</v>
      </c>
      <c r="F1317">
        <f>HYPERLINK("http://pbs.twimg.com/media/DcIeimjVwAAPbB4.jpg", "http://pbs.twimg.com/media/DcIeimjVwAAPbB4.jpg")</f>
        <v/>
      </c>
      <c r="G1317" t="s"/>
      <c r="H1317" t="s"/>
      <c r="I1317" t="s"/>
      <c r="J1317" t="n">
        <v>0.6808</v>
      </c>
      <c r="K1317" t="n">
        <v>0.064</v>
      </c>
      <c r="L1317" t="n">
        <v>0.6860000000000001</v>
      </c>
      <c r="M1317" t="n">
        <v>0.25</v>
      </c>
    </row>
    <row r="1318" spans="1:13">
      <c r="A1318" s="1">
        <f>HYPERLINK("http://www.twitter.com/NathanBLawrence/status/991385306803900416", "991385306803900416")</f>
        <v/>
      </c>
      <c r="B1318" s="2" t="n">
        <v>43221.77372685185</v>
      </c>
      <c r="C1318" t="n">
        <v>2</v>
      </c>
      <c r="D1318" t="n">
        <v>0</v>
      </c>
      <c r="E1318" t="s">
        <v>1328</v>
      </c>
      <c r="F1318" t="s"/>
      <c r="G1318" t="s"/>
      <c r="H1318" t="s"/>
      <c r="I1318" t="s"/>
      <c r="J1318" t="n">
        <v>0.727</v>
      </c>
      <c r="K1318" t="n">
        <v>0.11</v>
      </c>
      <c r="L1318" t="n">
        <v>0.634</v>
      </c>
      <c r="M1318" t="n">
        <v>0.257</v>
      </c>
    </row>
    <row r="1319" spans="1:13">
      <c r="A1319" s="1">
        <f>HYPERLINK("http://www.twitter.com/NathanBLawrence/status/991383799538831360", "991383799538831360")</f>
        <v/>
      </c>
      <c r="B1319" s="2" t="n">
        <v>43221.76957175926</v>
      </c>
      <c r="C1319" t="n">
        <v>0</v>
      </c>
      <c r="D1319" t="n">
        <v>0</v>
      </c>
      <c r="E1319" t="s">
        <v>1329</v>
      </c>
      <c r="F1319" t="s"/>
      <c r="G1319" t="s"/>
      <c r="H1319" t="s"/>
      <c r="I1319" t="s"/>
      <c r="J1319" t="n">
        <v>-0.6629</v>
      </c>
      <c r="K1319" t="n">
        <v>0.199</v>
      </c>
      <c r="L1319" t="n">
        <v>0.708</v>
      </c>
      <c r="M1319" t="n">
        <v>0.093</v>
      </c>
    </row>
    <row r="1320" spans="1:13">
      <c r="A1320" s="1">
        <f>HYPERLINK("http://www.twitter.com/NathanBLawrence/status/991375664350748672", "991375664350748672")</f>
        <v/>
      </c>
      <c r="B1320" s="2" t="n">
        <v>43221.74711805556</v>
      </c>
      <c r="C1320" t="n">
        <v>0</v>
      </c>
      <c r="D1320" t="n">
        <v>0</v>
      </c>
      <c r="E1320" t="s">
        <v>1330</v>
      </c>
      <c r="F1320" t="s"/>
      <c r="G1320" t="s"/>
      <c r="H1320" t="s"/>
      <c r="I1320" t="s"/>
      <c r="J1320" t="n">
        <v>-0.0772</v>
      </c>
      <c r="K1320" t="n">
        <v>0.053</v>
      </c>
      <c r="L1320" t="n">
        <v>0.947</v>
      </c>
      <c r="M1320" t="n">
        <v>0</v>
      </c>
    </row>
    <row r="1321" spans="1:13">
      <c r="A1321" s="1">
        <f>HYPERLINK("http://www.twitter.com/NathanBLawrence/status/991373956887252993", "991373956887252993")</f>
        <v/>
      </c>
      <c r="B1321" s="2" t="n">
        <v>43221.74240740741</v>
      </c>
      <c r="C1321" t="n">
        <v>1</v>
      </c>
      <c r="D1321" t="n">
        <v>0</v>
      </c>
      <c r="E1321" t="s">
        <v>1331</v>
      </c>
      <c r="F1321" t="s"/>
      <c r="G1321" t="s"/>
      <c r="H1321" t="s"/>
      <c r="I1321" t="s"/>
      <c r="J1321" t="n">
        <v>-0.4389</v>
      </c>
      <c r="K1321" t="n">
        <v>0.104</v>
      </c>
      <c r="L1321" t="n">
        <v>0.896</v>
      </c>
      <c r="M1321" t="n">
        <v>0</v>
      </c>
    </row>
    <row r="1322" spans="1:13">
      <c r="A1322" s="1">
        <f>HYPERLINK("http://www.twitter.com/NathanBLawrence/status/991373247156555776", "991373247156555776")</f>
        <v/>
      </c>
      <c r="B1322" s="2" t="n">
        <v>43221.74045138889</v>
      </c>
      <c r="C1322" t="n">
        <v>1</v>
      </c>
      <c r="D1322" t="n">
        <v>0</v>
      </c>
      <c r="E1322" t="s">
        <v>1332</v>
      </c>
      <c r="F1322" t="s"/>
      <c r="G1322" t="s"/>
      <c r="H1322" t="s"/>
      <c r="I1322" t="s"/>
      <c r="J1322" t="n">
        <v>0</v>
      </c>
      <c r="K1322" t="n">
        <v>0</v>
      </c>
      <c r="L1322" t="n">
        <v>1</v>
      </c>
      <c r="M1322" t="n">
        <v>0</v>
      </c>
    </row>
    <row r="1323" spans="1:13">
      <c r="A1323" s="1">
        <f>HYPERLINK("http://www.twitter.com/NathanBLawrence/status/991367221678084096", "991367221678084096")</f>
        <v/>
      </c>
      <c r="B1323" s="2" t="n">
        <v>43221.72383101852</v>
      </c>
      <c r="C1323" t="n">
        <v>0</v>
      </c>
      <c r="D1323" t="n">
        <v>6</v>
      </c>
      <c r="E1323" t="s">
        <v>1333</v>
      </c>
      <c r="F1323" t="s"/>
      <c r="G1323" t="s"/>
      <c r="H1323" t="s"/>
      <c r="I1323" t="s"/>
      <c r="J1323" t="n">
        <v>0.1027</v>
      </c>
      <c r="K1323" t="n">
        <v>0.104</v>
      </c>
      <c r="L1323" t="n">
        <v>0.778</v>
      </c>
      <c r="M1323" t="n">
        <v>0.119</v>
      </c>
    </row>
    <row r="1324" spans="1:13">
      <c r="A1324" s="1">
        <f>HYPERLINK("http://www.twitter.com/NathanBLawrence/status/991364619334766593", "991364619334766593")</f>
        <v/>
      </c>
      <c r="B1324" s="2" t="n">
        <v>43221.71664351852</v>
      </c>
      <c r="C1324" t="n">
        <v>1</v>
      </c>
      <c r="D1324" t="n">
        <v>0</v>
      </c>
      <c r="E1324" t="s">
        <v>1334</v>
      </c>
      <c r="F1324" t="s"/>
      <c r="G1324" t="s"/>
      <c r="H1324" t="s"/>
      <c r="I1324" t="s"/>
      <c r="J1324" t="n">
        <v>-0.8169</v>
      </c>
      <c r="K1324" t="n">
        <v>0.33</v>
      </c>
      <c r="L1324" t="n">
        <v>0.59</v>
      </c>
      <c r="M1324" t="n">
        <v>0.08</v>
      </c>
    </row>
    <row r="1325" spans="1:13">
      <c r="A1325" s="1">
        <f>HYPERLINK("http://www.twitter.com/NathanBLawrence/status/991363029437747202", "991363029437747202")</f>
        <v/>
      </c>
      <c r="B1325" s="2" t="n">
        <v>43221.71225694445</v>
      </c>
      <c r="C1325" t="n">
        <v>1</v>
      </c>
      <c r="D1325" t="n">
        <v>0</v>
      </c>
      <c r="E1325" t="s">
        <v>1335</v>
      </c>
      <c r="F1325" t="s"/>
      <c r="G1325" t="s"/>
      <c r="H1325" t="s"/>
      <c r="I1325" t="s"/>
      <c r="J1325" t="n">
        <v>-0.296</v>
      </c>
      <c r="K1325" t="n">
        <v>0.099</v>
      </c>
      <c r="L1325" t="n">
        <v>0.901</v>
      </c>
      <c r="M1325" t="n">
        <v>0</v>
      </c>
    </row>
    <row r="1326" spans="1:13">
      <c r="A1326" s="1">
        <f>HYPERLINK("http://www.twitter.com/NathanBLawrence/status/991362385347862529", "991362385347862529")</f>
        <v/>
      </c>
      <c r="B1326" s="2" t="n">
        <v>43221.71047453704</v>
      </c>
      <c r="C1326" t="n">
        <v>3</v>
      </c>
      <c r="D1326" t="n">
        <v>0</v>
      </c>
      <c r="E1326" t="s">
        <v>1336</v>
      </c>
      <c r="F1326" t="s"/>
      <c r="G1326" t="s"/>
      <c r="H1326" t="s"/>
      <c r="I1326" t="s"/>
      <c r="J1326" t="n">
        <v>-0.4145</v>
      </c>
      <c r="K1326" t="n">
        <v>0.19</v>
      </c>
      <c r="L1326" t="n">
        <v>0.733</v>
      </c>
      <c r="M1326" t="n">
        <v>0.077</v>
      </c>
    </row>
    <row r="1327" spans="1:13">
      <c r="A1327" s="1">
        <f>HYPERLINK("http://www.twitter.com/NathanBLawrence/status/991361421383434240", "991361421383434240")</f>
        <v/>
      </c>
      <c r="B1327" s="2" t="n">
        <v>43221.70782407407</v>
      </c>
      <c r="C1327" t="n">
        <v>0</v>
      </c>
      <c r="D1327" t="n">
        <v>16</v>
      </c>
      <c r="E1327" t="s">
        <v>1337</v>
      </c>
      <c r="F1327" t="s"/>
      <c r="G1327" t="s"/>
      <c r="H1327" t="s"/>
      <c r="I1327" t="s"/>
      <c r="J1327" t="n">
        <v>-0.1613</v>
      </c>
      <c r="K1327" t="n">
        <v>0.109</v>
      </c>
      <c r="L1327" t="n">
        <v>0.803</v>
      </c>
      <c r="M1327" t="n">
        <v>0.08699999999999999</v>
      </c>
    </row>
    <row r="1328" spans="1:13">
      <c r="A1328" s="1">
        <f>HYPERLINK("http://www.twitter.com/NathanBLawrence/status/991361354551451650", "991361354551451650")</f>
        <v/>
      </c>
      <c r="B1328" s="2" t="n">
        <v>43221.70763888889</v>
      </c>
      <c r="C1328" t="n">
        <v>0</v>
      </c>
      <c r="D1328" t="n">
        <v>8</v>
      </c>
      <c r="E1328" t="s">
        <v>1338</v>
      </c>
      <c r="F1328" t="s"/>
      <c r="G1328" t="s"/>
      <c r="H1328" t="s"/>
      <c r="I1328" t="s"/>
      <c r="J1328" t="n">
        <v>-0.2263</v>
      </c>
      <c r="K1328" t="n">
        <v>0.142</v>
      </c>
      <c r="L1328" t="n">
        <v>0.753</v>
      </c>
      <c r="M1328" t="n">
        <v>0.105</v>
      </c>
    </row>
    <row r="1329" spans="1:13">
      <c r="A1329" s="1">
        <f>HYPERLINK("http://www.twitter.com/NathanBLawrence/status/991360300560650240", "991360300560650240")</f>
        <v/>
      </c>
      <c r="B1329" s="2" t="n">
        <v>43221.70472222222</v>
      </c>
      <c r="C1329" t="n">
        <v>0</v>
      </c>
      <c r="D1329" t="n">
        <v>0</v>
      </c>
      <c r="E1329" t="s">
        <v>1339</v>
      </c>
      <c r="F1329" t="s"/>
      <c r="G1329" t="s"/>
      <c r="H1329" t="s"/>
      <c r="I1329" t="s"/>
      <c r="J1329" t="n">
        <v>0</v>
      </c>
      <c r="K1329" t="n">
        <v>0</v>
      </c>
      <c r="L1329" t="n">
        <v>1</v>
      </c>
      <c r="M1329" t="n">
        <v>0</v>
      </c>
    </row>
    <row r="1330" spans="1:13">
      <c r="A1330" s="1">
        <f>HYPERLINK("http://www.twitter.com/NathanBLawrence/status/991358362590859264", "991358362590859264")</f>
        <v/>
      </c>
      <c r="B1330" s="2" t="n">
        <v>43221.699375</v>
      </c>
      <c r="C1330" t="n">
        <v>0</v>
      </c>
      <c r="D1330" t="n">
        <v>2</v>
      </c>
      <c r="E1330" t="s">
        <v>1340</v>
      </c>
      <c r="F1330" t="s"/>
      <c r="G1330" t="s"/>
      <c r="H1330" t="s"/>
      <c r="I1330" t="s"/>
      <c r="J1330" t="n">
        <v>0</v>
      </c>
      <c r="K1330" t="n">
        <v>0</v>
      </c>
      <c r="L1330" t="n">
        <v>1</v>
      </c>
      <c r="M1330" t="n">
        <v>0</v>
      </c>
    </row>
    <row r="1331" spans="1:13">
      <c r="A1331" s="1">
        <f>HYPERLINK("http://www.twitter.com/NathanBLawrence/status/991353811095707648", "991353811095707648")</f>
        <v/>
      </c>
      <c r="B1331" s="2" t="n">
        <v>43221.68681712963</v>
      </c>
      <c r="C1331" t="n">
        <v>0</v>
      </c>
      <c r="D1331" t="n">
        <v>0</v>
      </c>
      <c r="E1331" t="s">
        <v>1341</v>
      </c>
      <c r="F1331" t="s"/>
      <c r="G1331" t="s"/>
      <c r="H1331" t="s"/>
      <c r="I1331" t="s"/>
      <c r="J1331" t="n">
        <v>-0.2732</v>
      </c>
      <c r="K1331" t="n">
        <v>0.07199999999999999</v>
      </c>
      <c r="L1331" t="n">
        <v>0.928</v>
      </c>
      <c r="M1331" t="n">
        <v>0</v>
      </c>
    </row>
    <row r="1332" spans="1:13">
      <c r="A1332" s="1">
        <f>HYPERLINK("http://www.twitter.com/NathanBLawrence/status/991353202724474880", "991353202724474880")</f>
        <v/>
      </c>
      <c r="B1332" s="2" t="n">
        <v>43221.68513888889</v>
      </c>
      <c r="C1332" t="n">
        <v>0</v>
      </c>
      <c r="D1332" t="n">
        <v>7</v>
      </c>
      <c r="E1332" t="s">
        <v>1342</v>
      </c>
      <c r="F1332" t="s"/>
      <c r="G1332" t="s"/>
      <c r="H1332" t="s"/>
      <c r="I1332" t="s"/>
      <c r="J1332" t="n">
        <v>-0.6124000000000001</v>
      </c>
      <c r="K1332" t="n">
        <v>0.238</v>
      </c>
      <c r="L1332" t="n">
        <v>0.762</v>
      </c>
      <c r="M1332" t="n">
        <v>0</v>
      </c>
    </row>
    <row r="1333" spans="1:13">
      <c r="A1333" s="1">
        <f>HYPERLINK("http://www.twitter.com/NathanBLawrence/status/991352030689136640", "991352030689136640")</f>
        <v/>
      </c>
      <c r="B1333" s="2" t="n">
        <v>43221.68190972223</v>
      </c>
      <c r="C1333" t="n">
        <v>0</v>
      </c>
      <c r="D1333" t="n">
        <v>13</v>
      </c>
      <c r="E1333" t="s">
        <v>1343</v>
      </c>
      <c r="F1333" t="s"/>
      <c r="G1333" t="s"/>
      <c r="H1333" t="s"/>
      <c r="I1333" t="s"/>
      <c r="J1333" t="n">
        <v>-0.1316</v>
      </c>
      <c r="K1333" t="n">
        <v>0.07000000000000001</v>
      </c>
      <c r="L1333" t="n">
        <v>0.93</v>
      </c>
      <c r="M1333" t="n">
        <v>0</v>
      </c>
    </row>
    <row r="1334" spans="1:13">
      <c r="A1334" s="1">
        <f>HYPERLINK("http://www.twitter.com/NathanBLawrence/status/991351738790707200", "991351738790707200")</f>
        <v/>
      </c>
      <c r="B1334" s="2" t="n">
        <v>43221.68109953704</v>
      </c>
      <c r="C1334" t="n">
        <v>0</v>
      </c>
      <c r="D1334" t="n">
        <v>3</v>
      </c>
      <c r="E1334" t="s">
        <v>1344</v>
      </c>
      <c r="F1334" t="s"/>
      <c r="G1334" t="s"/>
      <c r="H1334" t="s"/>
      <c r="I1334" t="s"/>
      <c r="J1334" t="n">
        <v>-0.3818</v>
      </c>
      <c r="K1334" t="n">
        <v>0.12</v>
      </c>
      <c r="L1334" t="n">
        <v>0.88</v>
      </c>
      <c r="M1334" t="n">
        <v>0</v>
      </c>
    </row>
    <row r="1335" spans="1:13">
      <c r="A1335" s="1">
        <f>HYPERLINK("http://www.twitter.com/NathanBLawrence/status/991348316935000064", "991348316935000064")</f>
        <v/>
      </c>
      <c r="B1335" s="2" t="n">
        <v>43221.67165509259</v>
      </c>
      <c r="C1335" t="n">
        <v>0</v>
      </c>
      <c r="D1335" t="n">
        <v>11</v>
      </c>
      <c r="E1335" t="s">
        <v>1345</v>
      </c>
      <c r="F1335" t="s"/>
      <c r="G1335" t="s"/>
      <c r="H1335" t="s"/>
      <c r="I1335" t="s"/>
      <c r="J1335" t="n">
        <v>-0.4404</v>
      </c>
      <c r="K1335" t="n">
        <v>0.112</v>
      </c>
      <c r="L1335" t="n">
        <v>0.888</v>
      </c>
      <c r="M1335" t="n">
        <v>0</v>
      </c>
    </row>
    <row r="1336" spans="1:13">
      <c r="A1336" s="1">
        <f>HYPERLINK("http://www.twitter.com/NathanBLawrence/status/991348003524005888", "991348003524005888")</f>
        <v/>
      </c>
      <c r="B1336" s="2" t="n">
        <v>43221.67079861111</v>
      </c>
      <c r="C1336" t="n">
        <v>0</v>
      </c>
      <c r="D1336" t="n">
        <v>2</v>
      </c>
      <c r="E1336" t="s">
        <v>1346</v>
      </c>
      <c r="F1336" t="s"/>
      <c r="G1336" t="s"/>
      <c r="H1336" t="s"/>
      <c r="I1336" t="s"/>
      <c r="J1336" t="n">
        <v>0.2732</v>
      </c>
      <c r="K1336" t="n">
        <v>0.08599999999999999</v>
      </c>
      <c r="L1336" t="n">
        <v>0.782</v>
      </c>
      <c r="M1336" t="n">
        <v>0.132</v>
      </c>
    </row>
    <row r="1337" spans="1:13">
      <c r="A1337" s="1">
        <f>HYPERLINK("http://www.twitter.com/NathanBLawrence/status/991347928735322118", "991347928735322118")</f>
        <v/>
      </c>
      <c r="B1337" s="2" t="n">
        <v>43221.67059027778</v>
      </c>
      <c r="C1337" t="n">
        <v>0</v>
      </c>
      <c r="D1337" t="n">
        <v>0</v>
      </c>
      <c r="E1337" t="s">
        <v>1347</v>
      </c>
      <c r="F1337" t="s"/>
      <c r="G1337" t="s"/>
      <c r="H1337" t="s"/>
      <c r="I1337" t="s"/>
      <c r="J1337" t="n">
        <v>0</v>
      </c>
      <c r="K1337" t="n">
        <v>0</v>
      </c>
      <c r="L1337" t="n">
        <v>1</v>
      </c>
      <c r="M1337" t="n">
        <v>0</v>
      </c>
    </row>
    <row r="1338" spans="1:13">
      <c r="A1338" s="1">
        <f>HYPERLINK("http://www.twitter.com/NathanBLawrence/status/991340557321621504", "991340557321621504")</f>
        <v/>
      </c>
      <c r="B1338" s="2" t="n">
        <v>43221.65024305556</v>
      </c>
      <c r="C1338" t="n">
        <v>0</v>
      </c>
      <c r="D1338" t="n">
        <v>1</v>
      </c>
      <c r="E1338" t="s">
        <v>1348</v>
      </c>
      <c r="F1338" t="s"/>
      <c r="G1338" t="s"/>
      <c r="H1338" t="s"/>
      <c r="I1338" t="s"/>
      <c r="J1338" t="n">
        <v>0</v>
      </c>
      <c r="K1338" t="n">
        <v>0</v>
      </c>
      <c r="L1338" t="n">
        <v>1</v>
      </c>
      <c r="M1338" t="n">
        <v>0</v>
      </c>
    </row>
    <row r="1339" spans="1:13">
      <c r="A1339" s="1">
        <f>HYPERLINK("http://www.twitter.com/NathanBLawrence/status/991338984688242689", "991338984688242689")</f>
        <v/>
      </c>
      <c r="B1339" s="2" t="n">
        <v>43221.64590277777</v>
      </c>
      <c r="C1339" t="n">
        <v>0</v>
      </c>
      <c r="D1339" t="n">
        <v>2</v>
      </c>
      <c r="E1339" t="s">
        <v>1349</v>
      </c>
      <c r="F1339" t="s"/>
      <c r="G1339" t="s"/>
      <c r="H1339" t="s"/>
      <c r="I1339" t="s"/>
      <c r="J1339" t="n">
        <v>0.2732</v>
      </c>
      <c r="K1339" t="n">
        <v>0</v>
      </c>
      <c r="L1339" t="n">
        <v>0.9</v>
      </c>
      <c r="M1339" t="n">
        <v>0.1</v>
      </c>
    </row>
    <row r="1340" spans="1:13">
      <c r="A1340" s="1">
        <f>HYPERLINK("http://www.twitter.com/NathanBLawrence/status/991338867792982016", "991338867792982016")</f>
        <v/>
      </c>
      <c r="B1340" s="2" t="n">
        <v>43221.6455787037</v>
      </c>
      <c r="C1340" t="n">
        <v>0</v>
      </c>
      <c r="D1340" t="n">
        <v>12</v>
      </c>
      <c r="E1340" t="s">
        <v>1350</v>
      </c>
      <c r="F1340" t="s"/>
      <c r="G1340" t="s"/>
      <c r="H1340" t="s"/>
      <c r="I1340" t="s"/>
      <c r="J1340" t="n">
        <v>0.128</v>
      </c>
      <c r="K1340" t="n">
        <v>0.101</v>
      </c>
      <c r="L1340" t="n">
        <v>0.773</v>
      </c>
      <c r="M1340" t="n">
        <v>0.126</v>
      </c>
    </row>
    <row r="1341" spans="1:13">
      <c r="A1341" s="1">
        <f>HYPERLINK("http://www.twitter.com/NathanBLawrence/status/991338635848028161", "991338635848028161")</f>
        <v/>
      </c>
      <c r="B1341" s="2" t="n">
        <v>43221.64494212963</v>
      </c>
      <c r="C1341" t="n">
        <v>0</v>
      </c>
      <c r="D1341" t="n">
        <v>0</v>
      </c>
      <c r="E1341" t="s">
        <v>1351</v>
      </c>
      <c r="F1341" t="s"/>
      <c r="G1341" t="s"/>
      <c r="H1341" t="s"/>
      <c r="I1341" t="s"/>
      <c r="J1341" t="n">
        <v>-0.7506</v>
      </c>
      <c r="K1341" t="n">
        <v>0.252</v>
      </c>
      <c r="L1341" t="n">
        <v>0.748</v>
      </c>
      <c r="M1341" t="n">
        <v>0</v>
      </c>
    </row>
    <row r="1342" spans="1:13">
      <c r="A1342" s="1">
        <f>HYPERLINK("http://www.twitter.com/NathanBLawrence/status/991337560965296128", "991337560965296128")</f>
        <v/>
      </c>
      <c r="B1342" s="2" t="n">
        <v>43221.64197916666</v>
      </c>
      <c r="C1342" t="n">
        <v>0</v>
      </c>
      <c r="D1342" t="n">
        <v>4</v>
      </c>
      <c r="E1342" t="s">
        <v>1352</v>
      </c>
      <c r="F1342" t="s"/>
      <c r="G1342" t="s"/>
      <c r="H1342" t="s"/>
      <c r="I1342" t="s"/>
      <c r="J1342" t="n">
        <v>-0.474</v>
      </c>
      <c r="K1342" t="n">
        <v>0.146</v>
      </c>
      <c r="L1342" t="n">
        <v>0.854</v>
      </c>
      <c r="M1342" t="n">
        <v>0</v>
      </c>
    </row>
    <row r="1343" spans="1:13">
      <c r="A1343" s="1">
        <f>HYPERLINK("http://www.twitter.com/NathanBLawrence/status/991330846224404481", "991330846224404481")</f>
        <v/>
      </c>
      <c r="B1343" s="2" t="n">
        <v>43221.62344907408</v>
      </c>
      <c r="C1343" t="n">
        <v>0</v>
      </c>
      <c r="D1343" t="n">
        <v>0</v>
      </c>
      <c r="E1343" t="s">
        <v>1353</v>
      </c>
      <c r="F1343" t="s"/>
      <c r="G1343" t="s"/>
      <c r="H1343" t="s"/>
      <c r="I1343" t="s"/>
      <c r="J1343" t="n">
        <v>-0.1027</v>
      </c>
      <c r="K1343" t="n">
        <v>0.038</v>
      </c>
      <c r="L1343" t="n">
        <v>0.962</v>
      </c>
      <c r="M1343" t="n">
        <v>0</v>
      </c>
    </row>
    <row r="1344" spans="1:13">
      <c r="A1344" s="1">
        <f>HYPERLINK("http://www.twitter.com/NathanBLawrence/status/991329098797592576", "991329098797592576")</f>
        <v/>
      </c>
      <c r="B1344" s="2" t="n">
        <v>43221.61862268519</v>
      </c>
      <c r="C1344" t="n">
        <v>0</v>
      </c>
      <c r="D1344" t="n">
        <v>5</v>
      </c>
      <c r="E1344" t="s">
        <v>1354</v>
      </c>
      <c r="F1344" t="s"/>
      <c r="G1344" t="s"/>
      <c r="H1344" t="s"/>
      <c r="I1344" t="s"/>
      <c r="J1344" t="n">
        <v>0.4767</v>
      </c>
      <c r="K1344" t="n">
        <v>0</v>
      </c>
      <c r="L1344" t="n">
        <v>0.837</v>
      </c>
      <c r="M1344" t="n">
        <v>0.163</v>
      </c>
    </row>
    <row r="1345" spans="1:13">
      <c r="A1345" s="1">
        <f>HYPERLINK("http://www.twitter.com/NathanBLawrence/status/991328831024877569", "991328831024877569")</f>
        <v/>
      </c>
      <c r="B1345" s="2" t="n">
        <v>43221.61788194445</v>
      </c>
      <c r="C1345" t="n">
        <v>2</v>
      </c>
      <c r="D1345" t="n">
        <v>2</v>
      </c>
      <c r="E1345" t="s">
        <v>1355</v>
      </c>
      <c r="F1345">
        <f>HYPERLINK("http://pbs.twimg.com/media/DcHoUCoV0AAqgvc.jpg", "http://pbs.twimg.com/media/DcHoUCoV0AAqgvc.jpg")</f>
        <v/>
      </c>
      <c r="G1345" t="s"/>
      <c r="H1345" t="s"/>
      <c r="I1345" t="s"/>
      <c r="J1345" t="n">
        <v>0.2732</v>
      </c>
      <c r="K1345" t="n">
        <v>0.053</v>
      </c>
      <c r="L1345" t="n">
        <v>0.849</v>
      </c>
      <c r="M1345" t="n">
        <v>0.098</v>
      </c>
    </row>
    <row r="1346" spans="1:13">
      <c r="A1346" s="1">
        <f>HYPERLINK("http://www.twitter.com/NathanBLawrence/status/991327998723919872", "991327998723919872")</f>
        <v/>
      </c>
      <c r="B1346" s="2" t="n">
        <v>43221.61559027778</v>
      </c>
      <c r="C1346" t="n">
        <v>5</v>
      </c>
      <c r="D1346" t="n">
        <v>2</v>
      </c>
      <c r="E1346" t="s">
        <v>1356</v>
      </c>
      <c r="F1346" t="s"/>
      <c r="G1346" t="s"/>
      <c r="H1346" t="s"/>
      <c r="I1346" t="s"/>
      <c r="J1346" t="n">
        <v>-0.8519</v>
      </c>
      <c r="K1346" t="n">
        <v>0.257</v>
      </c>
      <c r="L1346" t="n">
        <v>0.6879999999999999</v>
      </c>
      <c r="M1346" t="n">
        <v>0.055</v>
      </c>
    </row>
    <row r="1347" spans="1:13">
      <c r="A1347" s="1">
        <f>HYPERLINK("http://www.twitter.com/NathanBLawrence/status/991325684705480704", "991325684705480704")</f>
        <v/>
      </c>
      <c r="B1347" s="2" t="n">
        <v>43221.60920138889</v>
      </c>
      <c r="C1347" t="n">
        <v>0</v>
      </c>
      <c r="D1347" t="n">
        <v>3</v>
      </c>
      <c r="E1347" t="s">
        <v>1357</v>
      </c>
      <c r="F1347">
        <f>HYPERLINK("http://pbs.twimg.com/media/DcFRMPkU8AA9BAT.jpg", "http://pbs.twimg.com/media/DcFRMPkU8AA9BAT.jpg")</f>
        <v/>
      </c>
      <c r="G1347" t="s"/>
      <c r="H1347" t="s"/>
      <c r="I1347" t="s"/>
      <c r="J1347" t="n">
        <v>0</v>
      </c>
      <c r="K1347" t="n">
        <v>0</v>
      </c>
      <c r="L1347" t="n">
        <v>1</v>
      </c>
      <c r="M1347" t="n">
        <v>0</v>
      </c>
    </row>
    <row r="1348" spans="1:13">
      <c r="A1348" s="1">
        <f>HYPERLINK("http://www.twitter.com/NathanBLawrence/status/991325233285124096", "991325233285124096")</f>
        <v/>
      </c>
      <c r="B1348" s="2" t="n">
        <v>43221.60796296296</v>
      </c>
      <c r="C1348" t="n">
        <v>0</v>
      </c>
      <c r="D1348" t="n">
        <v>1</v>
      </c>
      <c r="E1348" t="s">
        <v>1358</v>
      </c>
      <c r="F1348" t="s"/>
      <c r="G1348" t="s"/>
      <c r="H1348" t="s"/>
      <c r="I1348" t="s"/>
      <c r="J1348" t="n">
        <v>-0.4215</v>
      </c>
      <c r="K1348" t="n">
        <v>0.109</v>
      </c>
      <c r="L1348" t="n">
        <v>0.891</v>
      </c>
      <c r="M1348" t="n">
        <v>0</v>
      </c>
    </row>
    <row r="1349" spans="1:13">
      <c r="A1349" s="1">
        <f>HYPERLINK("http://www.twitter.com/NathanBLawrence/status/991321823580164096", "991321823580164096")</f>
        <v/>
      </c>
      <c r="B1349" s="2" t="n">
        <v>43221.59855324074</v>
      </c>
      <c r="C1349" t="n">
        <v>5</v>
      </c>
      <c r="D1349" t="n">
        <v>0</v>
      </c>
      <c r="E1349" t="s">
        <v>1359</v>
      </c>
      <c r="F1349" t="s"/>
      <c r="G1349" t="s"/>
      <c r="H1349" t="s"/>
      <c r="I1349" t="s"/>
      <c r="J1349" t="n">
        <v>0.3818</v>
      </c>
      <c r="K1349" t="n">
        <v>0</v>
      </c>
      <c r="L1349" t="n">
        <v>0.894</v>
      </c>
      <c r="M1349" t="n">
        <v>0.106</v>
      </c>
    </row>
    <row r="1350" spans="1:13">
      <c r="A1350" s="1">
        <f>HYPERLINK("http://www.twitter.com/NathanBLawrence/status/991321404837711877", "991321404837711877")</f>
        <v/>
      </c>
      <c r="B1350" s="2" t="n">
        <v>43221.59739583333</v>
      </c>
      <c r="C1350" t="n">
        <v>3</v>
      </c>
      <c r="D1350" t="n">
        <v>0</v>
      </c>
      <c r="E1350" t="s">
        <v>1360</v>
      </c>
      <c r="F1350" t="s"/>
      <c r="G1350" t="s"/>
      <c r="H1350" t="s"/>
      <c r="I1350" t="s"/>
      <c r="J1350" t="n">
        <v>-0.4019</v>
      </c>
      <c r="K1350" t="n">
        <v>0.184</v>
      </c>
      <c r="L1350" t="n">
        <v>0.8159999999999999</v>
      </c>
      <c r="M1350" t="n">
        <v>0</v>
      </c>
    </row>
    <row r="1351" spans="1:13">
      <c r="A1351" s="1">
        <f>HYPERLINK("http://www.twitter.com/NathanBLawrence/status/991321103590141952", "991321103590141952")</f>
        <v/>
      </c>
      <c r="B1351" s="2" t="n">
        <v>43221.5965625</v>
      </c>
      <c r="C1351" t="n">
        <v>9</v>
      </c>
      <c r="D1351" t="n">
        <v>12</v>
      </c>
      <c r="E1351" t="s">
        <v>1361</v>
      </c>
      <c r="F1351" t="s"/>
      <c r="G1351" t="s"/>
      <c r="H1351" t="s"/>
      <c r="I1351" t="s"/>
      <c r="J1351" t="n">
        <v>-0.1779</v>
      </c>
      <c r="K1351" t="n">
        <v>0.131</v>
      </c>
      <c r="L1351" t="n">
        <v>0.783</v>
      </c>
      <c r="M1351" t="n">
        <v>0.08599999999999999</v>
      </c>
    </row>
    <row r="1352" spans="1:13">
      <c r="A1352" s="1">
        <f>HYPERLINK("http://www.twitter.com/NathanBLawrence/status/991316020374720512", "991316020374720512")</f>
        <v/>
      </c>
      <c r="B1352" s="2" t="n">
        <v>43221.58253472222</v>
      </c>
      <c r="C1352" t="n">
        <v>2</v>
      </c>
      <c r="D1352" t="n">
        <v>1</v>
      </c>
      <c r="E1352" t="s">
        <v>1362</v>
      </c>
      <c r="F1352">
        <f>HYPERLINK("http://pbs.twimg.com/media/DcHcqTVUwAAoQXO.jpg", "http://pbs.twimg.com/media/DcHcqTVUwAAoQXO.jpg")</f>
        <v/>
      </c>
      <c r="G1352" t="s"/>
      <c r="H1352" t="s"/>
      <c r="I1352" t="s"/>
      <c r="J1352" t="n">
        <v>0</v>
      </c>
      <c r="K1352" t="n">
        <v>0</v>
      </c>
      <c r="L1352" t="n">
        <v>1</v>
      </c>
      <c r="M1352" t="n">
        <v>0</v>
      </c>
    </row>
    <row r="1353" spans="1:13">
      <c r="A1353" s="1">
        <f>HYPERLINK("http://www.twitter.com/NathanBLawrence/status/991306851340955648", "991306851340955648")</f>
        <v/>
      </c>
      <c r="B1353" s="2" t="n">
        <v>43221.55723379629</v>
      </c>
      <c r="C1353" t="n">
        <v>0</v>
      </c>
      <c r="D1353" t="n">
        <v>1</v>
      </c>
      <c r="E1353" t="s">
        <v>1363</v>
      </c>
      <c r="F1353" t="s"/>
      <c r="G1353" t="s"/>
      <c r="H1353" t="s"/>
      <c r="I1353" t="s"/>
      <c r="J1353" t="n">
        <v>0.4404</v>
      </c>
      <c r="K1353" t="n">
        <v>0</v>
      </c>
      <c r="L1353" t="n">
        <v>0.873</v>
      </c>
      <c r="M1353" t="n">
        <v>0.127</v>
      </c>
    </row>
    <row r="1354" spans="1:13">
      <c r="A1354" s="1">
        <f>HYPERLINK("http://www.twitter.com/NathanBLawrence/status/991306842545500160", "991306842545500160")</f>
        <v/>
      </c>
      <c r="B1354" s="2" t="n">
        <v>43221.55721064815</v>
      </c>
      <c r="C1354" t="n">
        <v>0</v>
      </c>
      <c r="D1354" t="n">
        <v>2</v>
      </c>
      <c r="E1354" t="s">
        <v>1364</v>
      </c>
      <c r="F1354" t="s"/>
      <c r="G1354" t="s"/>
      <c r="H1354" t="s"/>
      <c r="I1354" t="s"/>
      <c r="J1354" t="n">
        <v>0.2335</v>
      </c>
      <c r="K1354" t="n">
        <v>0.06</v>
      </c>
      <c r="L1354" t="n">
        <v>0.838</v>
      </c>
      <c r="M1354" t="n">
        <v>0.101</v>
      </c>
    </row>
    <row r="1355" spans="1:13">
      <c r="A1355" s="1">
        <f>HYPERLINK("http://www.twitter.com/NathanBLawrence/status/991306524587945984", "991306524587945984")</f>
        <v/>
      </c>
      <c r="B1355" s="2" t="n">
        <v>43221.55633101852</v>
      </c>
      <c r="C1355" t="n">
        <v>1</v>
      </c>
      <c r="D1355" t="n">
        <v>0</v>
      </c>
      <c r="E1355" t="s">
        <v>1365</v>
      </c>
      <c r="F1355" t="s"/>
      <c r="G1355" t="s"/>
      <c r="H1355" t="s"/>
      <c r="I1355" t="s"/>
      <c r="J1355" t="n">
        <v>0</v>
      </c>
      <c r="K1355" t="n">
        <v>0</v>
      </c>
      <c r="L1355" t="n">
        <v>1</v>
      </c>
      <c r="M1355" t="n">
        <v>0</v>
      </c>
    </row>
    <row r="1356" spans="1:13">
      <c r="A1356" s="1">
        <f>HYPERLINK("http://www.twitter.com/NathanBLawrence/status/991300432503992321", "991300432503992321")</f>
        <v/>
      </c>
      <c r="B1356" s="2" t="n">
        <v>43221.53952546296</v>
      </c>
      <c r="C1356" t="n">
        <v>0</v>
      </c>
      <c r="D1356" t="n">
        <v>2</v>
      </c>
      <c r="E1356" t="s">
        <v>1366</v>
      </c>
      <c r="F1356" t="s"/>
      <c r="G1356" t="s"/>
      <c r="H1356" t="s"/>
      <c r="I1356" t="s"/>
      <c r="J1356" t="n">
        <v>0</v>
      </c>
      <c r="K1356" t="n">
        <v>0</v>
      </c>
      <c r="L1356" t="n">
        <v>1</v>
      </c>
      <c r="M1356" t="n">
        <v>0</v>
      </c>
    </row>
    <row r="1357" spans="1:13">
      <c r="A1357" s="1">
        <f>HYPERLINK("http://www.twitter.com/NathanBLawrence/status/991299540312641536", "991299540312641536")</f>
        <v/>
      </c>
      <c r="B1357" s="2" t="n">
        <v>43221.53706018518</v>
      </c>
      <c r="C1357" t="n">
        <v>0</v>
      </c>
      <c r="D1357" t="n">
        <v>3</v>
      </c>
      <c r="E1357" t="s">
        <v>1367</v>
      </c>
      <c r="F1357" t="s"/>
      <c r="G1357" t="s"/>
      <c r="H1357" t="s"/>
      <c r="I1357" t="s"/>
      <c r="J1357" t="n">
        <v>0</v>
      </c>
      <c r="K1357" t="n">
        <v>0</v>
      </c>
      <c r="L1357" t="n">
        <v>1</v>
      </c>
      <c r="M1357" t="n">
        <v>0</v>
      </c>
    </row>
    <row r="1358" spans="1:13">
      <c r="A1358" s="1">
        <f>HYPERLINK("http://www.twitter.com/NathanBLawrence/status/991299518296621056", "991299518296621056")</f>
        <v/>
      </c>
      <c r="B1358" s="2" t="n">
        <v>43221.53700231481</v>
      </c>
      <c r="C1358" t="n">
        <v>0</v>
      </c>
      <c r="D1358" t="n">
        <v>0</v>
      </c>
      <c r="E1358" t="s">
        <v>1368</v>
      </c>
      <c r="F1358" t="s"/>
      <c r="G1358" t="s"/>
      <c r="H1358" t="s"/>
      <c r="I1358" t="s"/>
      <c r="J1358" t="n">
        <v>0.6908</v>
      </c>
      <c r="K1358" t="n">
        <v>0</v>
      </c>
      <c r="L1358" t="n">
        <v>0.84</v>
      </c>
      <c r="M1358" t="n">
        <v>0.16</v>
      </c>
    </row>
    <row r="1359" spans="1:13">
      <c r="A1359" s="1">
        <f>HYPERLINK("http://www.twitter.com/NathanBLawrence/status/991297996708024321", "991297996708024321")</f>
        <v/>
      </c>
      <c r="B1359" s="2" t="n">
        <v>43221.53280092592</v>
      </c>
      <c r="C1359" t="n">
        <v>0</v>
      </c>
      <c r="D1359" t="n">
        <v>1</v>
      </c>
      <c r="E1359" t="s">
        <v>1369</v>
      </c>
      <c r="F1359" t="s"/>
      <c r="G1359" t="s"/>
      <c r="H1359" t="s"/>
      <c r="I1359" t="s"/>
      <c r="J1359" t="n">
        <v>0</v>
      </c>
      <c r="K1359" t="n">
        <v>0</v>
      </c>
      <c r="L1359" t="n">
        <v>1</v>
      </c>
      <c r="M1359" t="n">
        <v>0</v>
      </c>
    </row>
    <row r="1360" spans="1:13">
      <c r="A1360" s="1">
        <f>HYPERLINK("http://www.twitter.com/NathanBLawrence/status/991297431039086592", "991297431039086592")</f>
        <v/>
      </c>
      <c r="B1360" s="2" t="n">
        <v>43221.53123842592</v>
      </c>
      <c r="C1360" t="n">
        <v>1</v>
      </c>
      <c r="D1360" t="n">
        <v>0</v>
      </c>
      <c r="E1360" t="s">
        <v>1370</v>
      </c>
      <c r="F1360">
        <f>HYPERLINK("http://pbs.twimg.com/media/DcHLwJiVMAA3wrm.jpg", "http://pbs.twimg.com/media/DcHLwJiVMAA3wrm.jpg")</f>
        <v/>
      </c>
      <c r="G1360" t="s"/>
      <c r="H1360" t="s"/>
      <c r="I1360" t="s"/>
      <c r="J1360" t="n">
        <v>-0.7906</v>
      </c>
      <c r="K1360" t="n">
        <v>0.151</v>
      </c>
      <c r="L1360" t="n">
        <v>0.849</v>
      </c>
      <c r="M1360" t="n">
        <v>0</v>
      </c>
    </row>
    <row r="1361" spans="1:13">
      <c r="A1361" s="1">
        <f>HYPERLINK("http://www.twitter.com/NathanBLawrence/status/991295621838589952", "991295621838589952")</f>
        <v/>
      </c>
      <c r="B1361" s="2" t="n">
        <v>43221.52625</v>
      </c>
      <c r="C1361" t="n">
        <v>0</v>
      </c>
      <c r="D1361" t="n">
        <v>2</v>
      </c>
      <c r="E1361" t="s">
        <v>1371</v>
      </c>
      <c r="F1361" t="s"/>
      <c r="G1361" t="s"/>
      <c r="H1361" t="s"/>
      <c r="I1361" t="s"/>
      <c r="J1361" t="n">
        <v>-0.3182</v>
      </c>
      <c r="K1361" t="n">
        <v>0.113</v>
      </c>
      <c r="L1361" t="n">
        <v>0.887</v>
      </c>
      <c r="M1361" t="n">
        <v>0</v>
      </c>
    </row>
    <row r="1362" spans="1:13">
      <c r="A1362" s="1">
        <f>HYPERLINK("http://www.twitter.com/NathanBLawrence/status/991289949604470785", "991289949604470785")</f>
        <v/>
      </c>
      <c r="B1362" s="2" t="n">
        <v>43221.51059027778</v>
      </c>
      <c r="C1362" t="n">
        <v>0</v>
      </c>
      <c r="D1362" t="n">
        <v>0</v>
      </c>
      <c r="E1362" t="s">
        <v>1372</v>
      </c>
      <c r="F1362" t="s"/>
      <c r="G1362" t="s"/>
      <c r="H1362" t="s"/>
      <c r="I1362" t="s"/>
      <c r="J1362" t="n">
        <v>-0.4199</v>
      </c>
      <c r="K1362" t="n">
        <v>0.189</v>
      </c>
      <c r="L1362" t="n">
        <v>0.8110000000000001</v>
      </c>
      <c r="M1362" t="n">
        <v>0</v>
      </c>
    </row>
    <row r="1363" spans="1:13">
      <c r="A1363" s="1">
        <f>HYPERLINK("http://www.twitter.com/NathanBLawrence/status/991289569738969088", "991289569738969088")</f>
        <v/>
      </c>
      <c r="B1363" s="2" t="n">
        <v>43221.50954861111</v>
      </c>
      <c r="C1363" t="n">
        <v>0</v>
      </c>
      <c r="D1363" t="n">
        <v>0</v>
      </c>
      <c r="E1363" t="s">
        <v>1373</v>
      </c>
      <c r="F1363" t="s"/>
      <c r="G1363" t="s"/>
      <c r="H1363" t="s"/>
      <c r="I1363" t="s"/>
      <c r="J1363" t="n">
        <v>-0.4588</v>
      </c>
      <c r="K1363" t="n">
        <v>0.116</v>
      </c>
      <c r="L1363" t="n">
        <v>0.824</v>
      </c>
      <c r="M1363" t="n">
        <v>0.06</v>
      </c>
    </row>
    <row r="1364" spans="1:13">
      <c r="A1364" s="1">
        <f>HYPERLINK("http://www.twitter.com/NathanBLawrence/status/991288078865182720", "991288078865182720")</f>
        <v/>
      </c>
      <c r="B1364" s="2" t="n">
        <v>43221.50542824074</v>
      </c>
      <c r="C1364" t="n">
        <v>0</v>
      </c>
      <c r="D1364" t="n">
        <v>2</v>
      </c>
      <c r="E1364" t="s">
        <v>1374</v>
      </c>
      <c r="F1364" t="s"/>
      <c r="G1364" t="s"/>
      <c r="H1364" t="s"/>
      <c r="I1364" t="s"/>
      <c r="J1364" t="n">
        <v>-0.25</v>
      </c>
      <c r="K1364" t="n">
        <v>0.091</v>
      </c>
      <c r="L1364" t="n">
        <v>0.909</v>
      </c>
      <c r="M1364" t="n">
        <v>0</v>
      </c>
    </row>
    <row r="1365" spans="1:13">
      <c r="A1365" s="1">
        <f>HYPERLINK("http://www.twitter.com/NathanBLawrence/status/991288011576041472", "991288011576041472")</f>
        <v/>
      </c>
      <c r="B1365" s="2" t="n">
        <v>43221.50524305556</v>
      </c>
      <c r="C1365" t="n">
        <v>0</v>
      </c>
      <c r="D1365" t="n">
        <v>2</v>
      </c>
      <c r="E1365" t="s">
        <v>1375</v>
      </c>
      <c r="F1365" t="s"/>
      <c r="G1365" t="s"/>
      <c r="H1365" t="s"/>
      <c r="I1365" t="s"/>
      <c r="J1365" t="n">
        <v>0.485</v>
      </c>
      <c r="K1365" t="n">
        <v>0</v>
      </c>
      <c r="L1365" t="n">
        <v>0.792</v>
      </c>
      <c r="M1365" t="n">
        <v>0.208</v>
      </c>
    </row>
    <row r="1366" spans="1:13">
      <c r="A1366" s="1">
        <f>HYPERLINK("http://www.twitter.com/NathanBLawrence/status/991287908836528128", "991287908836528128")</f>
        <v/>
      </c>
      <c r="B1366" s="2" t="n">
        <v>43221.50496527777</v>
      </c>
      <c r="C1366" t="n">
        <v>0</v>
      </c>
      <c r="D1366" t="n">
        <v>0</v>
      </c>
      <c r="E1366" t="s">
        <v>1376</v>
      </c>
      <c r="F1366" t="s"/>
      <c r="G1366" t="s"/>
      <c r="H1366" t="s"/>
      <c r="I1366" t="s"/>
      <c r="J1366" t="n">
        <v>-0.4019</v>
      </c>
      <c r="K1366" t="n">
        <v>0.293</v>
      </c>
      <c r="L1366" t="n">
        <v>0.522</v>
      </c>
      <c r="M1366" t="n">
        <v>0.185</v>
      </c>
    </row>
    <row r="1367" spans="1:13">
      <c r="A1367" s="1">
        <f>HYPERLINK("http://www.twitter.com/NathanBLawrence/status/991287231632625665", "991287231632625665")</f>
        <v/>
      </c>
      <c r="B1367" s="2" t="n">
        <v>43221.50309027778</v>
      </c>
      <c r="C1367" t="n">
        <v>0</v>
      </c>
      <c r="D1367" t="n">
        <v>2</v>
      </c>
      <c r="E1367" t="s">
        <v>1377</v>
      </c>
      <c r="F1367" t="s"/>
      <c r="G1367" t="s"/>
      <c r="H1367" t="s"/>
      <c r="I1367" t="s"/>
      <c r="J1367" t="n">
        <v>0.2732</v>
      </c>
      <c r="K1367" t="n">
        <v>0.064</v>
      </c>
      <c r="L1367" t="n">
        <v>0.83</v>
      </c>
      <c r="M1367" t="n">
        <v>0.106</v>
      </c>
    </row>
    <row r="1368" spans="1:13">
      <c r="A1368" s="1">
        <f>HYPERLINK("http://www.twitter.com/NathanBLawrence/status/991287065357832192", "991287065357832192")</f>
        <v/>
      </c>
      <c r="B1368" s="2" t="n">
        <v>43221.50263888889</v>
      </c>
      <c r="C1368" t="n">
        <v>0</v>
      </c>
      <c r="D1368" t="n">
        <v>5</v>
      </c>
      <c r="E1368" t="s">
        <v>1378</v>
      </c>
      <c r="F1368" t="s"/>
      <c r="G1368" t="s"/>
      <c r="H1368" t="s"/>
      <c r="I1368" t="s"/>
      <c r="J1368" t="n">
        <v>-0.3182</v>
      </c>
      <c r="K1368" t="n">
        <v>0.091</v>
      </c>
      <c r="L1368" t="n">
        <v>0.909</v>
      </c>
      <c r="M1368" t="n">
        <v>0</v>
      </c>
    </row>
    <row r="1369" spans="1:13">
      <c r="A1369" s="1">
        <f>HYPERLINK("http://www.twitter.com/NathanBLawrence/status/991286847178510342", "991286847178510342")</f>
        <v/>
      </c>
      <c r="B1369" s="2" t="n">
        <v>43221.50203703704</v>
      </c>
      <c r="C1369" t="n">
        <v>0</v>
      </c>
      <c r="D1369" t="n">
        <v>13</v>
      </c>
      <c r="E1369" t="s">
        <v>1379</v>
      </c>
      <c r="F1369">
        <f>HYPERLINK("http://pbs.twimg.com/media/DcGsH0VX0AABr6d.jpg", "http://pbs.twimg.com/media/DcGsH0VX0AABr6d.jpg")</f>
        <v/>
      </c>
      <c r="G1369" t="s"/>
      <c r="H1369" t="s"/>
      <c r="I1369" t="s"/>
      <c r="J1369" t="n">
        <v>-0.3818</v>
      </c>
      <c r="K1369" t="n">
        <v>0.133</v>
      </c>
      <c r="L1369" t="n">
        <v>0.867</v>
      </c>
      <c r="M1369" t="n">
        <v>0</v>
      </c>
    </row>
    <row r="1370" spans="1:13">
      <c r="A1370" s="1">
        <f>HYPERLINK("http://www.twitter.com/NathanBLawrence/status/991286695839576064", "991286695839576064")</f>
        <v/>
      </c>
      <c r="B1370" s="2" t="n">
        <v>43221.50162037037</v>
      </c>
      <c r="C1370" t="n">
        <v>0</v>
      </c>
      <c r="D1370" t="n">
        <v>13</v>
      </c>
      <c r="E1370" t="s">
        <v>1380</v>
      </c>
      <c r="F1370">
        <f>HYPERLINK("http://pbs.twimg.com/media/DcGp-MGWAAAhVJz.jpg", "http://pbs.twimg.com/media/DcGp-MGWAAAhVJz.jpg")</f>
        <v/>
      </c>
      <c r="G1370" t="s"/>
      <c r="H1370" t="s"/>
      <c r="I1370" t="s"/>
      <c r="J1370" t="n">
        <v>0</v>
      </c>
      <c r="K1370" t="n">
        <v>0</v>
      </c>
      <c r="L1370" t="n">
        <v>1</v>
      </c>
      <c r="M1370" t="n">
        <v>0</v>
      </c>
    </row>
    <row r="1371" spans="1:13">
      <c r="A1371" s="1">
        <f>HYPERLINK("http://www.twitter.com/NathanBLawrence/status/991285549465047041", "991285549465047041")</f>
        <v/>
      </c>
      <c r="B1371" s="2" t="n">
        <v>43221.49844907408</v>
      </c>
      <c r="C1371" t="n">
        <v>0</v>
      </c>
      <c r="D1371" t="n">
        <v>0</v>
      </c>
      <c r="E1371" t="s">
        <v>1381</v>
      </c>
      <c r="F1371" t="s"/>
      <c r="G1371" t="s"/>
      <c r="H1371" t="s"/>
      <c r="I1371" t="s"/>
      <c r="J1371" t="n">
        <v>0.0772</v>
      </c>
      <c r="K1371" t="n">
        <v>0</v>
      </c>
      <c r="L1371" t="n">
        <v>0.962</v>
      </c>
      <c r="M1371" t="n">
        <v>0.038</v>
      </c>
    </row>
    <row r="1372" spans="1:13">
      <c r="A1372" s="1">
        <f>HYPERLINK("http://www.twitter.com/NathanBLawrence/status/991235922283950081", "991235922283950081")</f>
        <v/>
      </c>
      <c r="B1372" s="2" t="n">
        <v>43221.36150462963</v>
      </c>
      <c r="C1372" t="n">
        <v>0</v>
      </c>
      <c r="D1372" t="n">
        <v>7</v>
      </c>
      <c r="E1372" t="s">
        <v>1382</v>
      </c>
      <c r="F1372" t="s"/>
      <c r="G1372" t="s"/>
      <c r="H1372" t="s"/>
      <c r="I1372" t="s"/>
      <c r="J1372" t="n">
        <v>-0.594</v>
      </c>
      <c r="K1372" t="n">
        <v>0.149</v>
      </c>
      <c r="L1372" t="n">
        <v>0.851</v>
      </c>
      <c r="M1372" t="n">
        <v>0</v>
      </c>
    </row>
    <row r="1373" spans="1:13">
      <c r="A1373" s="1">
        <f>HYPERLINK("http://www.twitter.com/NathanBLawrence/status/991168560163672064", "991168560163672064")</f>
        <v/>
      </c>
      <c r="B1373" s="2" t="n">
        <v>43221.175625</v>
      </c>
      <c r="C1373" t="n">
        <v>0</v>
      </c>
      <c r="D1373" t="n">
        <v>0</v>
      </c>
      <c r="E1373" t="s">
        <v>1383</v>
      </c>
      <c r="F1373" t="s"/>
      <c r="G1373" t="s"/>
      <c r="H1373" t="s"/>
      <c r="I1373" t="s"/>
      <c r="J1373" t="n">
        <v>0.3182</v>
      </c>
      <c r="K1373" t="n">
        <v>0</v>
      </c>
      <c r="L1373" t="n">
        <v>0.839</v>
      </c>
      <c r="M1373" t="n">
        <v>0.161</v>
      </c>
    </row>
    <row r="1374" spans="1:13">
      <c r="A1374" s="1">
        <f>HYPERLINK("http://www.twitter.com/NathanBLawrence/status/991167897715257344", "991167897715257344")</f>
        <v/>
      </c>
      <c r="B1374" s="2" t="n">
        <v>43221.17379629629</v>
      </c>
      <c r="C1374" t="n">
        <v>4</v>
      </c>
      <c r="D1374" t="n">
        <v>0</v>
      </c>
      <c r="E1374" t="s">
        <v>1384</v>
      </c>
      <c r="F1374" t="s"/>
      <c r="G1374" t="s"/>
      <c r="H1374" t="s"/>
      <c r="I1374" t="s"/>
      <c r="J1374" t="n">
        <v>0</v>
      </c>
      <c r="K1374" t="n">
        <v>0</v>
      </c>
      <c r="L1374" t="n">
        <v>1</v>
      </c>
      <c r="M1374" t="n">
        <v>0</v>
      </c>
    </row>
    <row r="1375" spans="1:13">
      <c r="A1375" s="1">
        <f>HYPERLINK("http://www.twitter.com/NathanBLawrence/status/991166918987010049", "991166918987010049")</f>
        <v/>
      </c>
      <c r="B1375" s="2" t="n">
        <v>43221.17109953704</v>
      </c>
      <c r="C1375" t="n">
        <v>0</v>
      </c>
      <c r="D1375" t="n">
        <v>3</v>
      </c>
      <c r="E1375" t="s">
        <v>1385</v>
      </c>
      <c r="F1375" t="s"/>
      <c r="G1375" t="s"/>
      <c r="H1375" t="s"/>
      <c r="I1375" t="s"/>
      <c r="J1375" t="n">
        <v>-0.4939</v>
      </c>
      <c r="K1375" t="n">
        <v>0.174</v>
      </c>
      <c r="L1375" t="n">
        <v>0.826</v>
      </c>
      <c r="M1375" t="n">
        <v>0</v>
      </c>
    </row>
    <row r="1376" spans="1:13">
      <c r="A1376" s="1">
        <f>HYPERLINK("http://www.twitter.com/NathanBLawrence/status/991166852477997056", "991166852477997056")</f>
        <v/>
      </c>
      <c r="B1376" s="2" t="n">
        <v>43221.17091435185</v>
      </c>
      <c r="C1376" t="n">
        <v>9</v>
      </c>
      <c r="D1376" t="n">
        <v>4</v>
      </c>
      <c r="E1376" t="s">
        <v>1386</v>
      </c>
      <c r="F1376">
        <f>HYPERLINK("http://pbs.twimg.com/media/DcFU_QJX4AAILp3.jpg", "http://pbs.twimg.com/media/DcFU_QJX4AAILp3.jpg")</f>
        <v/>
      </c>
      <c r="G1376" t="s"/>
      <c r="H1376" t="s"/>
      <c r="I1376" t="s"/>
      <c r="J1376" t="n">
        <v>-0.5983000000000001</v>
      </c>
      <c r="K1376" t="n">
        <v>0.144</v>
      </c>
      <c r="L1376" t="n">
        <v>0.856</v>
      </c>
      <c r="M1376" t="n">
        <v>0</v>
      </c>
    </row>
    <row r="1377" spans="1:13">
      <c r="A1377" s="1">
        <f>HYPERLINK("http://www.twitter.com/NathanBLawrence/status/991165716274536450", "991165716274536450")</f>
        <v/>
      </c>
      <c r="B1377" s="2" t="n">
        <v>43221.16777777778</v>
      </c>
      <c r="C1377" t="n">
        <v>2</v>
      </c>
      <c r="D1377" t="n">
        <v>1</v>
      </c>
      <c r="E1377" t="s">
        <v>1387</v>
      </c>
      <c r="F1377" t="s"/>
      <c r="G1377" t="s"/>
      <c r="H1377" t="s"/>
      <c r="I1377" t="s"/>
      <c r="J1377" t="n">
        <v>-0.5610000000000001</v>
      </c>
      <c r="K1377" t="n">
        <v>0.218</v>
      </c>
      <c r="L1377" t="n">
        <v>0.782</v>
      </c>
      <c r="M1377" t="n">
        <v>0</v>
      </c>
    </row>
    <row r="1378" spans="1:13">
      <c r="A1378" s="1">
        <f>HYPERLINK("http://www.twitter.com/NathanBLawrence/status/991165178099183617", "991165178099183617")</f>
        <v/>
      </c>
      <c r="B1378" s="2" t="n">
        <v>43221.16629629629</v>
      </c>
      <c r="C1378" t="n">
        <v>0</v>
      </c>
      <c r="D1378" t="n">
        <v>3</v>
      </c>
      <c r="E1378" t="s">
        <v>1388</v>
      </c>
      <c r="F1378" t="s"/>
      <c r="G1378" t="s"/>
      <c r="H1378" t="s"/>
      <c r="I1378" t="s"/>
      <c r="J1378" t="n">
        <v>0</v>
      </c>
      <c r="K1378" t="n">
        <v>0</v>
      </c>
      <c r="L1378" t="n">
        <v>1</v>
      </c>
      <c r="M1378" t="n">
        <v>0</v>
      </c>
    </row>
    <row r="1379" spans="1:13">
      <c r="A1379" s="1">
        <f>HYPERLINK("http://www.twitter.com/NathanBLawrence/status/991162333077688320", "991162333077688320")</f>
        <v/>
      </c>
      <c r="B1379" s="2" t="n">
        <v>43221.1584375</v>
      </c>
      <c r="C1379" t="n">
        <v>0</v>
      </c>
      <c r="D1379" t="n">
        <v>5</v>
      </c>
      <c r="E1379" t="s">
        <v>1389</v>
      </c>
      <c r="F1379" t="s"/>
      <c r="G1379" t="s"/>
      <c r="H1379" t="s"/>
      <c r="I1379" t="s"/>
      <c r="J1379" t="n">
        <v>-0.5423</v>
      </c>
      <c r="K1379" t="n">
        <v>0.17</v>
      </c>
      <c r="L1379" t="n">
        <v>0.83</v>
      </c>
      <c r="M1379" t="n">
        <v>0</v>
      </c>
    </row>
    <row r="1380" spans="1:13">
      <c r="A1380" s="1">
        <f>HYPERLINK("http://www.twitter.com/NathanBLawrence/status/991162324307316736", "991162324307316736")</f>
        <v/>
      </c>
      <c r="B1380" s="2" t="n">
        <v>43221.15841435185</v>
      </c>
      <c r="C1380" t="n">
        <v>0</v>
      </c>
      <c r="D1380" t="n">
        <v>10</v>
      </c>
      <c r="E1380" t="s">
        <v>1390</v>
      </c>
      <c r="F1380" t="s"/>
      <c r="G1380" t="s"/>
      <c r="H1380" t="s"/>
      <c r="I1380" t="s"/>
      <c r="J1380" t="n">
        <v>-0.099</v>
      </c>
      <c r="K1380" t="n">
        <v>0.198</v>
      </c>
      <c r="L1380" t="n">
        <v>0.626</v>
      </c>
      <c r="M1380" t="n">
        <v>0.176</v>
      </c>
    </row>
    <row r="1381" spans="1:13">
      <c r="A1381" s="1">
        <f>HYPERLINK("http://www.twitter.com/NathanBLawrence/status/991161080134193152", "991161080134193152")</f>
        <v/>
      </c>
      <c r="B1381" s="2" t="n">
        <v>43221.15498842593</v>
      </c>
      <c r="C1381" t="n">
        <v>1</v>
      </c>
      <c r="D1381" t="n">
        <v>0</v>
      </c>
      <c r="E1381" t="s">
        <v>1391</v>
      </c>
      <c r="F1381" t="s"/>
      <c r="G1381" t="s"/>
      <c r="H1381" t="s"/>
      <c r="I1381" t="s"/>
      <c r="J1381" t="n">
        <v>0.3182</v>
      </c>
      <c r="K1381" t="n">
        <v>0</v>
      </c>
      <c r="L1381" t="n">
        <v>0.827</v>
      </c>
      <c r="M1381" t="n">
        <v>0.173</v>
      </c>
    </row>
    <row r="1382" spans="1:13">
      <c r="A1382" s="1">
        <f>HYPERLINK("http://www.twitter.com/NathanBLawrence/status/991159416853495808", "991159416853495808")</f>
        <v/>
      </c>
      <c r="B1382" s="2" t="n">
        <v>43221.15039351852</v>
      </c>
      <c r="C1382" t="n">
        <v>0</v>
      </c>
      <c r="D1382" t="n">
        <v>1</v>
      </c>
      <c r="E1382" t="s">
        <v>1392</v>
      </c>
      <c r="F1382" t="s"/>
      <c r="G1382" t="s"/>
      <c r="H1382" t="s"/>
      <c r="I1382" t="s"/>
      <c r="J1382" t="n">
        <v>0</v>
      </c>
      <c r="K1382" t="n">
        <v>0</v>
      </c>
      <c r="L1382" t="n">
        <v>1</v>
      </c>
      <c r="M1382" t="n">
        <v>0</v>
      </c>
    </row>
    <row r="1383" spans="1:13">
      <c r="A1383" s="1">
        <f>HYPERLINK("http://www.twitter.com/NathanBLawrence/status/991159319054995456", "991159319054995456")</f>
        <v/>
      </c>
      <c r="B1383" s="2" t="n">
        <v>43221.15012731482</v>
      </c>
      <c r="C1383" t="n">
        <v>0</v>
      </c>
      <c r="D1383" t="n">
        <v>4</v>
      </c>
      <c r="E1383" t="s">
        <v>1393</v>
      </c>
      <c r="F1383" t="s"/>
      <c r="G1383" t="s"/>
      <c r="H1383" t="s"/>
      <c r="I1383" t="s"/>
      <c r="J1383" t="n">
        <v>-0.4515</v>
      </c>
      <c r="K1383" t="n">
        <v>0.185</v>
      </c>
      <c r="L1383" t="n">
        <v>0.8149999999999999</v>
      </c>
      <c r="M1383" t="n">
        <v>0</v>
      </c>
    </row>
    <row r="1384" spans="1:13">
      <c r="A1384" s="1">
        <f>HYPERLINK("http://www.twitter.com/NathanBLawrence/status/991156143673225216", "991156143673225216")</f>
        <v/>
      </c>
      <c r="B1384" s="2" t="n">
        <v>43221.14136574074</v>
      </c>
      <c r="C1384" t="n">
        <v>1</v>
      </c>
      <c r="D1384" t="n">
        <v>0</v>
      </c>
      <c r="E1384" t="s">
        <v>1394</v>
      </c>
      <c r="F1384" t="s"/>
      <c r="G1384" t="s"/>
      <c r="H1384" t="s"/>
      <c r="I1384" t="s"/>
      <c r="J1384" t="n">
        <v>0.2023</v>
      </c>
      <c r="K1384" t="n">
        <v>0.068</v>
      </c>
      <c r="L1384" t="n">
        <v>0.825</v>
      </c>
      <c r="M1384" t="n">
        <v>0.107</v>
      </c>
    </row>
    <row r="1385" spans="1:13">
      <c r="A1385" s="1">
        <f>HYPERLINK("http://www.twitter.com/NathanBLawrence/status/991154814448005123", "991154814448005123")</f>
        <v/>
      </c>
      <c r="B1385" s="2" t="n">
        <v>43221.13769675926</v>
      </c>
      <c r="C1385" t="n">
        <v>3</v>
      </c>
      <c r="D1385" t="n">
        <v>1</v>
      </c>
      <c r="E1385" t="s">
        <v>1395</v>
      </c>
      <c r="F1385" t="s"/>
      <c r="G1385" t="s"/>
      <c r="H1385" t="s"/>
      <c r="I1385" t="s"/>
      <c r="J1385" t="n">
        <v>-0.3774</v>
      </c>
      <c r="K1385" t="n">
        <v>0.109</v>
      </c>
      <c r="L1385" t="n">
        <v>0.891</v>
      </c>
      <c r="M1385" t="n">
        <v>0</v>
      </c>
    </row>
    <row r="1386" spans="1:13">
      <c r="A1386" s="1">
        <f>HYPERLINK("http://www.twitter.com/NathanBLawrence/status/991151664106176515", "991151664106176515")</f>
        <v/>
      </c>
      <c r="B1386" s="2" t="n">
        <v>43221.12900462963</v>
      </c>
      <c r="C1386" t="n">
        <v>0</v>
      </c>
      <c r="D1386" t="n">
        <v>28</v>
      </c>
      <c r="E1386" t="s">
        <v>1396</v>
      </c>
      <c r="F1386" t="s"/>
      <c r="G1386" t="s"/>
      <c r="H1386" t="s"/>
      <c r="I1386" t="s"/>
      <c r="J1386" t="n">
        <v>0.25</v>
      </c>
      <c r="K1386" t="n">
        <v>0.062</v>
      </c>
      <c r="L1386" t="n">
        <v>0.839</v>
      </c>
      <c r="M1386" t="n">
        <v>0.099</v>
      </c>
    </row>
    <row r="1387" spans="1:13">
      <c r="A1387" s="1">
        <f>HYPERLINK("http://www.twitter.com/NathanBLawrence/status/991146038030426112", "991146038030426112")</f>
        <v/>
      </c>
      <c r="B1387" s="2" t="n">
        <v>43221.11347222222</v>
      </c>
      <c r="C1387" t="n">
        <v>1</v>
      </c>
      <c r="D1387" t="n">
        <v>0</v>
      </c>
      <c r="E1387" t="s">
        <v>1397</v>
      </c>
      <c r="F1387" t="s"/>
      <c r="G1387" t="s"/>
      <c r="H1387" t="s"/>
      <c r="I1387" t="s"/>
      <c r="J1387" t="n">
        <v>0.4767</v>
      </c>
      <c r="K1387" t="n">
        <v>0</v>
      </c>
      <c r="L1387" t="n">
        <v>0.866</v>
      </c>
      <c r="M1387" t="n">
        <v>0.134</v>
      </c>
    </row>
    <row r="1388" spans="1:13">
      <c r="A1388" s="1">
        <f>HYPERLINK("http://www.twitter.com/NathanBLawrence/status/991142988431745025", "991142988431745025")</f>
        <v/>
      </c>
      <c r="B1388" s="2" t="n">
        <v>43221.10505787037</v>
      </c>
      <c r="C1388" t="n">
        <v>2</v>
      </c>
      <c r="D1388" t="n">
        <v>1</v>
      </c>
      <c r="E1388" t="s">
        <v>1398</v>
      </c>
      <c r="F1388" t="s"/>
      <c r="G1388" t="s"/>
      <c r="H1388" t="s"/>
      <c r="I1388" t="s"/>
      <c r="J1388" t="n">
        <v>0</v>
      </c>
      <c r="K1388" t="n">
        <v>0</v>
      </c>
      <c r="L1388" t="n">
        <v>1</v>
      </c>
      <c r="M1388" t="n">
        <v>0</v>
      </c>
    </row>
    <row r="1389" spans="1:13">
      <c r="A1389" s="1">
        <f>HYPERLINK("http://www.twitter.com/NathanBLawrence/status/991142773289029632", "991142773289029632")</f>
        <v/>
      </c>
      <c r="B1389" s="2" t="n">
        <v>43221.1044675926</v>
      </c>
      <c r="C1389" t="n">
        <v>0</v>
      </c>
      <c r="D1389" t="n">
        <v>1</v>
      </c>
      <c r="E1389" t="s">
        <v>1399</v>
      </c>
      <c r="F1389" t="s"/>
      <c r="G1389" t="s"/>
      <c r="H1389" t="s"/>
      <c r="I1389" t="s"/>
      <c r="J1389" t="n">
        <v>0.4926</v>
      </c>
      <c r="K1389" t="n">
        <v>0</v>
      </c>
      <c r="L1389" t="n">
        <v>0.842</v>
      </c>
      <c r="M1389" t="n">
        <v>0.158</v>
      </c>
    </row>
    <row r="1390" spans="1:13">
      <c r="A1390" s="1">
        <f>HYPERLINK("http://www.twitter.com/NathanBLawrence/status/991142758751571968", "991142758751571968")</f>
        <v/>
      </c>
      <c r="B1390" s="2" t="n">
        <v>43221.1044212963</v>
      </c>
      <c r="C1390" t="n">
        <v>0</v>
      </c>
      <c r="D1390" t="n">
        <v>4</v>
      </c>
      <c r="E1390" t="s">
        <v>1400</v>
      </c>
      <c r="F1390" t="s"/>
      <c r="G1390" t="s"/>
      <c r="H1390" t="s"/>
      <c r="I1390" t="s"/>
      <c r="J1390" t="n">
        <v>-0.3182</v>
      </c>
      <c r="K1390" t="n">
        <v>0.126</v>
      </c>
      <c r="L1390" t="n">
        <v>0.874</v>
      </c>
      <c r="M1390" t="n">
        <v>0</v>
      </c>
    </row>
    <row r="1391" spans="1:13">
      <c r="A1391" s="1">
        <f>HYPERLINK("http://www.twitter.com/NathanBLawrence/status/991138936624992257", "991138936624992257")</f>
        <v/>
      </c>
      <c r="B1391" s="2" t="n">
        <v>43221.09387731482</v>
      </c>
      <c r="C1391" t="n">
        <v>0</v>
      </c>
      <c r="D1391" t="n">
        <v>2</v>
      </c>
      <c r="E1391" t="s">
        <v>1401</v>
      </c>
      <c r="F1391">
        <f>HYPERLINK("http://pbs.twimg.com/media/DcE3DAQUwAAaU8L.jpg", "http://pbs.twimg.com/media/DcE3DAQUwAAaU8L.jpg")</f>
        <v/>
      </c>
      <c r="G1391" t="s"/>
      <c r="H1391" t="s"/>
      <c r="I1391" t="s"/>
      <c r="J1391" t="n">
        <v>0</v>
      </c>
      <c r="K1391" t="n">
        <v>0</v>
      </c>
      <c r="L1391" t="n">
        <v>1</v>
      </c>
      <c r="M1391" t="n">
        <v>0</v>
      </c>
    </row>
    <row r="1392" spans="1:13">
      <c r="A1392" s="1">
        <f>HYPERLINK("http://www.twitter.com/NathanBLawrence/status/991135696424488961", "991135696424488961")</f>
        <v/>
      </c>
      <c r="B1392" s="2" t="n">
        <v>43221.08494212963</v>
      </c>
      <c r="C1392" t="n">
        <v>7</v>
      </c>
      <c r="D1392" t="n">
        <v>5</v>
      </c>
      <c r="E1392" t="s">
        <v>1402</v>
      </c>
      <c r="F1392" t="s"/>
      <c r="G1392" t="s"/>
      <c r="H1392" t="s"/>
      <c r="I1392" t="s"/>
      <c r="J1392" t="n">
        <v>-0.8991</v>
      </c>
      <c r="K1392" t="n">
        <v>0.374</v>
      </c>
      <c r="L1392" t="n">
        <v>0.626</v>
      </c>
      <c r="M1392" t="n">
        <v>0</v>
      </c>
    </row>
    <row r="1393" spans="1:13">
      <c r="A1393" s="1">
        <f>HYPERLINK("http://www.twitter.com/NathanBLawrence/status/991132494568226817", "991132494568226817")</f>
        <v/>
      </c>
      <c r="B1393" s="2" t="n">
        <v>43221.07609953704</v>
      </c>
      <c r="C1393" t="n">
        <v>0</v>
      </c>
      <c r="D1393" t="n">
        <v>0</v>
      </c>
      <c r="E1393" t="s">
        <v>1403</v>
      </c>
      <c r="F1393" t="s"/>
      <c r="G1393" t="s"/>
      <c r="H1393" t="s"/>
      <c r="I1393" t="s"/>
      <c r="J1393" t="n">
        <v>-0.296</v>
      </c>
      <c r="K1393" t="n">
        <v>0.216</v>
      </c>
      <c r="L1393" t="n">
        <v>0.784</v>
      </c>
      <c r="M1393" t="n">
        <v>0</v>
      </c>
    </row>
    <row r="1394" spans="1:13">
      <c r="A1394" s="1">
        <f>HYPERLINK("http://www.twitter.com/NathanBLawrence/status/991132392881577984", "991132392881577984")</f>
        <v/>
      </c>
      <c r="B1394" s="2" t="n">
        <v>43221.07582175926</v>
      </c>
      <c r="C1394" t="n">
        <v>0</v>
      </c>
      <c r="D1394" t="n">
        <v>23</v>
      </c>
      <c r="E1394" t="s">
        <v>1404</v>
      </c>
      <c r="F1394" t="s"/>
      <c r="G1394" t="s"/>
      <c r="H1394" t="s"/>
      <c r="I1394" t="s"/>
      <c r="J1394" t="n">
        <v>0.2263</v>
      </c>
      <c r="K1394" t="n">
        <v>0</v>
      </c>
      <c r="L1394" t="n">
        <v>0.917</v>
      </c>
      <c r="M1394" t="n">
        <v>0.083</v>
      </c>
    </row>
    <row r="1395" spans="1:13">
      <c r="A1395" s="1">
        <f>HYPERLINK("http://www.twitter.com/NathanBLawrence/status/991131478963535872", "991131478963535872")</f>
        <v/>
      </c>
      <c r="B1395" s="2" t="n">
        <v>43221.07329861111</v>
      </c>
      <c r="C1395" t="n">
        <v>0</v>
      </c>
      <c r="D1395" t="n">
        <v>8</v>
      </c>
      <c r="E1395" t="s">
        <v>1405</v>
      </c>
      <c r="F1395" t="s"/>
      <c r="G1395" t="s"/>
      <c r="H1395" t="s"/>
      <c r="I1395" t="s"/>
      <c r="J1395" t="n">
        <v>-0.2411</v>
      </c>
      <c r="K1395" t="n">
        <v>0.076</v>
      </c>
      <c r="L1395" t="n">
        <v>0.924</v>
      </c>
      <c r="M1395" t="n">
        <v>0</v>
      </c>
    </row>
    <row r="1396" spans="1:13">
      <c r="A1396" s="1">
        <f>HYPERLINK("http://www.twitter.com/NathanBLawrence/status/991131426719522816", "991131426719522816")</f>
        <v/>
      </c>
      <c r="B1396" s="2" t="n">
        <v>43221.07315972223</v>
      </c>
      <c r="C1396" t="n">
        <v>0</v>
      </c>
      <c r="D1396" t="n">
        <v>3</v>
      </c>
      <c r="E1396" t="s">
        <v>1406</v>
      </c>
      <c r="F1396" t="s"/>
      <c r="G1396" t="s"/>
      <c r="H1396" t="s"/>
      <c r="I1396" t="s"/>
      <c r="J1396" t="n">
        <v>0.2732</v>
      </c>
      <c r="K1396" t="n">
        <v>0</v>
      </c>
      <c r="L1396" t="n">
        <v>0.89</v>
      </c>
      <c r="M1396" t="n">
        <v>0.11</v>
      </c>
    </row>
    <row r="1397" spans="1:13">
      <c r="A1397" s="1">
        <f>HYPERLINK("http://www.twitter.com/NathanBLawrence/status/991130644792135680", "991130644792135680")</f>
        <v/>
      </c>
      <c r="B1397" s="2" t="n">
        <v>43221.07099537037</v>
      </c>
      <c r="C1397" t="n">
        <v>4</v>
      </c>
      <c r="D1397" t="n">
        <v>0</v>
      </c>
      <c r="E1397" t="s">
        <v>1407</v>
      </c>
      <c r="F1397" t="s"/>
      <c r="G1397" t="s"/>
      <c r="H1397" t="s"/>
      <c r="I1397" t="s"/>
      <c r="J1397" t="n">
        <v>-0.7205</v>
      </c>
      <c r="K1397" t="n">
        <v>0.207</v>
      </c>
      <c r="L1397" t="n">
        <v>0.6909999999999999</v>
      </c>
      <c r="M1397" t="n">
        <v>0.102</v>
      </c>
    </row>
    <row r="1398" spans="1:13">
      <c r="A1398" s="1">
        <f>HYPERLINK("http://www.twitter.com/NathanBLawrence/status/991129984445149184", "991129984445149184")</f>
        <v/>
      </c>
      <c r="B1398" s="2" t="n">
        <v>43221.06917824074</v>
      </c>
      <c r="C1398" t="n">
        <v>4</v>
      </c>
      <c r="D1398" t="n">
        <v>1</v>
      </c>
      <c r="E1398" t="s">
        <v>1408</v>
      </c>
      <c r="F1398" t="s"/>
      <c r="G1398" t="s"/>
      <c r="H1398" t="s"/>
      <c r="I1398" t="s"/>
      <c r="J1398" t="n">
        <v>-0.7575</v>
      </c>
      <c r="K1398" t="n">
        <v>0.203</v>
      </c>
      <c r="L1398" t="n">
        <v>0.741</v>
      </c>
      <c r="M1398" t="n">
        <v>0.057</v>
      </c>
    </row>
    <row r="1399" spans="1:13">
      <c r="A1399" s="1">
        <f>HYPERLINK("http://www.twitter.com/NathanBLawrence/status/991127074541891584", "991127074541891584")</f>
        <v/>
      </c>
      <c r="B1399" s="2" t="n">
        <v>43221.06114583334</v>
      </c>
      <c r="C1399" t="n">
        <v>1</v>
      </c>
      <c r="D1399" t="n">
        <v>1</v>
      </c>
      <c r="E1399" t="s">
        <v>1409</v>
      </c>
      <c r="F1399" t="s"/>
      <c r="G1399" t="s"/>
      <c r="H1399" t="s"/>
      <c r="I1399" t="s"/>
      <c r="J1399" t="n">
        <v>-0.5106000000000001</v>
      </c>
      <c r="K1399" t="n">
        <v>0.301</v>
      </c>
      <c r="L1399" t="n">
        <v>0.699</v>
      </c>
      <c r="M1399" t="n">
        <v>0</v>
      </c>
    </row>
    <row r="1400" spans="1:13">
      <c r="A1400" s="1">
        <f>HYPERLINK("http://www.twitter.com/NathanBLawrence/status/991126833323266050", "991126833323266050")</f>
        <v/>
      </c>
      <c r="B1400" s="2" t="n">
        <v>43221.06047453704</v>
      </c>
      <c r="C1400" t="n">
        <v>0</v>
      </c>
      <c r="D1400" t="n">
        <v>3</v>
      </c>
      <c r="E1400" t="s">
        <v>1410</v>
      </c>
      <c r="F1400" t="s"/>
      <c r="G1400" t="s"/>
      <c r="H1400" t="s"/>
      <c r="I1400" t="s"/>
      <c r="J1400" t="n">
        <v>0.6249</v>
      </c>
      <c r="K1400" t="n">
        <v>0</v>
      </c>
      <c r="L1400" t="n">
        <v>0.728</v>
      </c>
      <c r="M1400" t="n">
        <v>0.272</v>
      </c>
    </row>
    <row r="1401" spans="1:13">
      <c r="A1401" s="1">
        <f>HYPERLINK("http://www.twitter.com/NathanBLawrence/status/991126623419355137", "991126623419355137")</f>
        <v/>
      </c>
      <c r="B1401" s="2" t="n">
        <v>43221.05989583334</v>
      </c>
      <c r="C1401" t="n">
        <v>6</v>
      </c>
      <c r="D1401" t="n">
        <v>0</v>
      </c>
      <c r="E1401" t="s">
        <v>1411</v>
      </c>
      <c r="F1401" t="s"/>
      <c r="G1401" t="s"/>
      <c r="H1401" t="s"/>
      <c r="I1401" t="s"/>
      <c r="J1401" t="n">
        <v>0.3818</v>
      </c>
      <c r="K1401" t="n">
        <v>0.08</v>
      </c>
      <c r="L1401" t="n">
        <v>0.747</v>
      </c>
      <c r="M1401" t="n">
        <v>0.172</v>
      </c>
    </row>
    <row r="1402" spans="1:13">
      <c r="A1402" s="1">
        <f>HYPERLINK("http://www.twitter.com/NathanBLawrence/status/991125995007692801", "991125995007692801")</f>
        <v/>
      </c>
      <c r="B1402" s="2" t="n">
        <v>43221.0581712963</v>
      </c>
      <c r="C1402" t="n">
        <v>0</v>
      </c>
      <c r="D1402" t="n">
        <v>16</v>
      </c>
      <c r="E1402" t="s">
        <v>1412</v>
      </c>
      <c r="F1402" t="s"/>
      <c r="G1402" t="s"/>
      <c r="H1402" t="s"/>
      <c r="I1402" t="s"/>
      <c r="J1402" t="n">
        <v>-0.1027</v>
      </c>
      <c r="K1402" t="n">
        <v>0.062</v>
      </c>
      <c r="L1402" t="n">
        <v>0.9379999999999999</v>
      </c>
      <c r="M1402" t="n">
        <v>0</v>
      </c>
    </row>
    <row r="1403" spans="1:13">
      <c r="A1403" s="1">
        <f>HYPERLINK("http://www.twitter.com/NathanBLawrence/status/991125646679126017", "991125646679126017")</f>
        <v/>
      </c>
      <c r="B1403" s="2" t="n">
        <v>43221.05721064815</v>
      </c>
      <c r="C1403" t="n">
        <v>0</v>
      </c>
      <c r="D1403" t="n">
        <v>0</v>
      </c>
      <c r="E1403" t="s">
        <v>1413</v>
      </c>
      <c r="F1403" t="s"/>
      <c r="G1403" t="s"/>
      <c r="H1403" t="s"/>
      <c r="I1403" t="s"/>
      <c r="J1403" t="n">
        <v>0</v>
      </c>
      <c r="K1403" t="n">
        <v>0</v>
      </c>
      <c r="L1403" t="n">
        <v>1</v>
      </c>
      <c r="M1403" t="n">
        <v>0</v>
      </c>
    </row>
    <row r="1404" spans="1:13">
      <c r="A1404" s="1">
        <f>HYPERLINK("http://www.twitter.com/NathanBLawrence/status/991125205870370816", "991125205870370816")</f>
        <v/>
      </c>
      <c r="B1404" s="2" t="n">
        <v>43221.05598379629</v>
      </c>
      <c r="C1404" t="n">
        <v>0</v>
      </c>
      <c r="D1404" t="n">
        <v>46</v>
      </c>
      <c r="E1404" t="s">
        <v>1414</v>
      </c>
      <c r="F1404" t="s"/>
      <c r="G1404" t="s"/>
      <c r="H1404" t="s"/>
      <c r="I1404" t="s"/>
      <c r="J1404" t="n">
        <v>-0.6143999999999999</v>
      </c>
      <c r="K1404" t="n">
        <v>0.179</v>
      </c>
      <c r="L1404" t="n">
        <v>0.821</v>
      </c>
      <c r="M1404" t="n">
        <v>0</v>
      </c>
    </row>
    <row r="1405" spans="1:13">
      <c r="A1405" s="1">
        <f>HYPERLINK("http://www.twitter.com/NathanBLawrence/status/991125115655147520", "991125115655147520")</f>
        <v/>
      </c>
      <c r="B1405" s="2" t="n">
        <v>43221.05574074074</v>
      </c>
      <c r="C1405" t="n">
        <v>0</v>
      </c>
      <c r="D1405" t="n">
        <v>18</v>
      </c>
      <c r="E1405" t="s">
        <v>1415</v>
      </c>
      <c r="F1405" t="s"/>
      <c r="G1405" t="s"/>
      <c r="H1405" t="s"/>
      <c r="I1405" t="s"/>
      <c r="J1405" t="n">
        <v>0.264</v>
      </c>
      <c r="K1405" t="n">
        <v>0.08599999999999999</v>
      </c>
      <c r="L1405" t="n">
        <v>0.788</v>
      </c>
      <c r="M1405" t="n">
        <v>0.126</v>
      </c>
    </row>
    <row r="1406" spans="1:13">
      <c r="A1406" s="1">
        <f>HYPERLINK("http://www.twitter.com/NathanBLawrence/status/991125047153758209", "991125047153758209")</f>
        <v/>
      </c>
      <c r="B1406" s="2" t="n">
        <v>43221.05555555555</v>
      </c>
      <c r="C1406" t="n">
        <v>0</v>
      </c>
      <c r="D1406" t="n">
        <v>47</v>
      </c>
      <c r="E1406" t="s">
        <v>1416</v>
      </c>
      <c r="F1406" t="s"/>
      <c r="G1406" t="s"/>
      <c r="H1406" t="s"/>
      <c r="I1406" t="s"/>
      <c r="J1406" t="n">
        <v>0</v>
      </c>
      <c r="K1406" t="n">
        <v>0</v>
      </c>
      <c r="L1406" t="n">
        <v>1</v>
      </c>
      <c r="M1406" t="n">
        <v>0</v>
      </c>
    </row>
    <row r="1407" spans="1:13">
      <c r="A1407" s="1">
        <f>HYPERLINK("http://www.twitter.com/NathanBLawrence/status/991124877879980032", "991124877879980032")</f>
        <v/>
      </c>
      <c r="B1407" s="2" t="n">
        <v>43221.05508101852</v>
      </c>
      <c r="C1407" t="n">
        <v>0</v>
      </c>
      <c r="D1407" t="n">
        <v>72</v>
      </c>
      <c r="E1407" t="s">
        <v>1417</v>
      </c>
      <c r="F1407" t="s"/>
      <c r="G1407" t="s"/>
      <c r="H1407" t="s"/>
      <c r="I1407" t="s"/>
      <c r="J1407" t="n">
        <v>-0.5423</v>
      </c>
      <c r="K1407" t="n">
        <v>0.204</v>
      </c>
      <c r="L1407" t="n">
        <v>0.735</v>
      </c>
      <c r="M1407" t="n">
        <v>0.061</v>
      </c>
    </row>
    <row r="1408" spans="1:13">
      <c r="A1408" s="1">
        <f>HYPERLINK("http://www.twitter.com/NathanBLawrence/status/991124671851573248", "991124671851573248")</f>
        <v/>
      </c>
      <c r="B1408" s="2" t="n">
        <v>43221.05451388889</v>
      </c>
      <c r="C1408" t="n">
        <v>0</v>
      </c>
      <c r="D1408" t="n">
        <v>29</v>
      </c>
      <c r="E1408" t="s">
        <v>1418</v>
      </c>
      <c r="F1408" t="s"/>
      <c r="G1408" t="s"/>
      <c r="H1408" t="s"/>
      <c r="I1408" t="s"/>
      <c r="J1408" t="n">
        <v>0.3612</v>
      </c>
      <c r="K1408" t="n">
        <v>0</v>
      </c>
      <c r="L1408" t="n">
        <v>0.894</v>
      </c>
      <c r="M1408" t="n">
        <v>0.106</v>
      </c>
    </row>
    <row r="1409" spans="1:13">
      <c r="A1409" s="1">
        <f>HYPERLINK("http://www.twitter.com/NathanBLawrence/status/991123648734998533", "991123648734998533")</f>
        <v/>
      </c>
      <c r="B1409" s="2" t="n">
        <v>43221.05168981481</v>
      </c>
      <c r="C1409" t="n">
        <v>1</v>
      </c>
      <c r="D1409" t="n">
        <v>1</v>
      </c>
      <c r="E1409" t="s">
        <v>1419</v>
      </c>
      <c r="F1409" t="s"/>
      <c r="G1409" t="s"/>
      <c r="H1409" t="s"/>
      <c r="I1409" t="s"/>
      <c r="J1409" t="n">
        <v>-0.1027</v>
      </c>
      <c r="K1409" t="n">
        <v>0.189</v>
      </c>
      <c r="L1409" t="n">
        <v>0.8110000000000001</v>
      </c>
      <c r="M1409" t="n">
        <v>0</v>
      </c>
    </row>
    <row r="1410" spans="1:13">
      <c r="A1410" s="1">
        <f>HYPERLINK("http://www.twitter.com/NathanBLawrence/status/991123417897291777", "991123417897291777")</f>
        <v/>
      </c>
      <c r="B1410" s="2" t="n">
        <v>43221.05105324074</v>
      </c>
      <c r="C1410" t="n">
        <v>9</v>
      </c>
      <c r="D1410" t="n">
        <v>2</v>
      </c>
      <c r="E1410" t="s">
        <v>1420</v>
      </c>
      <c r="F1410" t="s"/>
      <c r="G1410" t="s"/>
      <c r="H1410" t="s"/>
      <c r="I1410" t="s"/>
      <c r="J1410" t="n">
        <v>-0.2732</v>
      </c>
      <c r="K1410" t="n">
        <v>0.105</v>
      </c>
      <c r="L1410" t="n">
        <v>0.895</v>
      </c>
      <c r="M1410" t="n">
        <v>0</v>
      </c>
    </row>
    <row r="1411" spans="1:13">
      <c r="A1411" s="1">
        <f>HYPERLINK("http://www.twitter.com/NathanBLawrence/status/991089474770784256", "991089474770784256")</f>
        <v/>
      </c>
      <c r="B1411" s="2" t="n">
        <v>43220.95738425926</v>
      </c>
      <c r="C1411" t="n">
        <v>0</v>
      </c>
      <c r="D1411" t="n">
        <v>0</v>
      </c>
      <c r="E1411" t="s">
        <v>1421</v>
      </c>
      <c r="F1411" t="s"/>
      <c r="G1411" t="s"/>
      <c r="H1411" t="s"/>
      <c r="I1411" t="s"/>
      <c r="J1411" t="n">
        <v>0</v>
      </c>
      <c r="K1411" t="n">
        <v>0</v>
      </c>
      <c r="L1411" t="n">
        <v>1</v>
      </c>
      <c r="M1411" t="n">
        <v>0</v>
      </c>
    </row>
    <row r="1412" spans="1:13">
      <c r="A1412" s="1">
        <f>HYPERLINK("http://www.twitter.com/NathanBLawrence/status/991087599623245824", "991087599623245824")</f>
        <v/>
      </c>
      <c r="B1412" s="2" t="n">
        <v>43220.95221064815</v>
      </c>
      <c r="C1412" t="n">
        <v>1</v>
      </c>
      <c r="D1412" t="n">
        <v>0</v>
      </c>
      <c r="E1412" t="s">
        <v>1422</v>
      </c>
      <c r="F1412" t="s"/>
      <c r="G1412" t="s"/>
      <c r="H1412" t="s"/>
      <c r="I1412" t="s"/>
      <c r="J1412" t="n">
        <v>0</v>
      </c>
      <c r="K1412" t="n">
        <v>0</v>
      </c>
      <c r="L1412" t="n">
        <v>1</v>
      </c>
      <c r="M1412" t="n">
        <v>0</v>
      </c>
    </row>
    <row r="1413" spans="1:13">
      <c r="A1413" s="1">
        <f>HYPERLINK("http://www.twitter.com/NathanBLawrence/status/991082903210811392", "991082903210811392")</f>
        <v/>
      </c>
      <c r="B1413" s="2" t="n">
        <v>43220.93925925926</v>
      </c>
      <c r="C1413" t="n">
        <v>0</v>
      </c>
      <c r="D1413" t="n">
        <v>11</v>
      </c>
      <c r="E1413" t="s">
        <v>1423</v>
      </c>
      <c r="F1413" t="s"/>
      <c r="G1413" t="s"/>
      <c r="H1413" t="s"/>
      <c r="I1413" t="s"/>
      <c r="J1413" t="n">
        <v>-0.5106000000000001</v>
      </c>
      <c r="K1413" t="n">
        <v>0.121</v>
      </c>
      <c r="L1413" t="n">
        <v>0.879</v>
      </c>
      <c r="M1413" t="n">
        <v>0</v>
      </c>
    </row>
    <row r="1414" spans="1:13">
      <c r="A1414" s="1">
        <f>HYPERLINK("http://www.twitter.com/NathanBLawrence/status/991082746771574784", "991082746771574784")</f>
        <v/>
      </c>
      <c r="B1414" s="2" t="n">
        <v>43220.93881944445</v>
      </c>
      <c r="C1414" t="n">
        <v>1</v>
      </c>
      <c r="D1414" t="n">
        <v>0</v>
      </c>
      <c r="E1414" t="s">
        <v>1424</v>
      </c>
      <c r="F1414" t="s"/>
      <c r="G1414" t="s"/>
      <c r="H1414" t="s"/>
      <c r="I1414" t="s"/>
      <c r="J1414" t="n">
        <v>0</v>
      </c>
      <c r="K1414" t="n">
        <v>0</v>
      </c>
      <c r="L1414" t="n">
        <v>1</v>
      </c>
      <c r="M1414" t="n">
        <v>0</v>
      </c>
    </row>
    <row r="1415" spans="1:13">
      <c r="A1415" s="1">
        <f>HYPERLINK("http://www.twitter.com/NathanBLawrence/status/991081730399440896", "991081730399440896")</f>
        <v/>
      </c>
      <c r="B1415" s="2" t="n">
        <v>43220.93601851852</v>
      </c>
      <c r="C1415" t="n">
        <v>5</v>
      </c>
      <c r="D1415" t="n">
        <v>3</v>
      </c>
      <c r="E1415" t="s">
        <v>1425</v>
      </c>
      <c r="F1415">
        <f>HYPERLINK("http://pbs.twimg.com/media/DcEHk8DUwAAQHpc.jpg", "http://pbs.twimg.com/media/DcEHk8DUwAAQHpc.jpg")</f>
        <v/>
      </c>
      <c r="G1415" t="s"/>
      <c r="H1415" t="s"/>
      <c r="I1415" t="s"/>
      <c r="J1415" t="n">
        <v>-0.34</v>
      </c>
      <c r="K1415" t="n">
        <v>0.094</v>
      </c>
      <c r="L1415" t="n">
        <v>0.906</v>
      </c>
      <c r="M1415" t="n">
        <v>0</v>
      </c>
    </row>
    <row r="1416" spans="1:13">
      <c r="A1416" s="1">
        <f>HYPERLINK("http://www.twitter.com/NathanBLawrence/status/991081060376117248", "991081060376117248")</f>
        <v/>
      </c>
      <c r="B1416" s="2" t="n">
        <v>43220.93416666667</v>
      </c>
      <c r="C1416" t="n">
        <v>0</v>
      </c>
      <c r="D1416" t="n">
        <v>11</v>
      </c>
      <c r="E1416" t="s">
        <v>1426</v>
      </c>
      <c r="F1416" t="s"/>
      <c r="G1416" t="s"/>
      <c r="H1416" t="s"/>
      <c r="I1416" t="s"/>
      <c r="J1416" t="n">
        <v>-0.296</v>
      </c>
      <c r="K1416" t="n">
        <v>0.104</v>
      </c>
      <c r="L1416" t="n">
        <v>0.896</v>
      </c>
      <c r="M1416" t="n">
        <v>0</v>
      </c>
    </row>
    <row r="1417" spans="1:13">
      <c r="A1417" s="1">
        <f>HYPERLINK("http://www.twitter.com/NathanBLawrence/status/991069488610193415", "991069488610193415")</f>
        <v/>
      </c>
      <c r="B1417" s="2" t="n">
        <v>43220.9022337963</v>
      </c>
      <c r="C1417" t="n">
        <v>0</v>
      </c>
      <c r="D1417" t="n">
        <v>0</v>
      </c>
      <c r="E1417" t="s">
        <v>1427</v>
      </c>
      <c r="F1417" t="s"/>
      <c r="G1417" t="s"/>
      <c r="H1417" t="s"/>
      <c r="I1417" t="s"/>
      <c r="J1417" t="n">
        <v>-0.5256</v>
      </c>
      <c r="K1417" t="n">
        <v>0.178</v>
      </c>
      <c r="L1417" t="n">
        <v>0.721</v>
      </c>
      <c r="M1417" t="n">
        <v>0.101</v>
      </c>
    </row>
    <row r="1418" spans="1:13">
      <c r="A1418" s="1">
        <f>HYPERLINK("http://www.twitter.com/NathanBLawrence/status/991067034120269825", "991067034120269825")</f>
        <v/>
      </c>
      <c r="B1418" s="2" t="n">
        <v>43220.89546296297</v>
      </c>
      <c r="C1418" t="n">
        <v>0</v>
      </c>
      <c r="D1418" t="n">
        <v>1</v>
      </c>
      <c r="E1418" t="s">
        <v>1428</v>
      </c>
      <c r="F1418" t="s"/>
      <c r="G1418" t="s"/>
      <c r="H1418" t="s"/>
      <c r="I1418" t="s"/>
      <c r="J1418" t="n">
        <v>0</v>
      </c>
      <c r="K1418" t="n">
        <v>0</v>
      </c>
      <c r="L1418" t="n">
        <v>1</v>
      </c>
      <c r="M1418" t="n">
        <v>0</v>
      </c>
    </row>
    <row r="1419" spans="1:13">
      <c r="A1419" s="1">
        <f>HYPERLINK("http://www.twitter.com/NathanBLawrence/status/991066989773893632", "991066989773893632")</f>
        <v/>
      </c>
      <c r="B1419" s="2" t="n">
        <v>43220.89534722222</v>
      </c>
      <c r="C1419" t="n">
        <v>0</v>
      </c>
      <c r="D1419" t="n">
        <v>9</v>
      </c>
      <c r="E1419" t="s">
        <v>1429</v>
      </c>
      <c r="F1419" t="s"/>
      <c r="G1419" t="s"/>
      <c r="H1419" t="s"/>
      <c r="I1419" t="s"/>
      <c r="J1419" t="n">
        <v>0</v>
      </c>
      <c r="K1419" t="n">
        <v>0</v>
      </c>
      <c r="L1419" t="n">
        <v>1</v>
      </c>
      <c r="M1419" t="n">
        <v>0</v>
      </c>
    </row>
    <row r="1420" spans="1:13">
      <c r="A1420" s="1">
        <f>HYPERLINK("http://www.twitter.com/NathanBLawrence/status/991066798303993864", "991066798303993864")</f>
        <v/>
      </c>
      <c r="B1420" s="2" t="n">
        <v>43220.89481481481</v>
      </c>
      <c r="C1420" t="n">
        <v>5</v>
      </c>
      <c r="D1420" t="n">
        <v>0</v>
      </c>
      <c r="E1420" t="s">
        <v>1430</v>
      </c>
      <c r="F1420" t="s"/>
      <c r="G1420" t="s"/>
      <c r="H1420" t="s"/>
      <c r="I1420" t="s"/>
      <c r="J1420" t="n">
        <v>-0.07770000000000001</v>
      </c>
      <c r="K1420" t="n">
        <v>0.267</v>
      </c>
      <c r="L1420" t="n">
        <v>0.495</v>
      </c>
      <c r="M1420" t="n">
        <v>0.238</v>
      </c>
    </row>
    <row r="1421" spans="1:13">
      <c r="A1421" s="1">
        <f>HYPERLINK("http://www.twitter.com/NathanBLawrence/status/991065852974977030", "991065852974977030")</f>
        <v/>
      </c>
      <c r="B1421" s="2" t="n">
        <v>43220.89221064815</v>
      </c>
      <c r="C1421" t="n">
        <v>0</v>
      </c>
      <c r="D1421" t="n">
        <v>4</v>
      </c>
      <c r="E1421" t="s">
        <v>1431</v>
      </c>
      <c r="F1421" t="s"/>
      <c r="G1421" t="s"/>
      <c r="H1421" t="s"/>
      <c r="I1421" t="s"/>
      <c r="J1421" t="n">
        <v>0.2401</v>
      </c>
      <c r="K1421" t="n">
        <v>0</v>
      </c>
      <c r="L1421" t="n">
        <v>0.86</v>
      </c>
      <c r="M1421" t="n">
        <v>0.14</v>
      </c>
    </row>
    <row r="1422" spans="1:13">
      <c r="A1422" s="1">
        <f>HYPERLINK("http://www.twitter.com/NathanBLawrence/status/991064544293335040", "991064544293335040")</f>
        <v/>
      </c>
      <c r="B1422" s="2" t="n">
        <v>43220.88859953704</v>
      </c>
      <c r="C1422" t="n">
        <v>4</v>
      </c>
      <c r="D1422" t="n">
        <v>1</v>
      </c>
      <c r="E1422" t="s">
        <v>1432</v>
      </c>
      <c r="F1422" t="s"/>
      <c r="G1422" t="s"/>
      <c r="H1422" t="s"/>
      <c r="I1422" t="s"/>
      <c r="J1422" t="n">
        <v>-0.34</v>
      </c>
      <c r="K1422" t="n">
        <v>0.167</v>
      </c>
      <c r="L1422" t="n">
        <v>0.833</v>
      </c>
      <c r="M1422" t="n">
        <v>0</v>
      </c>
    </row>
    <row r="1423" spans="1:13">
      <c r="A1423" s="1">
        <f>HYPERLINK("http://www.twitter.com/NathanBLawrence/status/991064365423054848", "991064365423054848")</f>
        <v/>
      </c>
      <c r="B1423" s="2" t="n">
        <v>43220.88810185185</v>
      </c>
      <c r="C1423" t="n">
        <v>1</v>
      </c>
      <c r="D1423" t="n">
        <v>0</v>
      </c>
      <c r="E1423" t="s">
        <v>1433</v>
      </c>
      <c r="F1423" t="s"/>
      <c r="G1423" t="s"/>
      <c r="H1423" t="s"/>
      <c r="I1423" t="s"/>
      <c r="J1423" t="n">
        <v>0.5106000000000001</v>
      </c>
      <c r="K1423" t="n">
        <v>0</v>
      </c>
      <c r="L1423" t="n">
        <v>0.68</v>
      </c>
      <c r="M1423" t="n">
        <v>0.32</v>
      </c>
    </row>
    <row r="1424" spans="1:13">
      <c r="A1424" s="1">
        <f>HYPERLINK("http://www.twitter.com/NathanBLawrence/status/991064229783523329", "991064229783523329")</f>
        <v/>
      </c>
      <c r="B1424" s="2" t="n">
        <v>43220.88773148148</v>
      </c>
      <c r="C1424" t="n">
        <v>0</v>
      </c>
      <c r="D1424" t="n">
        <v>34</v>
      </c>
      <c r="E1424" t="s">
        <v>1434</v>
      </c>
      <c r="F1424" t="s"/>
      <c r="G1424" t="s"/>
      <c r="H1424" t="s"/>
      <c r="I1424" t="s"/>
      <c r="J1424" t="n">
        <v>-0.6908</v>
      </c>
      <c r="K1424" t="n">
        <v>0.213</v>
      </c>
      <c r="L1424" t="n">
        <v>0.787</v>
      </c>
      <c r="M1424" t="n">
        <v>0</v>
      </c>
    </row>
    <row r="1425" spans="1:13">
      <c r="A1425" s="1">
        <f>HYPERLINK("http://www.twitter.com/NathanBLawrence/status/991063929307746309", "991063929307746309")</f>
        <v/>
      </c>
      <c r="B1425" s="2" t="n">
        <v>43220.88689814815</v>
      </c>
      <c r="C1425" t="n">
        <v>1</v>
      </c>
      <c r="D1425" t="n">
        <v>0</v>
      </c>
      <c r="E1425" t="s">
        <v>1435</v>
      </c>
      <c r="F1425" t="s"/>
      <c r="G1425" t="s"/>
      <c r="H1425" t="s"/>
      <c r="I1425" t="s"/>
      <c r="J1425" t="n">
        <v>0</v>
      </c>
      <c r="K1425" t="n">
        <v>0</v>
      </c>
      <c r="L1425" t="n">
        <v>1</v>
      </c>
      <c r="M1425" t="n">
        <v>0</v>
      </c>
    </row>
    <row r="1426" spans="1:13">
      <c r="A1426" s="1">
        <f>HYPERLINK("http://www.twitter.com/NathanBLawrence/status/991062864487206914", "991062864487206914")</f>
        <v/>
      </c>
      <c r="B1426" s="2" t="n">
        <v>43220.88395833333</v>
      </c>
      <c r="C1426" t="n">
        <v>0</v>
      </c>
      <c r="D1426" t="n">
        <v>2</v>
      </c>
      <c r="E1426" t="s">
        <v>1436</v>
      </c>
      <c r="F1426" t="s"/>
      <c r="G1426" t="s"/>
      <c r="H1426" t="s"/>
      <c r="I1426" t="s"/>
      <c r="J1426" t="n">
        <v>0.3612</v>
      </c>
      <c r="K1426" t="n">
        <v>0</v>
      </c>
      <c r="L1426" t="n">
        <v>0.902</v>
      </c>
      <c r="M1426" t="n">
        <v>0.098</v>
      </c>
    </row>
    <row r="1427" spans="1:13">
      <c r="A1427" s="1">
        <f>HYPERLINK("http://www.twitter.com/NathanBLawrence/status/991062621511143426", "991062621511143426")</f>
        <v/>
      </c>
      <c r="B1427" s="2" t="n">
        <v>43220.88328703704</v>
      </c>
      <c r="C1427" t="n">
        <v>0</v>
      </c>
      <c r="D1427" t="n">
        <v>9</v>
      </c>
      <c r="E1427" t="s">
        <v>1437</v>
      </c>
      <c r="F1427" t="s"/>
      <c r="G1427" t="s"/>
      <c r="H1427" t="s"/>
      <c r="I1427" t="s"/>
      <c r="J1427" t="n">
        <v>0.2401</v>
      </c>
      <c r="K1427" t="n">
        <v>0</v>
      </c>
      <c r="L1427" t="n">
        <v>0.869</v>
      </c>
      <c r="M1427" t="n">
        <v>0.131</v>
      </c>
    </row>
    <row r="1428" spans="1:13">
      <c r="A1428" s="1">
        <f>HYPERLINK("http://www.twitter.com/NathanBLawrence/status/991060362605756417", "991060362605756417")</f>
        <v/>
      </c>
      <c r="B1428" s="2" t="n">
        <v>43220.87706018519</v>
      </c>
      <c r="C1428" t="n">
        <v>9</v>
      </c>
      <c r="D1428" t="n">
        <v>5</v>
      </c>
      <c r="E1428" t="s">
        <v>1438</v>
      </c>
      <c r="F1428" t="s"/>
      <c r="G1428" t="s"/>
      <c r="H1428" t="s"/>
      <c r="I1428" t="s"/>
      <c r="J1428" t="n">
        <v>-0.5411</v>
      </c>
      <c r="K1428" t="n">
        <v>0.15</v>
      </c>
      <c r="L1428" t="n">
        <v>0.789</v>
      </c>
      <c r="M1428" t="n">
        <v>0.061</v>
      </c>
    </row>
    <row r="1429" spans="1:13">
      <c r="A1429" s="1">
        <f>HYPERLINK("http://www.twitter.com/NathanBLawrence/status/991059455960862722", "991059455960862722")</f>
        <v/>
      </c>
      <c r="B1429" s="2" t="n">
        <v>43220.87454861111</v>
      </c>
      <c r="C1429" t="n">
        <v>1</v>
      </c>
      <c r="D1429" t="n">
        <v>0</v>
      </c>
      <c r="E1429" t="s">
        <v>1439</v>
      </c>
      <c r="F1429" t="s"/>
      <c r="G1429" t="s"/>
      <c r="H1429" t="s"/>
      <c r="I1429" t="s"/>
      <c r="J1429" t="n">
        <v>0.2732</v>
      </c>
      <c r="K1429" t="n">
        <v>0</v>
      </c>
      <c r="L1429" t="n">
        <v>0.851</v>
      </c>
      <c r="M1429" t="n">
        <v>0.149</v>
      </c>
    </row>
    <row r="1430" spans="1:13">
      <c r="A1430" s="1">
        <f>HYPERLINK("http://www.twitter.com/NathanBLawrence/status/991059261605150720", "991059261605150720")</f>
        <v/>
      </c>
      <c r="B1430" s="2" t="n">
        <v>43220.87401620371</v>
      </c>
      <c r="C1430" t="n">
        <v>0</v>
      </c>
      <c r="D1430" t="n">
        <v>8</v>
      </c>
      <c r="E1430" t="s">
        <v>1440</v>
      </c>
      <c r="F1430">
        <f>HYPERLINK("http://pbs.twimg.com/media/DcDy6OZW0AEIXRi.jpg", "http://pbs.twimg.com/media/DcDy6OZW0AEIXRi.jpg")</f>
        <v/>
      </c>
      <c r="G1430">
        <f>HYPERLINK("http://pbs.twimg.com/media/DcDy6NiWkAALEy2.jpg", "http://pbs.twimg.com/media/DcDy6NiWkAALEy2.jpg")</f>
        <v/>
      </c>
      <c r="H1430" t="s"/>
      <c r="I1430" t="s"/>
      <c r="J1430" t="n">
        <v>0.6908</v>
      </c>
      <c r="K1430" t="n">
        <v>0</v>
      </c>
      <c r="L1430" t="n">
        <v>0.749</v>
      </c>
      <c r="M1430" t="n">
        <v>0.251</v>
      </c>
    </row>
    <row r="1431" spans="1:13">
      <c r="A1431" s="1">
        <f>HYPERLINK("http://www.twitter.com/NathanBLawrence/status/991057598827900930", "991057598827900930")</f>
        <v/>
      </c>
      <c r="B1431" s="2" t="n">
        <v>43220.86943287037</v>
      </c>
      <c r="C1431" t="n">
        <v>0</v>
      </c>
      <c r="D1431" t="n">
        <v>17</v>
      </c>
      <c r="E1431" t="s">
        <v>1441</v>
      </c>
      <c r="F1431" t="s"/>
      <c r="G1431" t="s"/>
      <c r="H1431" t="s"/>
      <c r="I1431" t="s"/>
      <c r="J1431" t="n">
        <v>0</v>
      </c>
      <c r="K1431" t="n">
        <v>0</v>
      </c>
      <c r="L1431" t="n">
        <v>1</v>
      </c>
      <c r="M1431" t="n">
        <v>0</v>
      </c>
    </row>
    <row r="1432" spans="1:13">
      <c r="A1432" s="1">
        <f>HYPERLINK("http://www.twitter.com/NathanBLawrence/status/991056331925807105", "991056331925807105")</f>
        <v/>
      </c>
      <c r="B1432" s="2" t="n">
        <v>43220.8659375</v>
      </c>
      <c r="C1432" t="n">
        <v>0</v>
      </c>
      <c r="D1432" t="n">
        <v>1</v>
      </c>
      <c r="E1432" t="s">
        <v>1442</v>
      </c>
      <c r="F1432" t="s"/>
      <c r="G1432" t="s"/>
      <c r="H1432" t="s"/>
      <c r="I1432" t="s"/>
      <c r="J1432" t="n">
        <v>0.2732</v>
      </c>
      <c r="K1432" t="n">
        <v>0.142</v>
      </c>
      <c r="L1432" t="n">
        <v>0.645</v>
      </c>
      <c r="M1432" t="n">
        <v>0.213</v>
      </c>
    </row>
    <row r="1433" spans="1:13">
      <c r="A1433" s="1">
        <f>HYPERLINK("http://www.twitter.com/NathanBLawrence/status/991056093915893762", "991056093915893762")</f>
        <v/>
      </c>
      <c r="B1433" s="2" t="n">
        <v>43220.86527777778</v>
      </c>
      <c r="C1433" t="n">
        <v>1</v>
      </c>
      <c r="D1433" t="n">
        <v>0</v>
      </c>
      <c r="E1433" t="s">
        <v>1443</v>
      </c>
      <c r="F1433" t="s"/>
      <c r="G1433" t="s"/>
      <c r="H1433" t="s"/>
      <c r="I1433" t="s"/>
      <c r="J1433" t="n">
        <v>-0.4391</v>
      </c>
      <c r="K1433" t="n">
        <v>0.269</v>
      </c>
      <c r="L1433" t="n">
        <v>0.594</v>
      </c>
      <c r="M1433" t="n">
        <v>0.137</v>
      </c>
    </row>
    <row r="1434" spans="1:13">
      <c r="A1434" s="1">
        <f>HYPERLINK("http://www.twitter.com/NathanBLawrence/status/991050459577282560", "991050459577282560")</f>
        <v/>
      </c>
      <c r="B1434" s="2" t="n">
        <v>43220.8497337963</v>
      </c>
      <c r="C1434" t="n">
        <v>0</v>
      </c>
      <c r="D1434" t="n">
        <v>0</v>
      </c>
      <c r="E1434" t="s">
        <v>1444</v>
      </c>
      <c r="F1434" t="s"/>
      <c r="G1434" t="s"/>
      <c r="H1434" t="s"/>
      <c r="I1434" t="s"/>
      <c r="J1434" t="n">
        <v>-0.3612</v>
      </c>
      <c r="K1434" t="n">
        <v>0.455</v>
      </c>
      <c r="L1434" t="n">
        <v>0.545</v>
      </c>
      <c r="M1434" t="n">
        <v>0</v>
      </c>
    </row>
    <row r="1435" spans="1:13">
      <c r="A1435" s="1">
        <f>HYPERLINK("http://www.twitter.com/NathanBLawrence/status/991050276567224321", "991050276567224321")</f>
        <v/>
      </c>
      <c r="B1435" s="2" t="n">
        <v>43220.84922453704</v>
      </c>
      <c r="C1435" t="n">
        <v>0</v>
      </c>
      <c r="D1435" t="n">
        <v>2</v>
      </c>
      <c r="E1435" t="s">
        <v>1445</v>
      </c>
      <c r="F1435" t="s"/>
      <c r="G1435" t="s"/>
      <c r="H1435" t="s"/>
      <c r="I1435" t="s"/>
      <c r="J1435" t="n">
        <v>0.8074</v>
      </c>
      <c r="K1435" t="n">
        <v>0</v>
      </c>
      <c r="L1435" t="n">
        <v>0.6840000000000001</v>
      </c>
      <c r="M1435" t="n">
        <v>0.316</v>
      </c>
    </row>
    <row r="1436" spans="1:13">
      <c r="A1436" s="1">
        <f>HYPERLINK("http://www.twitter.com/NathanBLawrence/status/991049595219259393", "991049595219259393")</f>
        <v/>
      </c>
      <c r="B1436" s="2" t="n">
        <v>43220.84733796296</v>
      </c>
      <c r="C1436" t="n">
        <v>0</v>
      </c>
      <c r="D1436" t="n">
        <v>0</v>
      </c>
      <c r="E1436" t="s">
        <v>1446</v>
      </c>
      <c r="F1436" t="s"/>
      <c r="G1436" t="s"/>
      <c r="H1436" t="s"/>
      <c r="I1436" t="s"/>
      <c r="J1436" t="n">
        <v>-0.4334</v>
      </c>
      <c r="K1436" t="n">
        <v>0.184</v>
      </c>
      <c r="L1436" t="n">
        <v>0.718</v>
      </c>
      <c r="M1436" t="n">
        <v>0.098</v>
      </c>
    </row>
    <row r="1437" spans="1:13">
      <c r="A1437" s="1">
        <f>HYPERLINK("http://www.twitter.com/NathanBLawrence/status/991048402447331328", "991048402447331328")</f>
        <v/>
      </c>
      <c r="B1437" s="2" t="n">
        <v>43220.84405092592</v>
      </c>
      <c r="C1437" t="n">
        <v>0</v>
      </c>
      <c r="D1437" t="n">
        <v>10</v>
      </c>
      <c r="E1437" t="s">
        <v>1447</v>
      </c>
      <c r="F1437" t="s"/>
      <c r="G1437" t="s"/>
      <c r="H1437" t="s"/>
      <c r="I1437" t="s"/>
      <c r="J1437" t="n">
        <v>-0.3182</v>
      </c>
      <c r="K1437" t="n">
        <v>0.189</v>
      </c>
      <c r="L1437" t="n">
        <v>0.702</v>
      </c>
      <c r="M1437" t="n">
        <v>0.109</v>
      </c>
    </row>
    <row r="1438" spans="1:13">
      <c r="A1438" s="1">
        <f>HYPERLINK("http://www.twitter.com/NathanBLawrence/status/991034686553108481", "991034686553108481")</f>
        <v/>
      </c>
      <c r="B1438" s="2" t="n">
        <v>43220.8062037037</v>
      </c>
      <c r="C1438" t="n">
        <v>0</v>
      </c>
      <c r="D1438" t="n">
        <v>0</v>
      </c>
      <c r="E1438" t="s">
        <v>1448</v>
      </c>
      <c r="F1438" t="s"/>
      <c r="G1438" t="s"/>
      <c r="H1438" t="s"/>
      <c r="I1438" t="s"/>
      <c r="J1438" t="n">
        <v>0.5799</v>
      </c>
      <c r="K1438" t="n">
        <v>0.095</v>
      </c>
      <c r="L1438" t="n">
        <v>0.648</v>
      </c>
      <c r="M1438" t="n">
        <v>0.257</v>
      </c>
    </row>
    <row r="1439" spans="1:13">
      <c r="A1439" s="1">
        <f>HYPERLINK("http://www.twitter.com/NathanBLawrence/status/991033197361356800", "991033197361356800")</f>
        <v/>
      </c>
      <c r="B1439" s="2" t="n">
        <v>43220.80209490741</v>
      </c>
      <c r="C1439" t="n">
        <v>0</v>
      </c>
      <c r="D1439" t="n">
        <v>3</v>
      </c>
      <c r="E1439" t="s">
        <v>1449</v>
      </c>
      <c r="F1439">
        <f>HYPERLINK("http://pbs.twimg.com/media/DcDZMrLX0AQ_3tO.jpg", "http://pbs.twimg.com/media/DcDZMrLX0AQ_3tO.jpg")</f>
        <v/>
      </c>
      <c r="G1439" t="s"/>
      <c r="H1439" t="s"/>
      <c r="I1439" t="s"/>
      <c r="J1439" t="n">
        <v>-0.2732</v>
      </c>
      <c r="K1439" t="n">
        <v>0.149</v>
      </c>
      <c r="L1439" t="n">
        <v>0.851</v>
      </c>
      <c r="M1439" t="n">
        <v>0</v>
      </c>
    </row>
    <row r="1440" spans="1:13">
      <c r="A1440" s="1">
        <f>HYPERLINK("http://www.twitter.com/NathanBLawrence/status/991028437417676801", "991028437417676801")</f>
        <v/>
      </c>
      <c r="B1440" s="2" t="n">
        <v>43220.78895833333</v>
      </c>
      <c r="C1440" t="n">
        <v>0</v>
      </c>
      <c r="D1440" t="n">
        <v>0</v>
      </c>
      <c r="E1440" t="s">
        <v>1450</v>
      </c>
      <c r="F1440" t="s"/>
      <c r="G1440" t="s"/>
      <c r="H1440" t="s"/>
      <c r="I1440" t="s"/>
      <c r="J1440" t="n">
        <v>0</v>
      </c>
      <c r="K1440" t="n">
        <v>0</v>
      </c>
      <c r="L1440" t="n">
        <v>1</v>
      </c>
      <c r="M1440" t="n">
        <v>0</v>
      </c>
    </row>
    <row r="1441" spans="1:13">
      <c r="A1441" s="1">
        <f>HYPERLINK("http://www.twitter.com/NathanBLawrence/status/991025847627894784", "991025847627894784")</f>
        <v/>
      </c>
      <c r="B1441" s="2" t="n">
        <v>43220.78181712963</v>
      </c>
      <c r="C1441" t="n">
        <v>0</v>
      </c>
      <c r="D1441" t="n">
        <v>8</v>
      </c>
      <c r="E1441" t="s">
        <v>1451</v>
      </c>
      <c r="F1441" t="s"/>
      <c r="G1441" t="s"/>
      <c r="H1441" t="s"/>
      <c r="I1441" t="s"/>
      <c r="J1441" t="n">
        <v>0.4939</v>
      </c>
      <c r="K1441" t="n">
        <v>0</v>
      </c>
      <c r="L1441" t="n">
        <v>0.802</v>
      </c>
      <c r="M1441" t="n">
        <v>0.198</v>
      </c>
    </row>
    <row r="1442" spans="1:13">
      <c r="A1442" s="1">
        <f>HYPERLINK("http://www.twitter.com/NathanBLawrence/status/991025525496909825", "991025525496909825")</f>
        <v/>
      </c>
      <c r="B1442" s="2" t="n">
        <v>43220.78092592592</v>
      </c>
      <c r="C1442" t="n">
        <v>1</v>
      </c>
      <c r="D1442" t="n">
        <v>0</v>
      </c>
      <c r="E1442" t="s">
        <v>1452</v>
      </c>
      <c r="F1442" t="s"/>
      <c r="G1442" t="s"/>
      <c r="H1442" t="s"/>
      <c r="I1442" t="s"/>
      <c r="J1442" t="n">
        <v>-0.3612</v>
      </c>
      <c r="K1442" t="n">
        <v>0.2</v>
      </c>
      <c r="L1442" t="n">
        <v>0.8</v>
      </c>
      <c r="M1442" t="n">
        <v>0</v>
      </c>
    </row>
    <row r="1443" spans="1:13">
      <c r="A1443" s="1">
        <f>HYPERLINK("http://www.twitter.com/NathanBLawrence/status/991024616188588035", "991024616188588035")</f>
        <v/>
      </c>
      <c r="B1443" s="2" t="n">
        <v>43220.77841435185</v>
      </c>
      <c r="C1443" t="n">
        <v>0</v>
      </c>
      <c r="D1443" t="n">
        <v>0</v>
      </c>
      <c r="E1443" t="s">
        <v>1453</v>
      </c>
      <c r="F1443">
        <f>HYPERLINK("http://pbs.twimg.com/media/DcDTobHV4AAGYkB.jpg", "http://pbs.twimg.com/media/DcDTobHV4AAGYkB.jpg")</f>
        <v/>
      </c>
      <c r="G1443" t="s"/>
      <c r="H1443" t="s"/>
      <c r="I1443" t="s"/>
      <c r="J1443" t="n">
        <v>0.3182</v>
      </c>
      <c r="K1443" t="n">
        <v>0</v>
      </c>
      <c r="L1443" t="n">
        <v>0.897</v>
      </c>
      <c r="M1443" t="n">
        <v>0.103</v>
      </c>
    </row>
    <row r="1444" spans="1:13">
      <c r="A1444" s="1">
        <f>HYPERLINK("http://www.twitter.com/NathanBLawrence/status/991023607991193600", "991023607991193600")</f>
        <v/>
      </c>
      <c r="B1444" s="2" t="n">
        <v>43220.77563657407</v>
      </c>
      <c r="C1444" t="n">
        <v>0</v>
      </c>
      <c r="D1444" t="n">
        <v>1</v>
      </c>
      <c r="E1444" t="s">
        <v>1454</v>
      </c>
      <c r="F1444" t="s"/>
      <c r="G1444" t="s"/>
      <c r="H1444" t="s"/>
      <c r="I1444" t="s"/>
      <c r="J1444" t="n">
        <v>-0.4767</v>
      </c>
      <c r="K1444" t="n">
        <v>0.147</v>
      </c>
      <c r="L1444" t="n">
        <v>0.853</v>
      </c>
      <c r="M1444" t="n">
        <v>0</v>
      </c>
    </row>
    <row r="1445" spans="1:13">
      <c r="A1445" s="1">
        <f>HYPERLINK("http://www.twitter.com/NathanBLawrence/status/991022360928112642", "991022360928112642")</f>
        <v/>
      </c>
      <c r="B1445" s="2" t="n">
        <v>43220.7721875</v>
      </c>
      <c r="C1445" t="n">
        <v>1</v>
      </c>
      <c r="D1445" t="n">
        <v>0</v>
      </c>
      <c r="E1445" t="s">
        <v>1455</v>
      </c>
      <c r="F1445">
        <f>HYPERLINK("http://pbs.twimg.com/media/DcDRk_fU0AAMRU4.jpg", "http://pbs.twimg.com/media/DcDRk_fU0AAMRU4.jpg")</f>
        <v/>
      </c>
      <c r="G1445" t="s"/>
      <c r="H1445" t="s"/>
      <c r="I1445" t="s"/>
      <c r="J1445" t="n">
        <v>0</v>
      </c>
      <c r="K1445" t="n">
        <v>0</v>
      </c>
      <c r="L1445" t="n">
        <v>1</v>
      </c>
      <c r="M1445" t="n">
        <v>0</v>
      </c>
    </row>
    <row r="1446" spans="1:13">
      <c r="A1446" s="1">
        <f>HYPERLINK("http://www.twitter.com/NathanBLawrence/status/991020954255052801", "991020954255052801")</f>
        <v/>
      </c>
      <c r="B1446" s="2" t="n">
        <v>43220.76831018519</v>
      </c>
      <c r="C1446" t="n">
        <v>0</v>
      </c>
      <c r="D1446" t="n">
        <v>0</v>
      </c>
      <c r="E1446" t="s">
        <v>1456</v>
      </c>
      <c r="F1446" t="s"/>
      <c r="G1446" t="s"/>
      <c r="H1446" t="s"/>
      <c r="I1446" t="s"/>
      <c r="J1446" t="n">
        <v>0.3818</v>
      </c>
      <c r="K1446" t="n">
        <v>0.049</v>
      </c>
      <c r="L1446" t="n">
        <v>0.857</v>
      </c>
      <c r="M1446" t="n">
        <v>0.094</v>
      </c>
    </row>
    <row r="1447" spans="1:13">
      <c r="A1447" s="1">
        <f>HYPERLINK("http://www.twitter.com/NathanBLawrence/status/991020070972338176", "991020070972338176")</f>
        <v/>
      </c>
      <c r="B1447" s="2" t="n">
        <v>43220.76586805555</v>
      </c>
      <c r="C1447" t="n">
        <v>0</v>
      </c>
      <c r="D1447" t="n">
        <v>18</v>
      </c>
      <c r="E1447" t="s">
        <v>1457</v>
      </c>
      <c r="F1447">
        <f>HYPERLINK("http://pbs.twimg.com/media/DcDMyHgWkAAABwq.jpg", "http://pbs.twimg.com/media/DcDMyHgWkAAABwq.jpg")</f>
        <v/>
      </c>
      <c r="G1447" t="s"/>
      <c r="H1447" t="s"/>
      <c r="I1447" t="s"/>
      <c r="J1447" t="n">
        <v>0</v>
      </c>
      <c r="K1447" t="n">
        <v>0</v>
      </c>
      <c r="L1447" t="n">
        <v>1</v>
      </c>
      <c r="M1447" t="n">
        <v>0</v>
      </c>
    </row>
    <row r="1448" spans="1:13">
      <c r="A1448" s="1">
        <f>HYPERLINK("http://www.twitter.com/NathanBLawrence/status/991019338957193216", "991019338957193216")</f>
        <v/>
      </c>
      <c r="B1448" s="2" t="n">
        <v>43220.76385416667</v>
      </c>
      <c r="C1448" t="n">
        <v>0</v>
      </c>
      <c r="D1448" t="n">
        <v>0</v>
      </c>
      <c r="E1448" t="s">
        <v>1458</v>
      </c>
      <c r="F1448" t="s"/>
      <c r="G1448" t="s"/>
      <c r="H1448" t="s"/>
      <c r="I1448" t="s"/>
      <c r="J1448" t="n">
        <v>0.296</v>
      </c>
      <c r="K1448" t="n">
        <v>0.064</v>
      </c>
      <c r="L1448" t="n">
        <v>0.833</v>
      </c>
      <c r="M1448" t="n">
        <v>0.103</v>
      </c>
    </row>
    <row r="1449" spans="1:13">
      <c r="A1449" s="1">
        <f>HYPERLINK("http://www.twitter.com/NathanBLawrence/status/991018782297673729", "991018782297673729")</f>
        <v/>
      </c>
      <c r="B1449" s="2" t="n">
        <v>43220.76231481481</v>
      </c>
      <c r="C1449" t="n">
        <v>0</v>
      </c>
      <c r="D1449" t="n">
        <v>0</v>
      </c>
      <c r="E1449" t="s">
        <v>1459</v>
      </c>
      <c r="F1449">
        <f>HYPERLINK("http://pbs.twimg.com/media/DcDOU1VU8AA8R_P.jpg", "http://pbs.twimg.com/media/DcDOU1VU8AA8R_P.jpg")</f>
        <v/>
      </c>
      <c r="G1449" t="s"/>
      <c r="H1449" t="s"/>
      <c r="I1449" t="s"/>
      <c r="J1449" t="n">
        <v>0.4404</v>
      </c>
      <c r="K1449" t="n">
        <v>0</v>
      </c>
      <c r="L1449" t="n">
        <v>0.734</v>
      </c>
      <c r="M1449" t="n">
        <v>0.266</v>
      </c>
    </row>
    <row r="1450" spans="1:13">
      <c r="A1450" s="1">
        <f>HYPERLINK("http://www.twitter.com/NathanBLawrence/status/991018205396307968", "991018205396307968")</f>
        <v/>
      </c>
      <c r="B1450" s="2" t="n">
        <v>43220.76072916666</v>
      </c>
      <c r="C1450" t="n">
        <v>0</v>
      </c>
      <c r="D1450" t="n">
        <v>9</v>
      </c>
      <c r="E1450" t="s">
        <v>1460</v>
      </c>
      <c r="F1450" t="s"/>
      <c r="G1450" t="s"/>
      <c r="H1450" t="s"/>
      <c r="I1450" t="s"/>
      <c r="J1450" t="n">
        <v>0</v>
      </c>
      <c r="K1450" t="n">
        <v>0</v>
      </c>
      <c r="L1450" t="n">
        <v>1</v>
      </c>
      <c r="M1450" t="n">
        <v>0</v>
      </c>
    </row>
    <row r="1451" spans="1:13">
      <c r="A1451" s="1">
        <f>HYPERLINK("http://www.twitter.com/NathanBLawrence/status/991017873874341888", "991017873874341888")</f>
        <v/>
      </c>
      <c r="B1451" s="2" t="n">
        <v>43220.75981481482</v>
      </c>
      <c r="C1451" t="n">
        <v>0</v>
      </c>
      <c r="D1451" t="n">
        <v>8</v>
      </c>
      <c r="E1451" t="s">
        <v>1461</v>
      </c>
      <c r="F1451">
        <f>HYPERLINK("http://pbs.twimg.com/media/DcDJlchXUAAFwDh.jpg", "http://pbs.twimg.com/media/DcDJlchXUAAFwDh.jpg")</f>
        <v/>
      </c>
      <c r="G1451" t="s"/>
      <c r="H1451" t="s"/>
      <c r="I1451" t="s"/>
      <c r="J1451" t="n">
        <v>0.2023</v>
      </c>
      <c r="K1451" t="n">
        <v>0.123</v>
      </c>
      <c r="L1451" t="n">
        <v>0.678</v>
      </c>
      <c r="M1451" t="n">
        <v>0.199</v>
      </c>
    </row>
    <row r="1452" spans="1:13">
      <c r="A1452" s="1">
        <f>HYPERLINK("http://www.twitter.com/NathanBLawrence/status/991015881588133891", "991015881588133891")</f>
        <v/>
      </c>
      <c r="B1452" s="2" t="n">
        <v>43220.75431712963</v>
      </c>
      <c r="C1452" t="n">
        <v>6</v>
      </c>
      <c r="D1452" t="n">
        <v>4</v>
      </c>
      <c r="E1452" t="s">
        <v>1462</v>
      </c>
      <c r="F1452" t="s"/>
      <c r="G1452" t="s"/>
      <c r="H1452" t="s"/>
      <c r="I1452" t="s"/>
      <c r="J1452" t="n">
        <v>-0.4939</v>
      </c>
      <c r="K1452" t="n">
        <v>0.135</v>
      </c>
      <c r="L1452" t="n">
        <v>0.865</v>
      </c>
      <c r="M1452" t="n">
        <v>0</v>
      </c>
    </row>
    <row r="1453" spans="1:13">
      <c r="A1453" s="1">
        <f>HYPERLINK("http://www.twitter.com/NathanBLawrence/status/991013647496503296", "991013647496503296")</f>
        <v/>
      </c>
      <c r="B1453" s="2" t="n">
        <v>43220.74814814814</v>
      </c>
      <c r="C1453" t="n">
        <v>0</v>
      </c>
      <c r="D1453" t="n">
        <v>0</v>
      </c>
      <c r="E1453" t="s">
        <v>1463</v>
      </c>
      <c r="F1453" t="s"/>
      <c r="G1453" t="s"/>
      <c r="H1453" t="s"/>
      <c r="I1453" t="s"/>
      <c r="J1453" t="n">
        <v>0</v>
      </c>
      <c r="K1453" t="n">
        <v>0</v>
      </c>
      <c r="L1453" t="n">
        <v>1</v>
      </c>
      <c r="M1453" t="n">
        <v>0</v>
      </c>
    </row>
    <row r="1454" spans="1:13">
      <c r="A1454" s="1">
        <f>HYPERLINK("http://www.twitter.com/NathanBLawrence/status/991009252272721920", "991009252272721920")</f>
        <v/>
      </c>
      <c r="B1454" s="2" t="n">
        <v>43220.73601851852</v>
      </c>
      <c r="C1454" t="n">
        <v>1</v>
      </c>
      <c r="D1454" t="n">
        <v>1</v>
      </c>
      <c r="E1454" t="s">
        <v>1464</v>
      </c>
      <c r="F1454" t="s"/>
      <c r="G1454" t="s"/>
      <c r="H1454" t="s"/>
      <c r="I1454" t="s"/>
      <c r="J1454" t="n">
        <v>-0.5423</v>
      </c>
      <c r="K1454" t="n">
        <v>0.13</v>
      </c>
      <c r="L1454" t="n">
        <v>0.87</v>
      </c>
      <c r="M1454" t="n">
        <v>0</v>
      </c>
    </row>
    <row r="1455" spans="1:13">
      <c r="A1455" s="1">
        <f>HYPERLINK("http://www.twitter.com/NathanBLawrence/status/991005972041781248", "991005972041781248")</f>
        <v/>
      </c>
      <c r="B1455" s="2" t="n">
        <v>43220.72696759259</v>
      </c>
      <c r="C1455" t="n">
        <v>0</v>
      </c>
      <c r="D1455" t="n">
        <v>11</v>
      </c>
      <c r="E1455" t="s">
        <v>1465</v>
      </c>
      <c r="F1455" t="s"/>
      <c r="G1455" t="s"/>
      <c r="H1455" t="s"/>
      <c r="I1455" t="s"/>
      <c r="J1455" t="n">
        <v>0</v>
      </c>
      <c r="K1455" t="n">
        <v>0</v>
      </c>
      <c r="L1455" t="n">
        <v>1</v>
      </c>
      <c r="M1455" t="n">
        <v>0</v>
      </c>
    </row>
    <row r="1456" spans="1:13">
      <c r="A1456" s="1">
        <f>HYPERLINK("http://www.twitter.com/NathanBLawrence/status/991005777044344833", "991005777044344833")</f>
        <v/>
      </c>
      <c r="B1456" s="2" t="n">
        <v>43220.72642361111</v>
      </c>
      <c r="C1456" t="n">
        <v>8</v>
      </c>
      <c r="D1456" t="n">
        <v>4</v>
      </c>
      <c r="E1456" t="s">
        <v>1466</v>
      </c>
      <c r="F1456" t="s"/>
      <c r="G1456" t="s"/>
      <c r="H1456" t="s"/>
      <c r="I1456" t="s"/>
      <c r="J1456" t="n">
        <v>0.4404</v>
      </c>
      <c r="K1456" t="n">
        <v>0.089</v>
      </c>
      <c r="L1456" t="n">
        <v>0.722</v>
      </c>
      <c r="M1456" t="n">
        <v>0.189</v>
      </c>
    </row>
    <row r="1457" spans="1:13">
      <c r="A1457" s="1">
        <f>HYPERLINK("http://www.twitter.com/NathanBLawrence/status/991005120790921216", "991005120790921216")</f>
        <v/>
      </c>
      <c r="B1457" s="2" t="n">
        <v>43220.72461805555</v>
      </c>
      <c r="C1457" t="n">
        <v>0</v>
      </c>
      <c r="D1457" t="n">
        <v>28</v>
      </c>
      <c r="E1457" t="s">
        <v>1467</v>
      </c>
      <c r="F1457" t="s"/>
      <c r="G1457" t="s"/>
      <c r="H1457" t="s"/>
      <c r="I1457" t="s"/>
      <c r="J1457" t="n">
        <v>0</v>
      </c>
      <c r="K1457" t="n">
        <v>0</v>
      </c>
      <c r="L1457" t="n">
        <v>1</v>
      </c>
      <c r="M1457" t="n">
        <v>0</v>
      </c>
    </row>
    <row r="1458" spans="1:13">
      <c r="A1458" s="1">
        <f>HYPERLINK("http://www.twitter.com/NathanBLawrence/status/990996514796392448", "990996514796392448")</f>
        <v/>
      </c>
      <c r="B1458" s="2" t="n">
        <v>43220.70086805556</v>
      </c>
      <c r="C1458" t="n">
        <v>1</v>
      </c>
      <c r="D1458" t="n">
        <v>0</v>
      </c>
      <c r="E1458" t="s">
        <v>1468</v>
      </c>
      <c r="F1458" t="s"/>
      <c r="G1458" t="s"/>
      <c r="H1458" t="s"/>
      <c r="I1458" t="s"/>
      <c r="J1458" t="n">
        <v>0</v>
      </c>
      <c r="K1458" t="n">
        <v>0</v>
      </c>
      <c r="L1458" t="n">
        <v>1</v>
      </c>
      <c r="M1458" t="n">
        <v>0</v>
      </c>
    </row>
    <row r="1459" spans="1:13">
      <c r="A1459" s="1">
        <f>HYPERLINK("http://www.twitter.com/NathanBLawrence/status/990996245333364737", "990996245333364737")</f>
        <v/>
      </c>
      <c r="B1459" s="2" t="n">
        <v>43220.70012731481</v>
      </c>
      <c r="C1459" t="n">
        <v>2</v>
      </c>
      <c r="D1459" t="n">
        <v>1</v>
      </c>
      <c r="E1459" t="s">
        <v>1469</v>
      </c>
      <c r="F1459" t="s"/>
      <c r="G1459" t="s"/>
      <c r="H1459" t="s"/>
      <c r="I1459" t="s"/>
      <c r="J1459" t="n">
        <v>-0.9124</v>
      </c>
      <c r="K1459" t="n">
        <v>0.307</v>
      </c>
      <c r="L1459" t="n">
        <v>0.6929999999999999</v>
      </c>
      <c r="M1459" t="n">
        <v>0</v>
      </c>
    </row>
    <row r="1460" spans="1:13">
      <c r="A1460" s="1">
        <f>HYPERLINK("http://www.twitter.com/NathanBLawrence/status/990995159713185798", "990995159713185798")</f>
        <v/>
      </c>
      <c r="B1460" s="2" t="n">
        <v>43220.69712962963</v>
      </c>
      <c r="C1460" t="n">
        <v>3</v>
      </c>
      <c r="D1460" t="n">
        <v>1</v>
      </c>
      <c r="E1460" t="s">
        <v>1470</v>
      </c>
      <c r="F1460" t="s"/>
      <c r="G1460" t="s"/>
      <c r="H1460" t="s"/>
      <c r="I1460" t="s"/>
      <c r="J1460" t="n">
        <v>-0.802</v>
      </c>
      <c r="K1460" t="n">
        <v>0.199</v>
      </c>
      <c r="L1460" t="n">
        <v>0.771</v>
      </c>
      <c r="M1460" t="n">
        <v>0.03</v>
      </c>
    </row>
    <row r="1461" spans="1:13">
      <c r="A1461" s="1">
        <f>HYPERLINK("http://www.twitter.com/NathanBLawrence/status/990993296032960512", "990993296032960512")</f>
        <v/>
      </c>
      <c r="B1461" s="2" t="n">
        <v>43220.69199074074</v>
      </c>
      <c r="C1461" t="n">
        <v>0</v>
      </c>
      <c r="D1461" t="n">
        <v>0</v>
      </c>
      <c r="E1461" t="s">
        <v>1471</v>
      </c>
      <c r="F1461" t="s"/>
      <c r="G1461" t="s"/>
      <c r="H1461" t="s"/>
      <c r="I1461" t="s"/>
      <c r="J1461" t="n">
        <v>0.4215</v>
      </c>
      <c r="K1461" t="n">
        <v>0</v>
      </c>
      <c r="L1461" t="n">
        <v>0.8110000000000001</v>
      </c>
      <c r="M1461" t="n">
        <v>0.189</v>
      </c>
    </row>
    <row r="1462" spans="1:13">
      <c r="A1462" s="1">
        <f>HYPERLINK("http://www.twitter.com/NathanBLawrence/status/990991470113980416", "990991470113980416")</f>
        <v/>
      </c>
      <c r="B1462" s="2" t="n">
        <v>43220.68694444445</v>
      </c>
      <c r="C1462" t="n">
        <v>0</v>
      </c>
      <c r="D1462" t="n">
        <v>0</v>
      </c>
      <c r="E1462" t="s">
        <v>1472</v>
      </c>
      <c r="F1462" t="s"/>
      <c r="G1462" t="s"/>
      <c r="H1462" t="s"/>
      <c r="I1462" t="s"/>
      <c r="J1462" t="n">
        <v>-0.4404</v>
      </c>
      <c r="K1462" t="n">
        <v>0.104</v>
      </c>
      <c r="L1462" t="n">
        <v>0.896</v>
      </c>
      <c r="M1462" t="n">
        <v>0</v>
      </c>
    </row>
    <row r="1463" spans="1:13">
      <c r="A1463" s="1">
        <f>HYPERLINK("http://www.twitter.com/NathanBLawrence/status/990982782615728129", "990982782615728129")</f>
        <v/>
      </c>
      <c r="B1463" s="2" t="n">
        <v>43220.66297453704</v>
      </c>
      <c r="C1463" t="n">
        <v>0</v>
      </c>
      <c r="D1463" t="n">
        <v>59</v>
      </c>
      <c r="E1463" t="s">
        <v>1473</v>
      </c>
      <c r="F1463" t="s"/>
      <c r="G1463" t="s"/>
      <c r="H1463" t="s"/>
      <c r="I1463" t="s"/>
      <c r="J1463" t="n">
        <v>0</v>
      </c>
      <c r="K1463" t="n">
        <v>0</v>
      </c>
      <c r="L1463" t="n">
        <v>1</v>
      </c>
      <c r="M1463" t="n">
        <v>0</v>
      </c>
    </row>
    <row r="1464" spans="1:13">
      <c r="A1464" s="1">
        <f>HYPERLINK("http://www.twitter.com/NathanBLawrence/status/990980959922245634", "990980959922245634")</f>
        <v/>
      </c>
      <c r="B1464" s="2" t="n">
        <v>43220.65795138889</v>
      </c>
      <c r="C1464" t="n">
        <v>4</v>
      </c>
      <c r="D1464" t="n">
        <v>2</v>
      </c>
      <c r="E1464" t="s">
        <v>1474</v>
      </c>
      <c r="F1464" t="s"/>
      <c r="G1464" t="s"/>
      <c r="H1464" t="s"/>
      <c r="I1464" t="s"/>
      <c r="J1464" t="n">
        <v>0.0258</v>
      </c>
      <c r="K1464" t="n">
        <v>0.12</v>
      </c>
      <c r="L1464" t="n">
        <v>0.757</v>
      </c>
      <c r="M1464" t="n">
        <v>0.124</v>
      </c>
    </row>
    <row r="1465" spans="1:13">
      <c r="A1465" s="1">
        <f>HYPERLINK("http://www.twitter.com/NathanBLawrence/status/990950078004236289", "990950078004236289")</f>
        <v/>
      </c>
      <c r="B1465" s="2" t="n">
        <v>43220.57273148148</v>
      </c>
      <c r="C1465" t="n">
        <v>1</v>
      </c>
      <c r="D1465" t="n">
        <v>1</v>
      </c>
      <c r="E1465" t="s">
        <v>1475</v>
      </c>
      <c r="F1465" t="s"/>
      <c r="G1465" t="s"/>
      <c r="H1465" t="s"/>
      <c r="I1465" t="s"/>
      <c r="J1465" t="n">
        <v>-0.9595</v>
      </c>
      <c r="K1465" t="n">
        <v>0.335</v>
      </c>
      <c r="L1465" t="n">
        <v>0.665</v>
      </c>
      <c r="M1465" t="n">
        <v>0</v>
      </c>
    </row>
    <row r="1466" spans="1:13">
      <c r="A1466" s="1">
        <f>HYPERLINK("http://www.twitter.com/NathanBLawrence/status/990944150672601088", "990944150672601088")</f>
        <v/>
      </c>
      <c r="B1466" s="2" t="n">
        <v>43220.55637731482</v>
      </c>
      <c r="C1466" t="n">
        <v>5</v>
      </c>
      <c r="D1466" t="n">
        <v>0</v>
      </c>
      <c r="E1466" t="s">
        <v>1476</v>
      </c>
      <c r="F1466" t="s"/>
      <c r="G1466" t="s"/>
      <c r="H1466" t="s"/>
      <c r="I1466" t="s"/>
      <c r="J1466" t="n">
        <v>-0.6124000000000001</v>
      </c>
      <c r="K1466" t="n">
        <v>0.357</v>
      </c>
      <c r="L1466" t="n">
        <v>0.643</v>
      </c>
      <c r="M1466" t="n">
        <v>0</v>
      </c>
    </row>
    <row r="1467" spans="1:13">
      <c r="A1467" s="1">
        <f>HYPERLINK("http://www.twitter.com/NathanBLawrence/status/990933002074107904", "990933002074107904")</f>
        <v/>
      </c>
      <c r="B1467" s="2" t="n">
        <v>43220.52560185185</v>
      </c>
      <c r="C1467" t="n">
        <v>2</v>
      </c>
      <c r="D1467" t="n">
        <v>0</v>
      </c>
      <c r="E1467" t="s">
        <v>1477</v>
      </c>
      <c r="F1467" t="s"/>
      <c r="G1467" t="s"/>
      <c r="H1467" t="s"/>
      <c r="I1467" t="s"/>
      <c r="J1467" t="n">
        <v>-0.8221000000000001</v>
      </c>
      <c r="K1467" t="n">
        <v>0.388</v>
      </c>
      <c r="L1467" t="n">
        <v>0.612</v>
      </c>
      <c r="M1467" t="n">
        <v>0</v>
      </c>
    </row>
    <row r="1468" spans="1:13">
      <c r="A1468" s="1">
        <f>HYPERLINK("http://www.twitter.com/NathanBLawrence/status/990925643859791873", "990925643859791873")</f>
        <v/>
      </c>
      <c r="B1468" s="2" t="n">
        <v>43220.50530092593</v>
      </c>
      <c r="C1468" t="n">
        <v>0</v>
      </c>
      <c r="D1468" t="n">
        <v>1</v>
      </c>
      <c r="E1468" t="s">
        <v>1478</v>
      </c>
      <c r="F1468">
        <f>HYPERLINK("http://pbs.twimg.com/media/DcBrhPtV0AEtoBw.jpg", "http://pbs.twimg.com/media/DcBrhPtV0AEtoBw.jpg")</f>
        <v/>
      </c>
      <c r="G1468" t="s"/>
      <c r="H1468" t="s"/>
      <c r="I1468" t="s"/>
      <c r="J1468" t="n">
        <v>0</v>
      </c>
      <c r="K1468" t="n">
        <v>0</v>
      </c>
      <c r="L1468" t="n">
        <v>1</v>
      </c>
      <c r="M1468" t="n">
        <v>0</v>
      </c>
    </row>
    <row r="1469" spans="1:13">
      <c r="A1469" s="1">
        <f>HYPERLINK("http://www.twitter.com/NathanBLawrence/status/990918707374448647", "990918707374448647")</f>
        <v/>
      </c>
      <c r="B1469" s="2" t="n">
        <v>43220.48615740741</v>
      </c>
      <c r="C1469" t="n">
        <v>4</v>
      </c>
      <c r="D1469" t="n">
        <v>1</v>
      </c>
      <c r="E1469" t="s">
        <v>1479</v>
      </c>
      <c r="F1469" t="s"/>
      <c r="G1469" t="s"/>
      <c r="H1469" t="s"/>
      <c r="I1469" t="s"/>
      <c r="J1469" t="n">
        <v>0</v>
      </c>
      <c r="K1469" t="n">
        <v>0</v>
      </c>
      <c r="L1469" t="n">
        <v>1</v>
      </c>
      <c r="M1469" t="n">
        <v>0</v>
      </c>
    </row>
    <row r="1470" spans="1:13">
      <c r="A1470" s="1">
        <f>HYPERLINK("http://www.twitter.com/NathanBLawrence/status/990917883810254849", "990917883810254849")</f>
        <v/>
      </c>
      <c r="B1470" s="2" t="n">
        <v>43220.48388888889</v>
      </c>
      <c r="C1470" t="n">
        <v>0</v>
      </c>
      <c r="D1470" t="n">
        <v>10</v>
      </c>
      <c r="E1470" t="s">
        <v>1480</v>
      </c>
      <c r="F1470">
        <f>HYPERLINK("http://pbs.twimg.com/media/Db_DTweUQAA-AMl.jpg", "http://pbs.twimg.com/media/Db_DTweUQAA-AMl.jpg")</f>
        <v/>
      </c>
      <c r="G1470" t="s"/>
      <c r="H1470" t="s"/>
      <c r="I1470" t="s"/>
      <c r="J1470" t="n">
        <v>-0.2103</v>
      </c>
      <c r="K1470" t="n">
        <v>0.233</v>
      </c>
      <c r="L1470" t="n">
        <v>0.5629999999999999</v>
      </c>
      <c r="M1470" t="n">
        <v>0.204</v>
      </c>
    </row>
    <row r="1471" spans="1:13">
      <c r="A1471" s="1">
        <f>HYPERLINK("http://www.twitter.com/NathanBLawrence/status/990915160146575363", "990915160146575363")</f>
        <v/>
      </c>
      <c r="B1471" s="2" t="n">
        <v>43220.47637731482</v>
      </c>
      <c r="C1471" t="n">
        <v>1</v>
      </c>
      <c r="D1471" t="n">
        <v>0</v>
      </c>
      <c r="E1471" t="s">
        <v>1481</v>
      </c>
      <c r="F1471" t="s"/>
      <c r="G1471" t="s"/>
      <c r="H1471" t="s"/>
      <c r="I1471" t="s"/>
      <c r="J1471" t="n">
        <v>0.2023</v>
      </c>
      <c r="K1471" t="n">
        <v>0.222</v>
      </c>
      <c r="L1471" t="n">
        <v>0.455</v>
      </c>
      <c r="M1471" t="n">
        <v>0.324</v>
      </c>
    </row>
    <row r="1472" spans="1:13">
      <c r="A1472" s="1">
        <f>HYPERLINK("http://www.twitter.com/NathanBLawrence/status/990913772922515456", "990913772922515456")</f>
        <v/>
      </c>
      <c r="B1472" s="2" t="n">
        <v>43220.4725462963</v>
      </c>
      <c r="C1472" t="n">
        <v>1</v>
      </c>
      <c r="D1472" t="n">
        <v>0</v>
      </c>
      <c r="E1472" t="s">
        <v>1482</v>
      </c>
      <c r="F1472" t="s"/>
      <c r="G1472" t="s"/>
      <c r="H1472" t="s"/>
      <c r="I1472" t="s"/>
      <c r="J1472" t="n">
        <v>-0.6696</v>
      </c>
      <c r="K1472" t="n">
        <v>0.36</v>
      </c>
      <c r="L1472" t="n">
        <v>0.64</v>
      </c>
      <c r="M1472" t="n">
        <v>0</v>
      </c>
    </row>
    <row r="1473" spans="1:13">
      <c r="A1473" s="1">
        <f>HYPERLINK("http://www.twitter.com/NathanBLawrence/status/990911170373734400", "990911170373734400")</f>
        <v/>
      </c>
      <c r="B1473" s="2" t="n">
        <v>43220.4653587963</v>
      </c>
      <c r="C1473" t="n">
        <v>0</v>
      </c>
      <c r="D1473" t="n">
        <v>8</v>
      </c>
      <c r="E1473" t="s">
        <v>1483</v>
      </c>
      <c r="F1473">
        <f>HYPERLINK("http://pbs.twimg.com/media/DcBmMiqWkAAElX1.jpg", "http://pbs.twimg.com/media/DcBmMiqWkAAElX1.jpg")</f>
        <v/>
      </c>
      <c r="G1473" t="s"/>
      <c r="H1473" t="s"/>
      <c r="I1473" t="s"/>
      <c r="J1473" t="n">
        <v>0.4019</v>
      </c>
      <c r="K1473" t="n">
        <v>0</v>
      </c>
      <c r="L1473" t="n">
        <v>0.876</v>
      </c>
      <c r="M1473" t="n">
        <v>0.124</v>
      </c>
    </row>
    <row r="1474" spans="1:13">
      <c r="A1474" s="1">
        <f>HYPERLINK("http://www.twitter.com/NathanBLawrence/status/990907687939596288", "990907687939596288")</f>
        <v/>
      </c>
      <c r="B1474" s="2" t="n">
        <v>43220.45575231482</v>
      </c>
      <c r="C1474" t="n">
        <v>0</v>
      </c>
      <c r="D1474" t="n">
        <v>1</v>
      </c>
      <c r="E1474" t="s">
        <v>1484</v>
      </c>
      <c r="F1474" t="s"/>
      <c r="G1474" t="s"/>
      <c r="H1474" t="s"/>
      <c r="I1474" t="s"/>
      <c r="J1474" t="n">
        <v>-0.5423</v>
      </c>
      <c r="K1474" t="n">
        <v>0.241</v>
      </c>
      <c r="L1474" t="n">
        <v>0.759</v>
      </c>
      <c r="M1474" t="n">
        <v>0</v>
      </c>
    </row>
    <row r="1475" spans="1:13">
      <c r="A1475" s="1">
        <f>HYPERLINK("http://www.twitter.com/NathanBLawrence/status/990907609770323968", "990907609770323968")</f>
        <v/>
      </c>
      <c r="B1475" s="2" t="n">
        <v>43220.45553240741</v>
      </c>
      <c r="C1475" t="n">
        <v>0</v>
      </c>
      <c r="D1475" t="n">
        <v>1</v>
      </c>
      <c r="E1475" t="s">
        <v>1485</v>
      </c>
      <c r="F1475" t="s"/>
      <c r="G1475" t="s"/>
      <c r="H1475" t="s"/>
      <c r="I1475" t="s"/>
      <c r="J1475" t="n">
        <v>-0.2732</v>
      </c>
      <c r="K1475" t="n">
        <v>0.174</v>
      </c>
      <c r="L1475" t="n">
        <v>0.826</v>
      </c>
      <c r="M1475" t="n">
        <v>0</v>
      </c>
    </row>
    <row r="1476" spans="1:13">
      <c r="A1476" s="1">
        <f>HYPERLINK("http://www.twitter.com/NathanBLawrence/status/990905499213328386", "990905499213328386")</f>
        <v/>
      </c>
      <c r="B1476" s="2" t="n">
        <v>43220.44971064815</v>
      </c>
      <c r="C1476" t="n">
        <v>0</v>
      </c>
      <c r="D1476" t="n">
        <v>9</v>
      </c>
      <c r="E1476" t="s">
        <v>1486</v>
      </c>
      <c r="F1476" t="s"/>
      <c r="G1476" t="s"/>
      <c r="H1476" t="s"/>
      <c r="I1476" t="s"/>
      <c r="J1476" t="n">
        <v>0.6808</v>
      </c>
      <c r="K1476" t="n">
        <v>0</v>
      </c>
      <c r="L1476" t="n">
        <v>0.663</v>
      </c>
      <c r="M1476" t="n">
        <v>0.337</v>
      </c>
    </row>
    <row r="1477" spans="1:13">
      <c r="A1477" s="1">
        <f>HYPERLINK("http://www.twitter.com/NathanBLawrence/status/990903267499667456", "990903267499667456")</f>
        <v/>
      </c>
      <c r="B1477" s="2" t="n">
        <v>43220.44355324074</v>
      </c>
      <c r="C1477" t="n">
        <v>0</v>
      </c>
      <c r="D1477" t="n">
        <v>0</v>
      </c>
      <c r="E1477" t="s">
        <v>1487</v>
      </c>
      <c r="F1477" t="s"/>
      <c r="G1477" t="s"/>
      <c r="H1477" t="s"/>
      <c r="I1477" t="s"/>
      <c r="J1477" t="n">
        <v>0.6027</v>
      </c>
      <c r="K1477" t="n">
        <v>0</v>
      </c>
      <c r="L1477" t="n">
        <v>0.849</v>
      </c>
      <c r="M1477" t="n">
        <v>0.151</v>
      </c>
    </row>
    <row r="1478" spans="1:13">
      <c r="A1478" s="1">
        <f>HYPERLINK("http://www.twitter.com/NathanBLawrence/status/990748965963485194", "990748965963485194")</f>
        <v/>
      </c>
      <c r="B1478" s="2" t="n">
        <v>43220.0177662037</v>
      </c>
      <c r="C1478" t="n">
        <v>0</v>
      </c>
      <c r="D1478" t="n">
        <v>3</v>
      </c>
      <c r="E1478" t="s">
        <v>1488</v>
      </c>
      <c r="F1478" t="s"/>
      <c r="G1478" t="s"/>
      <c r="H1478" t="s"/>
      <c r="I1478" t="s"/>
      <c r="J1478" t="n">
        <v>0.7506</v>
      </c>
      <c r="K1478" t="n">
        <v>0</v>
      </c>
      <c r="L1478" t="n">
        <v>0.697</v>
      </c>
      <c r="M1478" t="n">
        <v>0.303</v>
      </c>
    </row>
    <row r="1479" spans="1:13">
      <c r="A1479" s="1">
        <f>HYPERLINK("http://www.twitter.com/NathanBLawrence/status/990720065766154242", "990720065766154242")</f>
        <v/>
      </c>
      <c r="B1479" s="2" t="n">
        <v>43219.93802083333</v>
      </c>
      <c r="C1479" t="n">
        <v>0</v>
      </c>
      <c r="D1479" t="n">
        <v>2</v>
      </c>
      <c r="E1479" t="s">
        <v>1489</v>
      </c>
      <c r="F1479" t="s"/>
      <c r="G1479" t="s"/>
      <c r="H1479" t="s"/>
      <c r="I1479" t="s"/>
      <c r="J1479" t="n">
        <v>0</v>
      </c>
      <c r="K1479" t="n">
        <v>0</v>
      </c>
      <c r="L1479" t="n">
        <v>1</v>
      </c>
      <c r="M1479" t="n">
        <v>0</v>
      </c>
    </row>
    <row r="1480" spans="1:13">
      <c r="A1480" s="1">
        <f>HYPERLINK("http://www.twitter.com/NathanBLawrence/status/990719202636988416", "990719202636988416")</f>
        <v/>
      </c>
      <c r="B1480" s="2" t="n">
        <v>43219.93563657408</v>
      </c>
      <c r="C1480" t="n">
        <v>0</v>
      </c>
      <c r="D1480" t="n">
        <v>15</v>
      </c>
      <c r="E1480" t="s">
        <v>1490</v>
      </c>
      <c r="F1480">
        <f>HYPERLINK("https://video.twimg.com/ext_tw_video/990716019965595649/pu/vid/1280x720/QZ-gh-7kTDJccVv-.mp4?tag=3", "https://video.twimg.com/ext_tw_video/990716019965595649/pu/vid/1280x720/QZ-gh-7kTDJccVv-.mp4?tag=3")</f>
        <v/>
      </c>
      <c r="G1480" t="s"/>
      <c r="H1480" t="s"/>
      <c r="I1480" t="s"/>
      <c r="J1480" t="n">
        <v>-0.2649</v>
      </c>
      <c r="K1480" t="n">
        <v>0.128</v>
      </c>
      <c r="L1480" t="n">
        <v>0.787</v>
      </c>
      <c r="M1480" t="n">
        <v>0.08400000000000001</v>
      </c>
    </row>
    <row r="1481" spans="1:13">
      <c r="A1481" s="1">
        <f>HYPERLINK("http://www.twitter.com/NathanBLawrence/status/990712077416304640", "990712077416304640")</f>
        <v/>
      </c>
      <c r="B1481" s="2" t="n">
        <v>43219.91597222222</v>
      </c>
      <c r="C1481" t="n">
        <v>4</v>
      </c>
      <c r="D1481" t="n">
        <v>3</v>
      </c>
      <c r="E1481" t="s">
        <v>1491</v>
      </c>
      <c r="F1481">
        <f>HYPERLINK("http://pbs.twimg.com/media/Db-3YNXU0AAP_S2.jpg", "http://pbs.twimg.com/media/Db-3YNXU0AAP_S2.jpg")</f>
        <v/>
      </c>
      <c r="G1481" t="s"/>
      <c r="H1481" t="s"/>
      <c r="I1481" t="s"/>
      <c r="J1481" t="n">
        <v>-0.4199</v>
      </c>
      <c r="K1481" t="n">
        <v>0.358</v>
      </c>
      <c r="L1481" t="n">
        <v>0.642</v>
      </c>
      <c r="M1481" t="n">
        <v>0</v>
      </c>
    </row>
    <row r="1482" spans="1:13">
      <c r="A1482" s="1">
        <f>HYPERLINK("http://www.twitter.com/NathanBLawrence/status/990706614062800897", "990706614062800897")</f>
        <v/>
      </c>
      <c r="B1482" s="2" t="n">
        <v>43219.9008912037</v>
      </c>
      <c r="C1482" t="n">
        <v>1</v>
      </c>
      <c r="D1482" t="n">
        <v>0</v>
      </c>
      <c r="E1482" t="s">
        <v>1492</v>
      </c>
      <c r="F1482" t="s"/>
      <c r="G1482" t="s"/>
      <c r="H1482" t="s"/>
      <c r="I1482" t="s"/>
      <c r="J1482" t="n">
        <v>-0.891</v>
      </c>
      <c r="K1482" t="n">
        <v>0.358</v>
      </c>
      <c r="L1482" t="n">
        <v>0.642</v>
      </c>
      <c r="M1482" t="n">
        <v>0</v>
      </c>
    </row>
    <row r="1483" spans="1:13">
      <c r="A1483" s="1">
        <f>HYPERLINK("http://www.twitter.com/NathanBLawrence/status/990705513762615298", "990705513762615298")</f>
        <v/>
      </c>
      <c r="B1483" s="2" t="n">
        <v>43219.8978587963</v>
      </c>
      <c r="C1483" t="n">
        <v>0</v>
      </c>
      <c r="D1483" t="n">
        <v>0</v>
      </c>
      <c r="E1483" t="s">
        <v>1493</v>
      </c>
      <c r="F1483" t="s"/>
      <c r="G1483" t="s"/>
      <c r="H1483" t="s"/>
      <c r="I1483" t="s"/>
      <c r="J1483" t="n">
        <v>-0.296</v>
      </c>
      <c r="K1483" t="n">
        <v>0.216</v>
      </c>
      <c r="L1483" t="n">
        <v>0.784</v>
      </c>
      <c r="M1483" t="n">
        <v>0</v>
      </c>
    </row>
    <row r="1484" spans="1:13">
      <c r="A1484" s="1">
        <f>HYPERLINK("http://www.twitter.com/NathanBLawrence/status/990705235386609667", "990705235386609667")</f>
        <v/>
      </c>
      <c r="B1484" s="2" t="n">
        <v>43219.89709490741</v>
      </c>
      <c r="C1484" t="n">
        <v>17</v>
      </c>
      <c r="D1484" t="n">
        <v>12</v>
      </c>
      <c r="E1484" t="s">
        <v>1494</v>
      </c>
      <c r="F1484" t="s"/>
      <c r="G1484" t="s"/>
      <c r="H1484" t="s"/>
      <c r="I1484" t="s"/>
      <c r="J1484" t="n">
        <v>-0.296</v>
      </c>
      <c r="K1484" t="n">
        <v>0.099</v>
      </c>
      <c r="L1484" t="n">
        <v>0.901</v>
      </c>
      <c r="M1484" t="n">
        <v>0</v>
      </c>
    </row>
    <row r="1485" spans="1:13">
      <c r="A1485" s="1">
        <f>HYPERLINK("http://www.twitter.com/NathanBLawrence/status/990704630647619584", "990704630647619584")</f>
        <v/>
      </c>
      <c r="B1485" s="2" t="n">
        <v>43219.89542824074</v>
      </c>
      <c r="C1485" t="n">
        <v>0</v>
      </c>
      <c r="D1485" t="n">
        <v>2</v>
      </c>
      <c r="E1485" t="s">
        <v>1495</v>
      </c>
      <c r="F1485" t="s"/>
      <c r="G1485" t="s"/>
      <c r="H1485" t="s"/>
      <c r="I1485" t="s"/>
      <c r="J1485" t="n">
        <v>-0.5399</v>
      </c>
      <c r="K1485" t="n">
        <v>0.365</v>
      </c>
      <c r="L1485" t="n">
        <v>0.415</v>
      </c>
      <c r="M1485" t="n">
        <v>0.22</v>
      </c>
    </row>
    <row r="1486" spans="1:13">
      <c r="A1486" s="1">
        <f>HYPERLINK("http://www.twitter.com/NathanBLawrence/status/990617038065471489", "990617038065471489")</f>
        <v/>
      </c>
      <c r="B1486" s="2" t="n">
        <v>43219.65371527777</v>
      </c>
      <c r="C1486" t="n">
        <v>0</v>
      </c>
      <c r="D1486" t="n">
        <v>6</v>
      </c>
      <c r="E1486" t="s">
        <v>1496</v>
      </c>
      <c r="F1486">
        <f>HYPERLINK("http://pbs.twimg.com/media/Db9f8RFUwAEediw.jpg", "http://pbs.twimg.com/media/Db9f8RFUwAEediw.jpg")</f>
        <v/>
      </c>
      <c r="G1486" t="s"/>
      <c r="H1486" t="s"/>
      <c r="I1486" t="s"/>
      <c r="J1486" t="n">
        <v>-0.6705</v>
      </c>
      <c r="K1486" t="n">
        <v>0.31</v>
      </c>
      <c r="L1486" t="n">
        <v>0.6899999999999999</v>
      </c>
      <c r="M1486" t="n">
        <v>0</v>
      </c>
    </row>
    <row r="1487" spans="1:13">
      <c r="A1487" s="1">
        <f>HYPERLINK("http://www.twitter.com/NathanBLawrence/status/990616919479865345", "990616919479865345")</f>
        <v/>
      </c>
      <c r="B1487" s="2" t="n">
        <v>43219.6533912037</v>
      </c>
      <c r="C1487" t="n">
        <v>1</v>
      </c>
      <c r="D1487" t="n">
        <v>1</v>
      </c>
      <c r="E1487" t="s">
        <v>1497</v>
      </c>
      <c r="F1487" t="s"/>
      <c r="G1487" t="s"/>
      <c r="H1487" t="s"/>
      <c r="I1487" t="s"/>
      <c r="J1487" t="n">
        <v>0.296</v>
      </c>
      <c r="K1487" t="n">
        <v>0</v>
      </c>
      <c r="L1487" t="n">
        <v>0.845</v>
      </c>
      <c r="M1487" t="n">
        <v>0.155</v>
      </c>
    </row>
    <row r="1488" spans="1:13">
      <c r="A1488" s="1">
        <f>HYPERLINK("http://www.twitter.com/NathanBLawrence/status/990605954491277312", "990605954491277312")</f>
        <v/>
      </c>
      <c r="B1488" s="2" t="n">
        <v>43219.623125</v>
      </c>
      <c r="C1488" t="n">
        <v>0</v>
      </c>
      <c r="D1488" t="n">
        <v>5</v>
      </c>
      <c r="E1488" t="s">
        <v>1498</v>
      </c>
      <c r="F1488">
        <f>HYPERLINK("http://pbs.twimg.com/media/Db5U2CAXUAA9QIp.jpg", "http://pbs.twimg.com/media/Db5U2CAXUAA9QIp.jpg")</f>
        <v/>
      </c>
      <c r="G1488" t="s"/>
      <c r="H1488" t="s"/>
      <c r="I1488" t="s"/>
      <c r="J1488" t="n">
        <v>0</v>
      </c>
      <c r="K1488" t="n">
        <v>0</v>
      </c>
      <c r="L1488" t="n">
        <v>1</v>
      </c>
      <c r="M1488" t="n">
        <v>0</v>
      </c>
    </row>
    <row r="1489" spans="1:13">
      <c r="A1489" s="1">
        <f>HYPERLINK("http://www.twitter.com/NathanBLawrence/status/990604139615965184", "990604139615965184")</f>
        <v/>
      </c>
      <c r="B1489" s="2" t="n">
        <v>43219.618125</v>
      </c>
      <c r="C1489" t="n">
        <v>0</v>
      </c>
      <c r="D1489" t="n">
        <v>0</v>
      </c>
      <c r="E1489" t="s">
        <v>1499</v>
      </c>
      <c r="F1489" t="s"/>
      <c r="G1489" t="s"/>
      <c r="H1489" t="s"/>
      <c r="I1489" t="s"/>
      <c r="J1489" t="n">
        <v>-0.7635</v>
      </c>
      <c r="K1489" t="n">
        <v>0.516</v>
      </c>
      <c r="L1489" t="n">
        <v>0.341</v>
      </c>
      <c r="M1489" t="n">
        <v>0.142</v>
      </c>
    </row>
    <row r="1490" spans="1:13">
      <c r="A1490" s="1">
        <f>HYPERLINK("http://www.twitter.com/NathanBLawrence/status/990601884682588160", "990601884682588160")</f>
        <v/>
      </c>
      <c r="B1490" s="2" t="n">
        <v>43219.61189814815</v>
      </c>
      <c r="C1490" t="n">
        <v>0</v>
      </c>
      <c r="D1490" t="n">
        <v>1</v>
      </c>
      <c r="E1490" t="s">
        <v>1500</v>
      </c>
      <c r="F1490" t="s"/>
      <c r="G1490" t="s"/>
      <c r="H1490" t="s"/>
      <c r="I1490" t="s"/>
      <c r="J1490" t="n">
        <v>0</v>
      </c>
      <c r="K1490" t="n">
        <v>0</v>
      </c>
      <c r="L1490" t="n">
        <v>1</v>
      </c>
      <c r="M1490" t="n">
        <v>0</v>
      </c>
    </row>
    <row r="1491" spans="1:13">
      <c r="A1491" s="1">
        <f>HYPERLINK("http://www.twitter.com/NathanBLawrence/status/990601598727610368", "990601598727610368")</f>
        <v/>
      </c>
      <c r="B1491" s="2" t="n">
        <v>43219.61111111111</v>
      </c>
      <c r="C1491" t="n">
        <v>0</v>
      </c>
      <c r="D1491" t="n">
        <v>0</v>
      </c>
      <c r="E1491" t="s">
        <v>1501</v>
      </c>
      <c r="F1491" t="s"/>
      <c r="G1491" t="s"/>
      <c r="H1491" t="s"/>
      <c r="I1491" t="s"/>
      <c r="J1491" t="n">
        <v>0.5106000000000001</v>
      </c>
      <c r="K1491" t="n">
        <v>0</v>
      </c>
      <c r="L1491" t="n">
        <v>0.798</v>
      </c>
      <c r="M1491" t="n">
        <v>0.202</v>
      </c>
    </row>
    <row r="1492" spans="1:13">
      <c r="A1492" s="1">
        <f>HYPERLINK("http://www.twitter.com/NathanBLawrence/status/990599992049053702", "990599992049053702")</f>
        <v/>
      </c>
      <c r="B1492" s="2" t="n">
        <v>43219.60667824074</v>
      </c>
      <c r="C1492" t="n">
        <v>0</v>
      </c>
      <c r="D1492" t="n">
        <v>0</v>
      </c>
      <c r="E1492" t="s">
        <v>1502</v>
      </c>
      <c r="F1492" t="s"/>
      <c r="G1492" t="s"/>
      <c r="H1492" t="s"/>
      <c r="I1492" t="s"/>
      <c r="J1492" t="n">
        <v>0.1779</v>
      </c>
      <c r="K1492" t="n">
        <v>0.068</v>
      </c>
      <c r="L1492" t="n">
        <v>0.841</v>
      </c>
      <c r="M1492" t="n">
        <v>0.091</v>
      </c>
    </row>
    <row r="1493" spans="1:13">
      <c r="A1493" s="1">
        <f>HYPERLINK("http://www.twitter.com/NathanBLawrence/status/990599005536124930", "990599005536124930")</f>
        <v/>
      </c>
      <c r="B1493" s="2" t="n">
        <v>43219.60395833333</v>
      </c>
      <c r="C1493" t="n">
        <v>2</v>
      </c>
      <c r="D1493" t="n">
        <v>0</v>
      </c>
      <c r="E1493" t="s">
        <v>1503</v>
      </c>
      <c r="F1493" t="s"/>
      <c r="G1493" t="s"/>
      <c r="H1493" t="s"/>
      <c r="I1493" t="s"/>
      <c r="J1493" t="n">
        <v>0</v>
      </c>
      <c r="K1493" t="n">
        <v>0</v>
      </c>
      <c r="L1493" t="n">
        <v>1</v>
      </c>
      <c r="M1493" t="n">
        <v>0</v>
      </c>
    </row>
    <row r="1494" spans="1:13">
      <c r="A1494" s="1">
        <f>HYPERLINK("http://www.twitter.com/NathanBLawrence/status/990598141668929538", "990598141668929538")</f>
        <v/>
      </c>
      <c r="B1494" s="2" t="n">
        <v>43219.60157407408</v>
      </c>
      <c r="C1494" t="n">
        <v>0</v>
      </c>
      <c r="D1494" t="n">
        <v>0</v>
      </c>
      <c r="E1494" t="s">
        <v>1504</v>
      </c>
      <c r="F1494" t="s"/>
      <c r="G1494" t="s"/>
      <c r="H1494" t="s"/>
      <c r="I1494" t="s"/>
      <c r="J1494" t="n">
        <v>0.1779</v>
      </c>
      <c r="K1494" t="n">
        <v>0.09</v>
      </c>
      <c r="L1494" t="n">
        <v>0.749</v>
      </c>
      <c r="M1494" t="n">
        <v>0.16</v>
      </c>
    </row>
    <row r="1495" spans="1:13">
      <c r="A1495" s="1">
        <f>HYPERLINK("http://www.twitter.com/NathanBLawrence/status/990593209599512576", "990593209599512576")</f>
        <v/>
      </c>
      <c r="B1495" s="2" t="n">
        <v>43219.58796296296</v>
      </c>
      <c r="C1495" t="n">
        <v>0</v>
      </c>
      <c r="D1495" t="n">
        <v>20365</v>
      </c>
      <c r="E1495" t="s">
        <v>1505</v>
      </c>
      <c r="F1495">
        <f>HYPERLINK("http://pbs.twimg.com/media/DbzWuOnV4AAb9pF.jpg", "http://pbs.twimg.com/media/DbzWuOnV4AAb9pF.jpg")</f>
        <v/>
      </c>
      <c r="G1495">
        <f>HYPERLINK("http://pbs.twimg.com/media/DbzWuOnU0AAoJ-X.jpg", "http://pbs.twimg.com/media/DbzWuOnU0AAoJ-X.jpg")</f>
        <v/>
      </c>
      <c r="H1495">
        <f>HYPERLINK("http://pbs.twimg.com/media/DbzWuOpV0AAGDxY.jpg", "http://pbs.twimg.com/media/DbzWuOpV0AAGDxY.jpg")</f>
        <v/>
      </c>
      <c r="I1495" t="s"/>
      <c r="J1495" t="n">
        <v>0.4215</v>
      </c>
      <c r="K1495" t="n">
        <v>0</v>
      </c>
      <c r="L1495" t="n">
        <v>0.899</v>
      </c>
      <c r="M1495" t="n">
        <v>0.101</v>
      </c>
    </row>
    <row r="1496" spans="1:13">
      <c r="A1496" s="1">
        <f>HYPERLINK("http://www.twitter.com/NathanBLawrence/status/990592670132326400", "990592670132326400")</f>
        <v/>
      </c>
      <c r="B1496" s="2" t="n">
        <v>43219.58646990741</v>
      </c>
      <c r="C1496" t="n">
        <v>2</v>
      </c>
      <c r="D1496" t="n">
        <v>0</v>
      </c>
      <c r="E1496" t="s">
        <v>1506</v>
      </c>
      <c r="F1496" t="s"/>
      <c r="G1496" t="s"/>
      <c r="H1496" t="s"/>
      <c r="I1496" t="s"/>
      <c r="J1496" t="n">
        <v>0.0772</v>
      </c>
      <c r="K1496" t="n">
        <v>0</v>
      </c>
      <c r="L1496" t="n">
        <v>0.885</v>
      </c>
      <c r="M1496" t="n">
        <v>0.115</v>
      </c>
    </row>
    <row r="1497" spans="1:13">
      <c r="A1497" s="1">
        <f>HYPERLINK("http://www.twitter.com/NathanBLawrence/status/990592305882157057", "990592305882157057")</f>
        <v/>
      </c>
      <c r="B1497" s="2" t="n">
        <v>43219.58546296296</v>
      </c>
      <c r="C1497" t="n">
        <v>2</v>
      </c>
      <c r="D1497" t="n">
        <v>0</v>
      </c>
      <c r="E1497" t="s">
        <v>1507</v>
      </c>
      <c r="F1497" t="s"/>
      <c r="G1497" t="s"/>
      <c r="H1497" t="s"/>
      <c r="I1497" t="s"/>
      <c r="J1497" t="n">
        <v>-0.9022</v>
      </c>
      <c r="K1497" t="n">
        <v>0.456</v>
      </c>
      <c r="L1497" t="n">
        <v>0.428</v>
      </c>
      <c r="M1497" t="n">
        <v>0.116</v>
      </c>
    </row>
    <row r="1498" spans="1:13">
      <c r="A1498" s="1">
        <f>HYPERLINK("http://www.twitter.com/NathanBLawrence/status/990591894659960832", "990591894659960832")</f>
        <v/>
      </c>
      <c r="B1498" s="2" t="n">
        <v>43219.58432870371</v>
      </c>
      <c r="C1498" t="n">
        <v>3</v>
      </c>
      <c r="D1498" t="n">
        <v>1</v>
      </c>
      <c r="E1498" t="s">
        <v>1508</v>
      </c>
      <c r="F1498" t="s"/>
      <c r="G1498" t="s"/>
      <c r="H1498" t="s"/>
      <c r="I1498" t="s"/>
      <c r="J1498" t="n">
        <v>-0.6892</v>
      </c>
      <c r="K1498" t="n">
        <v>0.171</v>
      </c>
      <c r="L1498" t="n">
        <v>0.771</v>
      </c>
      <c r="M1498" t="n">
        <v>0.058</v>
      </c>
    </row>
    <row r="1499" spans="1:13">
      <c r="A1499" s="1">
        <f>HYPERLINK("http://www.twitter.com/NathanBLawrence/status/990588345897160704", "990588345897160704")</f>
        <v/>
      </c>
      <c r="B1499" s="2" t="n">
        <v>43219.57453703704</v>
      </c>
      <c r="C1499" t="n">
        <v>0</v>
      </c>
      <c r="D1499" t="n">
        <v>3</v>
      </c>
      <c r="E1499" t="s">
        <v>1509</v>
      </c>
      <c r="F1499">
        <f>HYPERLINK("http://pbs.twimg.com/media/Db7iFqUVMAEwA4z.jpg", "http://pbs.twimg.com/media/Db7iFqUVMAEwA4z.jpg")</f>
        <v/>
      </c>
      <c r="G1499" t="s"/>
      <c r="H1499" t="s"/>
      <c r="I1499" t="s"/>
      <c r="J1499" t="n">
        <v>0.7776999999999999</v>
      </c>
      <c r="K1499" t="n">
        <v>0</v>
      </c>
      <c r="L1499" t="n">
        <v>0.729</v>
      </c>
      <c r="M1499" t="n">
        <v>0.271</v>
      </c>
    </row>
    <row r="1500" spans="1:13">
      <c r="A1500" s="1">
        <f>HYPERLINK("http://www.twitter.com/NathanBLawrence/status/990588105274134528", "990588105274134528")</f>
        <v/>
      </c>
      <c r="B1500" s="2" t="n">
        <v>43219.57387731481</v>
      </c>
      <c r="C1500" t="n">
        <v>2</v>
      </c>
      <c r="D1500" t="n">
        <v>0</v>
      </c>
      <c r="E1500" t="s">
        <v>1510</v>
      </c>
      <c r="F1500" t="s"/>
      <c r="G1500" t="s"/>
      <c r="H1500" t="s"/>
      <c r="I1500" t="s"/>
      <c r="J1500" t="n">
        <v>-0.0005</v>
      </c>
      <c r="K1500" t="n">
        <v>0.176</v>
      </c>
      <c r="L1500" t="n">
        <v>0.647</v>
      </c>
      <c r="M1500" t="n">
        <v>0.176</v>
      </c>
    </row>
    <row r="1501" spans="1:13">
      <c r="A1501" s="1">
        <f>HYPERLINK("http://www.twitter.com/NathanBLawrence/status/990586557890551808", "990586557890551808")</f>
        <v/>
      </c>
      <c r="B1501" s="2" t="n">
        <v>43219.56960648148</v>
      </c>
      <c r="C1501" t="n">
        <v>1</v>
      </c>
      <c r="D1501" t="n">
        <v>1</v>
      </c>
      <c r="E1501" t="s">
        <v>1511</v>
      </c>
      <c r="F1501" t="s"/>
      <c r="G1501" t="s"/>
      <c r="H1501" t="s"/>
      <c r="I1501" t="s"/>
      <c r="J1501" t="n">
        <v>-0.6486</v>
      </c>
      <c r="K1501" t="n">
        <v>0.264</v>
      </c>
      <c r="L1501" t="n">
        <v>0.736</v>
      </c>
      <c r="M1501" t="n">
        <v>0</v>
      </c>
    </row>
    <row r="1502" spans="1:13">
      <c r="A1502" s="1">
        <f>HYPERLINK("http://www.twitter.com/NathanBLawrence/status/990580638221852678", "990580638221852678")</f>
        <v/>
      </c>
      <c r="B1502" s="2" t="n">
        <v>43219.55326388889</v>
      </c>
      <c r="C1502" t="n">
        <v>0</v>
      </c>
      <c r="D1502" t="n">
        <v>7394</v>
      </c>
      <c r="E1502" t="s">
        <v>1512</v>
      </c>
      <c r="F1502">
        <f>HYPERLINK("http://pbs.twimg.com/media/Db8-ZSaXkAAL45C.jpg", "http://pbs.twimg.com/media/Db8-ZSaXkAAL45C.jpg")</f>
        <v/>
      </c>
      <c r="G1502" t="s"/>
      <c r="H1502" t="s"/>
      <c r="I1502" t="s"/>
      <c r="J1502" t="n">
        <v>0.296</v>
      </c>
      <c r="K1502" t="n">
        <v>0.144</v>
      </c>
      <c r="L1502" t="n">
        <v>0.671</v>
      </c>
      <c r="M1502" t="n">
        <v>0.185</v>
      </c>
    </row>
    <row r="1503" spans="1:13">
      <c r="A1503" s="1">
        <f>HYPERLINK("http://www.twitter.com/NathanBLawrence/status/990579279955185664", "990579279955185664")</f>
        <v/>
      </c>
      <c r="B1503" s="2" t="n">
        <v>43219.54952546296</v>
      </c>
      <c r="C1503" t="n">
        <v>0</v>
      </c>
      <c r="D1503" t="n">
        <v>0</v>
      </c>
      <c r="E1503" t="s">
        <v>1513</v>
      </c>
      <c r="F1503" t="s"/>
      <c r="G1503" t="s"/>
      <c r="H1503" t="s"/>
      <c r="I1503" t="s"/>
      <c r="J1503" t="n">
        <v>-0.824</v>
      </c>
      <c r="K1503" t="n">
        <v>0.183</v>
      </c>
      <c r="L1503" t="n">
        <v>0.8169999999999999</v>
      </c>
      <c r="M1503" t="n">
        <v>0</v>
      </c>
    </row>
    <row r="1504" spans="1:13">
      <c r="A1504" s="1">
        <f>HYPERLINK("http://www.twitter.com/NathanBLawrence/status/990576442110038017", "990576442110038017")</f>
        <v/>
      </c>
      <c r="B1504" s="2" t="n">
        <v>43219.54168981482</v>
      </c>
      <c r="C1504" t="n">
        <v>0</v>
      </c>
      <c r="D1504" t="n">
        <v>1</v>
      </c>
      <c r="E1504" t="s">
        <v>1514</v>
      </c>
      <c r="F1504" t="s"/>
      <c r="G1504" t="s"/>
      <c r="H1504" t="s"/>
      <c r="I1504" t="s"/>
      <c r="J1504" t="n">
        <v>0.6846</v>
      </c>
      <c r="K1504" t="n">
        <v>0.052</v>
      </c>
      <c r="L1504" t="n">
        <v>0.745</v>
      </c>
      <c r="M1504" t="n">
        <v>0.202</v>
      </c>
    </row>
    <row r="1505" spans="1:13">
      <c r="A1505" s="1">
        <f>HYPERLINK("http://www.twitter.com/NathanBLawrence/status/990575798590558209", "990575798590558209")</f>
        <v/>
      </c>
      <c r="B1505" s="2" t="n">
        <v>43219.53991898148</v>
      </c>
      <c r="C1505" t="n">
        <v>0</v>
      </c>
      <c r="D1505" t="n">
        <v>2</v>
      </c>
      <c r="E1505" t="s">
        <v>1515</v>
      </c>
      <c r="F1505" t="s"/>
      <c r="G1505" t="s"/>
      <c r="H1505" t="s"/>
      <c r="I1505" t="s"/>
      <c r="J1505" t="n">
        <v>0.2714</v>
      </c>
      <c r="K1505" t="n">
        <v>0.128</v>
      </c>
      <c r="L1505" t="n">
        <v>0.7</v>
      </c>
      <c r="M1505" t="n">
        <v>0.173</v>
      </c>
    </row>
    <row r="1506" spans="1:13">
      <c r="A1506" s="1">
        <f>HYPERLINK("http://www.twitter.com/NathanBLawrence/status/990575631888015360", "990575631888015360")</f>
        <v/>
      </c>
      <c r="B1506" s="2" t="n">
        <v>43219.53945601852</v>
      </c>
      <c r="C1506" t="n">
        <v>0</v>
      </c>
      <c r="D1506" t="n">
        <v>0</v>
      </c>
      <c r="E1506" t="s">
        <v>1516</v>
      </c>
      <c r="F1506">
        <f>HYPERLINK("http://pbs.twimg.com/media/Db87SGOV0AAW6r5.jpg", "http://pbs.twimg.com/media/Db87SGOV0AAW6r5.jpg")</f>
        <v/>
      </c>
      <c r="G1506" t="s"/>
      <c r="H1506" t="s"/>
      <c r="I1506" t="s"/>
      <c r="J1506" t="n">
        <v>0</v>
      </c>
      <c r="K1506" t="n">
        <v>0</v>
      </c>
      <c r="L1506" t="n">
        <v>1</v>
      </c>
      <c r="M1506" t="n">
        <v>0</v>
      </c>
    </row>
    <row r="1507" spans="1:13">
      <c r="A1507" s="1">
        <f>HYPERLINK("http://www.twitter.com/NathanBLawrence/status/990410603616526336", "990410603616526336")</f>
        <v/>
      </c>
      <c r="B1507" s="2" t="n">
        <v>43219.0840625</v>
      </c>
      <c r="C1507" t="n">
        <v>0</v>
      </c>
      <c r="D1507" t="n">
        <v>2</v>
      </c>
      <c r="E1507" t="s">
        <v>1517</v>
      </c>
      <c r="F1507" t="s"/>
      <c r="G1507" t="s"/>
      <c r="H1507" t="s"/>
      <c r="I1507" t="s"/>
      <c r="J1507" t="n">
        <v>0.7003</v>
      </c>
      <c r="K1507" t="n">
        <v>0</v>
      </c>
      <c r="L1507" t="n">
        <v>0.766</v>
      </c>
      <c r="M1507" t="n">
        <v>0.234</v>
      </c>
    </row>
    <row r="1508" spans="1:13">
      <c r="A1508" s="1">
        <f>HYPERLINK("http://www.twitter.com/NathanBLawrence/status/990343886957629440", "990343886957629440")</f>
        <v/>
      </c>
      <c r="B1508" s="2" t="n">
        <v>43218.89996527778</v>
      </c>
      <c r="C1508" t="n">
        <v>0</v>
      </c>
      <c r="D1508" t="n">
        <v>18</v>
      </c>
      <c r="E1508" t="s">
        <v>1518</v>
      </c>
      <c r="F1508" t="s"/>
      <c r="G1508" t="s"/>
      <c r="H1508" t="s"/>
      <c r="I1508" t="s"/>
      <c r="J1508" t="n">
        <v>0.5574</v>
      </c>
      <c r="K1508" t="n">
        <v>0</v>
      </c>
      <c r="L1508" t="n">
        <v>0.825</v>
      </c>
      <c r="M1508" t="n">
        <v>0.175</v>
      </c>
    </row>
    <row r="1509" spans="1:13">
      <c r="A1509" s="1">
        <f>HYPERLINK("http://www.twitter.com/NathanBLawrence/status/990335603282673664", "990335603282673664")</f>
        <v/>
      </c>
      <c r="B1509" s="2" t="n">
        <v>43218.87710648148</v>
      </c>
      <c r="C1509" t="n">
        <v>0</v>
      </c>
      <c r="D1509" t="n">
        <v>1</v>
      </c>
      <c r="E1509" t="s">
        <v>1519</v>
      </c>
      <c r="F1509" t="s"/>
      <c r="G1509" t="s"/>
      <c r="H1509" t="s"/>
      <c r="I1509" t="s"/>
      <c r="J1509" t="n">
        <v>0.3164</v>
      </c>
      <c r="K1509" t="n">
        <v>0.119</v>
      </c>
      <c r="L1509" t="n">
        <v>0.672</v>
      </c>
      <c r="M1509" t="n">
        <v>0.209</v>
      </c>
    </row>
    <row r="1510" spans="1:13">
      <c r="A1510" s="1">
        <f>HYPERLINK("http://www.twitter.com/NathanBLawrence/status/990334659077771265", "990334659077771265")</f>
        <v/>
      </c>
      <c r="B1510" s="2" t="n">
        <v>43218.87449074074</v>
      </c>
      <c r="C1510" t="n">
        <v>0</v>
      </c>
      <c r="D1510" t="n">
        <v>2</v>
      </c>
      <c r="E1510" t="s">
        <v>1520</v>
      </c>
      <c r="F1510" t="s"/>
      <c r="G1510" t="s"/>
      <c r="H1510" t="s"/>
      <c r="I1510" t="s"/>
      <c r="J1510" t="n">
        <v>-0.4215</v>
      </c>
      <c r="K1510" t="n">
        <v>0.217</v>
      </c>
      <c r="L1510" t="n">
        <v>0.667</v>
      </c>
      <c r="M1510" t="n">
        <v>0.117</v>
      </c>
    </row>
    <row r="1511" spans="1:13">
      <c r="A1511" s="1">
        <f>HYPERLINK("http://www.twitter.com/NathanBLawrence/status/990331523038629888", "990331523038629888")</f>
        <v/>
      </c>
      <c r="B1511" s="2" t="n">
        <v>43218.86584490741</v>
      </c>
      <c r="C1511" t="n">
        <v>3</v>
      </c>
      <c r="D1511" t="n">
        <v>0</v>
      </c>
      <c r="E1511" t="s">
        <v>1521</v>
      </c>
      <c r="F1511" t="s"/>
      <c r="G1511" t="s"/>
      <c r="H1511" t="s"/>
      <c r="I1511" t="s"/>
      <c r="J1511" t="n">
        <v>0.5139</v>
      </c>
      <c r="K1511" t="n">
        <v>0.08</v>
      </c>
      <c r="L1511" t="n">
        <v>0.702</v>
      </c>
      <c r="M1511" t="n">
        <v>0.218</v>
      </c>
    </row>
    <row r="1512" spans="1:13">
      <c r="A1512" s="1">
        <f>HYPERLINK("http://www.twitter.com/NathanBLawrence/status/990329651305250822", "990329651305250822")</f>
        <v/>
      </c>
      <c r="B1512" s="2" t="n">
        <v>43218.86067129629</v>
      </c>
      <c r="C1512" t="n">
        <v>0</v>
      </c>
      <c r="D1512" t="n">
        <v>15</v>
      </c>
      <c r="E1512" t="s">
        <v>1522</v>
      </c>
      <c r="F1512" t="s"/>
      <c r="G1512" t="s"/>
      <c r="H1512" t="s"/>
      <c r="I1512" t="s"/>
      <c r="J1512" t="n">
        <v>0.3612</v>
      </c>
      <c r="K1512" t="n">
        <v>0.112</v>
      </c>
      <c r="L1512" t="n">
        <v>0.695</v>
      </c>
      <c r="M1512" t="n">
        <v>0.193</v>
      </c>
    </row>
    <row r="1513" spans="1:13">
      <c r="A1513" s="1">
        <f>HYPERLINK("http://www.twitter.com/NathanBLawrence/status/990326917600546817", "990326917600546817")</f>
        <v/>
      </c>
      <c r="B1513" s="2" t="n">
        <v>43218.85313657407</v>
      </c>
      <c r="C1513" t="n">
        <v>0</v>
      </c>
      <c r="D1513" t="n">
        <v>2</v>
      </c>
      <c r="E1513" t="s">
        <v>1523</v>
      </c>
      <c r="F1513" t="s"/>
      <c r="G1513" t="s"/>
      <c r="H1513" t="s"/>
      <c r="I1513" t="s"/>
      <c r="J1513" t="n">
        <v>-0.7579</v>
      </c>
      <c r="K1513" t="n">
        <v>0.317</v>
      </c>
      <c r="L1513" t="n">
        <v>0.6830000000000001</v>
      </c>
      <c r="M1513" t="n">
        <v>0</v>
      </c>
    </row>
    <row r="1514" spans="1:13">
      <c r="A1514" s="1">
        <f>HYPERLINK("http://www.twitter.com/NathanBLawrence/status/990291111011868672", "990291111011868672")</f>
        <v/>
      </c>
      <c r="B1514" s="2" t="n">
        <v>43218.7543287037</v>
      </c>
      <c r="C1514" t="n">
        <v>0</v>
      </c>
      <c r="D1514" t="n">
        <v>0</v>
      </c>
      <c r="E1514" t="s">
        <v>1524</v>
      </c>
      <c r="F1514" t="s"/>
      <c r="G1514" t="s"/>
      <c r="H1514" t="s"/>
      <c r="I1514" t="s"/>
      <c r="J1514" t="n">
        <v>0.7118</v>
      </c>
      <c r="K1514" t="n">
        <v>0</v>
      </c>
      <c r="L1514" t="n">
        <v>0.289</v>
      </c>
      <c r="M1514" t="n">
        <v>0.711</v>
      </c>
    </row>
    <row r="1515" spans="1:13">
      <c r="A1515" s="1">
        <f>HYPERLINK("http://www.twitter.com/NathanBLawrence/status/990288629091262466", "990288629091262466")</f>
        <v/>
      </c>
      <c r="B1515" s="2" t="n">
        <v>43218.74747685185</v>
      </c>
      <c r="C1515" t="n">
        <v>0</v>
      </c>
      <c r="D1515" t="n">
        <v>0</v>
      </c>
      <c r="E1515" t="s">
        <v>1525</v>
      </c>
      <c r="F1515" t="s"/>
      <c r="G1515" t="s"/>
      <c r="H1515" t="s"/>
      <c r="I1515" t="s"/>
      <c r="J1515" t="n">
        <v>0.4215</v>
      </c>
      <c r="K1515" t="n">
        <v>0</v>
      </c>
      <c r="L1515" t="n">
        <v>0.517</v>
      </c>
      <c r="M1515" t="n">
        <v>0.483</v>
      </c>
    </row>
    <row r="1516" spans="1:13">
      <c r="A1516" s="1">
        <f>HYPERLINK("http://www.twitter.com/NathanBLawrence/status/990286551698505728", "990286551698505728")</f>
        <v/>
      </c>
      <c r="B1516" s="2" t="n">
        <v>43218.74174768518</v>
      </c>
      <c r="C1516" t="n">
        <v>2</v>
      </c>
      <c r="D1516" t="n">
        <v>0</v>
      </c>
      <c r="E1516" t="s">
        <v>1526</v>
      </c>
      <c r="F1516">
        <f>HYPERLINK("http://pbs.twimg.com/media/Db40XYIUwAAXc9i.jpg", "http://pbs.twimg.com/media/Db40XYIUwAAXc9i.jpg")</f>
        <v/>
      </c>
      <c r="G1516" t="s"/>
      <c r="H1516" t="s"/>
      <c r="I1516" t="s"/>
      <c r="J1516" t="n">
        <v>-0.6908</v>
      </c>
      <c r="K1516" t="n">
        <v>0.32</v>
      </c>
      <c r="L1516" t="n">
        <v>0.5629999999999999</v>
      </c>
      <c r="M1516" t="n">
        <v>0.117</v>
      </c>
    </row>
    <row r="1517" spans="1:13">
      <c r="A1517" s="1">
        <f>HYPERLINK("http://www.twitter.com/NathanBLawrence/status/990284790405484544", "990284790405484544")</f>
        <v/>
      </c>
      <c r="B1517" s="2" t="n">
        <v>43218.73688657407</v>
      </c>
      <c r="C1517" t="n">
        <v>6</v>
      </c>
      <c r="D1517" t="n">
        <v>4</v>
      </c>
      <c r="E1517" t="s">
        <v>1527</v>
      </c>
      <c r="F1517" t="s"/>
      <c r="G1517" t="s"/>
      <c r="H1517" t="s"/>
      <c r="I1517" t="s"/>
      <c r="J1517" t="n">
        <v>-0.368</v>
      </c>
      <c r="K1517" t="n">
        <v>0.08500000000000001</v>
      </c>
      <c r="L1517" t="n">
        <v>0.861</v>
      </c>
      <c r="M1517" t="n">
        <v>0.054</v>
      </c>
    </row>
    <row r="1518" spans="1:13">
      <c r="A1518" s="1">
        <f>HYPERLINK("http://www.twitter.com/NathanBLawrence/status/990284050773561345", "990284050773561345")</f>
        <v/>
      </c>
      <c r="B1518" s="2" t="n">
        <v>43218.73483796296</v>
      </c>
      <c r="C1518" t="n">
        <v>0</v>
      </c>
      <c r="D1518" t="n">
        <v>8</v>
      </c>
      <c r="E1518" t="s">
        <v>1528</v>
      </c>
      <c r="F1518" t="s"/>
      <c r="G1518" t="s"/>
      <c r="H1518" t="s"/>
      <c r="I1518" t="s"/>
      <c r="J1518" t="n">
        <v>0</v>
      </c>
      <c r="K1518" t="n">
        <v>0</v>
      </c>
      <c r="L1518" t="n">
        <v>1</v>
      </c>
      <c r="M1518" t="n">
        <v>0</v>
      </c>
    </row>
    <row r="1519" spans="1:13">
      <c r="A1519" s="1">
        <f>HYPERLINK("http://www.twitter.com/NathanBLawrence/status/990283286814617600", "990283286814617600")</f>
        <v/>
      </c>
      <c r="B1519" s="2" t="n">
        <v>43218.73273148148</v>
      </c>
      <c r="C1519" t="n">
        <v>0</v>
      </c>
      <c r="D1519" t="n">
        <v>15</v>
      </c>
      <c r="E1519" t="s">
        <v>1529</v>
      </c>
      <c r="F1519">
        <f>HYPERLINK("http://pbs.twimg.com/media/Db4uD-YWAAAmp1Q.jpg", "http://pbs.twimg.com/media/Db4uD-YWAAAmp1Q.jpg")</f>
        <v/>
      </c>
      <c r="G1519" t="s"/>
      <c r="H1519" t="s"/>
      <c r="I1519" t="s"/>
      <c r="J1519" t="n">
        <v>0</v>
      </c>
      <c r="K1519" t="n">
        <v>0</v>
      </c>
      <c r="L1519" t="n">
        <v>1</v>
      </c>
      <c r="M1519" t="n">
        <v>0</v>
      </c>
    </row>
    <row r="1520" spans="1:13">
      <c r="A1520" s="1">
        <f>HYPERLINK("http://www.twitter.com/NathanBLawrence/status/990277399186198529", "990277399186198529")</f>
        <v/>
      </c>
      <c r="B1520" s="2" t="n">
        <v>43218.71649305556</v>
      </c>
      <c r="C1520" t="n">
        <v>0</v>
      </c>
      <c r="D1520" t="n">
        <v>0</v>
      </c>
      <c r="E1520" t="s">
        <v>1530</v>
      </c>
      <c r="F1520" t="s"/>
      <c r="G1520" t="s"/>
      <c r="H1520" t="s"/>
      <c r="I1520" t="s"/>
      <c r="J1520" t="n">
        <v>0.0772</v>
      </c>
      <c r="K1520" t="n">
        <v>0</v>
      </c>
      <c r="L1520" t="n">
        <v>0.902</v>
      </c>
      <c r="M1520" t="n">
        <v>0.098</v>
      </c>
    </row>
    <row r="1521" spans="1:13">
      <c r="A1521" s="1">
        <f>HYPERLINK("http://www.twitter.com/NathanBLawrence/status/990276683453337601", "990276683453337601")</f>
        <v/>
      </c>
      <c r="B1521" s="2" t="n">
        <v>43218.71451388889</v>
      </c>
      <c r="C1521" t="n">
        <v>0</v>
      </c>
      <c r="D1521" t="n">
        <v>2</v>
      </c>
      <c r="E1521" t="s">
        <v>1531</v>
      </c>
      <c r="F1521" t="s"/>
      <c r="G1521" t="s"/>
      <c r="H1521" t="s"/>
      <c r="I1521" t="s"/>
      <c r="J1521" t="n">
        <v>0.3804</v>
      </c>
      <c r="K1521" t="n">
        <v>0</v>
      </c>
      <c r="L1521" t="n">
        <v>0.885</v>
      </c>
      <c r="M1521" t="n">
        <v>0.115</v>
      </c>
    </row>
    <row r="1522" spans="1:13">
      <c r="A1522" s="1">
        <f>HYPERLINK("http://www.twitter.com/NathanBLawrence/status/990275179216556033", "990275179216556033")</f>
        <v/>
      </c>
      <c r="B1522" s="2" t="n">
        <v>43218.7103587963</v>
      </c>
      <c r="C1522" t="n">
        <v>0</v>
      </c>
      <c r="D1522" t="n">
        <v>10</v>
      </c>
      <c r="E1522" t="s">
        <v>1532</v>
      </c>
      <c r="F1522" t="s"/>
      <c r="G1522" t="s"/>
      <c r="H1522" t="s"/>
      <c r="I1522" t="s"/>
      <c r="J1522" t="n">
        <v>-0.4023</v>
      </c>
      <c r="K1522" t="n">
        <v>0.119</v>
      </c>
      <c r="L1522" t="n">
        <v>0.881</v>
      </c>
      <c r="M1522" t="n">
        <v>0</v>
      </c>
    </row>
    <row r="1523" spans="1:13">
      <c r="A1523" s="1">
        <f>HYPERLINK("http://www.twitter.com/NathanBLawrence/status/990275036987748353", "990275036987748353")</f>
        <v/>
      </c>
      <c r="B1523" s="2" t="n">
        <v>43218.70996527778</v>
      </c>
      <c r="C1523" t="n">
        <v>0</v>
      </c>
      <c r="D1523" t="n">
        <v>2</v>
      </c>
      <c r="E1523" t="s">
        <v>1533</v>
      </c>
      <c r="F1523" t="s"/>
      <c r="G1523" t="s"/>
      <c r="H1523" t="s"/>
      <c r="I1523" t="s"/>
      <c r="J1523" t="n">
        <v>0.3612</v>
      </c>
      <c r="K1523" t="n">
        <v>0</v>
      </c>
      <c r="L1523" t="n">
        <v>0.894</v>
      </c>
      <c r="M1523" t="n">
        <v>0.106</v>
      </c>
    </row>
    <row r="1524" spans="1:13">
      <c r="A1524" s="1">
        <f>HYPERLINK("http://www.twitter.com/NathanBLawrence/status/990275013918982144", "990275013918982144")</f>
        <v/>
      </c>
      <c r="B1524" s="2" t="n">
        <v>43218.70990740741</v>
      </c>
      <c r="C1524" t="n">
        <v>0</v>
      </c>
      <c r="D1524" t="n">
        <v>7</v>
      </c>
      <c r="E1524" t="s">
        <v>1534</v>
      </c>
      <c r="F1524" t="s"/>
      <c r="G1524" t="s"/>
      <c r="H1524" t="s"/>
      <c r="I1524" t="s"/>
      <c r="J1524" t="n">
        <v>0.6588000000000001</v>
      </c>
      <c r="K1524" t="n">
        <v>0</v>
      </c>
      <c r="L1524" t="n">
        <v>0.795</v>
      </c>
      <c r="M1524" t="n">
        <v>0.205</v>
      </c>
    </row>
    <row r="1525" spans="1:13">
      <c r="A1525" s="1">
        <f>HYPERLINK("http://www.twitter.com/NathanBLawrence/status/990258235356667904", "990258235356667904")</f>
        <v/>
      </c>
      <c r="B1525" s="2" t="n">
        <v>43218.66361111111</v>
      </c>
      <c r="C1525" t="n">
        <v>0</v>
      </c>
      <c r="D1525" t="n">
        <v>3</v>
      </c>
      <c r="E1525" t="s">
        <v>1535</v>
      </c>
      <c r="F1525" t="s"/>
      <c r="G1525" t="s"/>
      <c r="H1525" t="s"/>
      <c r="I1525" t="s"/>
      <c r="J1525" t="n">
        <v>-0.4559</v>
      </c>
      <c r="K1525" t="n">
        <v>0.162</v>
      </c>
      <c r="L1525" t="n">
        <v>0.741</v>
      </c>
      <c r="M1525" t="n">
        <v>0.098</v>
      </c>
    </row>
    <row r="1526" spans="1:13">
      <c r="A1526" s="1">
        <f>HYPERLINK("http://www.twitter.com/NathanBLawrence/status/990236144498630657", "990236144498630657")</f>
        <v/>
      </c>
      <c r="B1526" s="2" t="n">
        <v>43218.60265046296</v>
      </c>
      <c r="C1526" t="n">
        <v>0</v>
      </c>
      <c r="D1526" t="n">
        <v>2</v>
      </c>
      <c r="E1526" t="s">
        <v>1536</v>
      </c>
      <c r="F1526" t="s"/>
      <c r="G1526" t="s"/>
      <c r="H1526" t="s"/>
      <c r="I1526" t="s"/>
      <c r="J1526" t="n">
        <v>0.2023</v>
      </c>
      <c r="K1526" t="n">
        <v>0</v>
      </c>
      <c r="L1526" t="n">
        <v>0.927</v>
      </c>
      <c r="M1526" t="n">
        <v>0.073</v>
      </c>
    </row>
    <row r="1527" spans="1:13">
      <c r="A1527" s="1">
        <f>HYPERLINK("http://www.twitter.com/NathanBLawrence/status/990221071935717376", "990221071935717376")</f>
        <v/>
      </c>
      <c r="B1527" s="2" t="n">
        <v>43218.56105324074</v>
      </c>
      <c r="C1527" t="n">
        <v>0</v>
      </c>
      <c r="D1527" t="n">
        <v>1</v>
      </c>
      <c r="E1527" t="s">
        <v>1537</v>
      </c>
      <c r="F1527" t="s"/>
      <c r="G1527" t="s"/>
      <c r="H1527" t="s"/>
      <c r="I1527" t="s"/>
      <c r="J1527" t="n">
        <v>0.7088</v>
      </c>
      <c r="K1527" t="n">
        <v>0</v>
      </c>
      <c r="L1527" t="n">
        <v>0.704</v>
      </c>
      <c r="M1527" t="n">
        <v>0.296</v>
      </c>
    </row>
    <row r="1528" spans="1:13">
      <c r="A1528" s="1">
        <f>HYPERLINK("http://www.twitter.com/NathanBLawrence/status/990220694037385217", "990220694037385217")</f>
        <v/>
      </c>
      <c r="B1528" s="2" t="n">
        <v>43218.56001157407</v>
      </c>
      <c r="C1528" t="n">
        <v>0</v>
      </c>
      <c r="D1528" t="n">
        <v>1</v>
      </c>
      <c r="E1528" t="s">
        <v>1538</v>
      </c>
      <c r="F1528" t="s"/>
      <c r="G1528" t="s"/>
      <c r="H1528" t="s"/>
      <c r="I1528" t="s"/>
      <c r="J1528" t="n">
        <v>0.0431</v>
      </c>
      <c r="K1528" t="n">
        <v>0.191</v>
      </c>
      <c r="L1528" t="n">
        <v>0.613</v>
      </c>
      <c r="M1528" t="n">
        <v>0.196</v>
      </c>
    </row>
    <row r="1529" spans="1:13">
      <c r="A1529" s="1">
        <f>HYPERLINK("http://www.twitter.com/NathanBLawrence/status/990218002925801473", "990218002925801473")</f>
        <v/>
      </c>
      <c r="B1529" s="2" t="n">
        <v>43218.55258101852</v>
      </c>
      <c r="C1529" t="n">
        <v>0</v>
      </c>
      <c r="D1529" t="n">
        <v>2</v>
      </c>
      <c r="E1529" t="s">
        <v>1539</v>
      </c>
      <c r="F1529">
        <f>HYPERLINK("http://pbs.twimg.com/media/Db1CsmbWAAEOvC6.jpg", "http://pbs.twimg.com/media/Db1CsmbWAAEOvC6.jpg")</f>
        <v/>
      </c>
      <c r="G1529" t="s"/>
      <c r="H1529" t="s"/>
      <c r="I1529" t="s"/>
      <c r="J1529" t="n">
        <v>-0.1027</v>
      </c>
      <c r="K1529" t="n">
        <v>0.228</v>
      </c>
      <c r="L1529" t="n">
        <v>0.57</v>
      </c>
      <c r="M1529" t="n">
        <v>0.203</v>
      </c>
    </row>
    <row r="1530" spans="1:13">
      <c r="A1530" s="1">
        <f>HYPERLINK("http://www.twitter.com/NathanBLawrence/status/990213682830430208", "990213682830430208")</f>
        <v/>
      </c>
      <c r="B1530" s="2" t="n">
        <v>43218.54065972222</v>
      </c>
      <c r="C1530" t="n">
        <v>0</v>
      </c>
      <c r="D1530" t="n">
        <v>1</v>
      </c>
      <c r="E1530" t="s">
        <v>1540</v>
      </c>
      <c r="F1530" t="s"/>
      <c r="G1530" t="s"/>
      <c r="H1530" t="s"/>
      <c r="I1530" t="s"/>
      <c r="J1530" t="n">
        <v>-0.3182</v>
      </c>
      <c r="K1530" t="n">
        <v>0.103</v>
      </c>
      <c r="L1530" t="n">
        <v>0.897</v>
      </c>
      <c r="M1530" t="n">
        <v>0</v>
      </c>
    </row>
    <row r="1531" spans="1:13">
      <c r="A1531" s="1">
        <f>HYPERLINK("http://www.twitter.com/NathanBLawrence/status/990213364445007877", "990213364445007877")</f>
        <v/>
      </c>
      <c r="B1531" s="2" t="n">
        <v>43218.53979166667</v>
      </c>
      <c r="C1531" t="n">
        <v>0</v>
      </c>
      <c r="D1531" t="n">
        <v>4</v>
      </c>
      <c r="E1531" t="s">
        <v>1541</v>
      </c>
      <c r="F1531" t="s"/>
      <c r="G1531" t="s"/>
      <c r="H1531" t="s"/>
      <c r="I1531" t="s"/>
      <c r="J1531" t="n">
        <v>0.4574</v>
      </c>
      <c r="K1531" t="n">
        <v>0.077</v>
      </c>
      <c r="L1531" t="n">
        <v>0.772</v>
      </c>
      <c r="M1531" t="n">
        <v>0.15</v>
      </c>
    </row>
    <row r="1532" spans="1:13">
      <c r="A1532" s="1">
        <f>HYPERLINK("http://www.twitter.com/NathanBLawrence/status/990210226853990400", "990210226853990400")</f>
        <v/>
      </c>
      <c r="B1532" s="2" t="n">
        <v>43218.53112268518</v>
      </c>
      <c r="C1532" t="n">
        <v>3</v>
      </c>
      <c r="D1532" t="n">
        <v>3</v>
      </c>
      <c r="E1532" t="s">
        <v>1542</v>
      </c>
      <c r="F1532" t="s"/>
      <c r="G1532" t="s"/>
      <c r="H1532" t="s"/>
      <c r="I1532" t="s"/>
      <c r="J1532" t="n">
        <v>-0.8646</v>
      </c>
      <c r="K1532" t="n">
        <v>0.201</v>
      </c>
      <c r="L1532" t="n">
        <v>0.775</v>
      </c>
      <c r="M1532" t="n">
        <v>0.024</v>
      </c>
    </row>
    <row r="1533" spans="1:13">
      <c r="A1533" s="1">
        <f>HYPERLINK("http://www.twitter.com/NathanBLawrence/status/990206615063318528", "990206615063318528")</f>
        <v/>
      </c>
      <c r="B1533" s="2" t="n">
        <v>43218.52115740741</v>
      </c>
      <c r="C1533" t="n">
        <v>1</v>
      </c>
      <c r="D1533" t="n">
        <v>1</v>
      </c>
      <c r="E1533" t="s">
        <v>1543</v>
      </c>
      <c r="F1533" t="s"/>
      <c r="G1533" t="s"/>
      <c r="H1533" t="s"/>
      <c r="I1533" t="s"/>
      <c r="J1533" t="n">
        <v>-0.6705</v>
      </c>
      <c r="K1533" t="n">
        <v>0.26</v>
      </c>
      <c r="L1533" t="n">
        <v>0.65</v>
      </c>
      <c r="M1533" t="n">
        <v>0.09</v>
      </c>
    </row>
    <row r="1534" spans="1:13">
      <c r="A1534" s="1">
        <f>HYPERLINK("http://www.twitter.com/NathanBLawrence/status/990203984781758464", "990203984781758464")</f>
        <v/>
      </c>
      <c r="B1534" s="2" t="n">
        <v>43218.51390046296</v>
      </c>
      <c r="C1534" t="n">
        <v>1</v>
      </c>
      <c r="D1534" t="n">
        <v>0</v>
      </c>
      <c r="E1534" t="s">
        <v>1544</v>
      </c>
      <c r="F1534" t="s"/>
      <c r="G1534" t="s"/>
      <c r="H1534" t="s"/>
      <c r="I1534" t="s"/>
      <c r="J1534" t="n">
        <v>0.5719</v>
      </c>
      <c r="K1534" t="n">
        <v>0.077</v>
      </c>
      <c r="L1534" t="n">
        <v>0.771</v>
      </c>
      <c r="M1534" t="n">
        <v>0.152</v>
      </c>
    </row>
    <row r="1535" spans="1:13">
      <c r="A1535" s="1">
        <f>HYPERLINK("http://www.twitter.com/NathanBLawrence/status/990203552156012544", "990203552156012544")</f>
        <v/>
      </c>
      <c r="B1535" s="2" t="n">
        <v>43218.51270833334</v>
      </c>
      <c r="C1535" t="n">
        <v>0</v>
      </c>
      <c r="D1535" t="n">
        <v>1</v>
      </c>
      <c r="E1535" t="s">
        <v>1545</v>
      </c>
      <c r="F1535" t="s"/>
      <c r="G1535" t="s"/>
      <c r="H1535" t="s"/>
      <c r="I1535" t="s"/>
      <c r="J1535" t="n">
        <v>0</v>
      </c>
      <c r="K1535" t="n">
        <v>0</v>
      </c>
      <c r="L1535" t="n">
        <v>1</v>
      </c>
      <c r="M1535" t="n">
        <v>0</v>
      </c>
    </row>
    <row r="1536" spans="1:13">
      <c r="A1536" s="1">
        <f>HYPERLINK("http://www.twitter.com/NathanBLawrence/status/990043594357690369", "990043594357690369")</f>
        <v/>
      </c>
      <c r="B1536" s="2" t="n">
        <v>43218.07130787037</v>
      </c>
      <c r="C1536" t="n">
        <v>2</v>
      </c>
      <c r="D1536" t="n">
        <v>0</v>
      </c>
      <c r="E1536" t="s">
        <v>1546</v>
      </c>
      <c r="F1536" t="s"/>
      <c r="G1536" t="s"/>
      <c r="H1536" t="s"/>
      <c r="I1536" t="s"/>
      <c r="J1536" t="n">
        <v>-0.6408</v>
      </c>
      <c r="K1536" t="n">
        <v>0.32</v>
      </c>
      <c r="L1536" t="n">
        <v>0.68</v>
      </c>
      <c r="M1536" t="n">
        <v>0</v>
      </c>
    </row>
    <row r="1537" spans="1:13">
      <c r="A1537" s="1">
        <f>HYPERLINK("http://www.twitter.com/NathanBLawrence/status/990042883653857280", "990042883653857280")</f>
        <v/>
      </c>
      <c r="B1537" s="2" t="n">
        <v>43218.06935185185</v>
      </c>
      <c r="C1537" t="n">
        <v>0</v>
      </c>
      <c r="D1537" t="n">
        <v>0</v>
      </c>
      <c r="E1537" t="s">
        <v>1547</v>
      </c>
      <c r="F1537" t="s"/>
      <c r="G1537" t="s"/>
      <c r="H1537" t="s"/>
      <c r="I1537" t="s"/>
      <c r="J1537" t="n">
        <v>-0.4508</v>
      </c>
      <c r="K1537" t="n">
        <v>0.372</v>
      </c>
      <c r="L1537" t="n">
        <v>0.628</v>
      </c>
      <c r="M1537" t="n">
        <v>0</v>
      </c>
    </row>
    <row r="1538" spans="1:13">
      <c r="A1538" s="1">
        <f>HYPERLINK("http://www.twitter.com/NathanBLawrence/status/990042546171768834", "990042546171768834")</f>
        <v/>
      </c>
      <c r="B1538" s="2" t="n">
        <v>43218.06841435185</v>
      </c>
      <c r="C1538" t="n">
        <v>0</v>
      </c>
      <c r="D1538" t="n">
        <v>17</v>
      </c>
      <c r="E1538" t="s">
        <v>1548</v>
      </c>
      <c r="F1538" t="s"/>
      <c r="G1538" t="s"/>
      <c r="H1538" t="s"/>
      <c r="I1538" t="s"/>
      <c r="J1538" t="n">
        <v>0</v>
      </c>
      <c r="K1538" t="n">
        <v>0</v>
      </c>
      <c r="L1538" t="n">
        <v>1</v>
      </c>
      <c r="M1538" t="n">
        <v>0</v>
      </c>
    </row>
    <row r="1539" spans="1:13">
      <c r="A1539" s="1">
        <f>HYPERLINK("http://www.twitter.com/NathanBLawrence/status/989999956349128706", "989999956349128706")</f>
        <v/>
      </c>
      <c r="B1539" s="2" t="n">
        <v>43217.95089120371</v>
      </c>
      <c r="C1539" t="n">
        <v>0</v>
      </c>
      <c r="D1539" t="n">
        <v>5</v>
      </c>
      <c r="E1539" t="s">
        <v>1549</v>
      </c>
      <c r="F1539" t="s"/>
      <c r="G1539" t="s"/>
      <c r="H1539" t="s"/>
      <c r="I1539" t="s"/>
      <c r="J1539" t="n">
        <v>0.2163</v>
      </c>
      <c r="K1539" t="n">
        <v>0.189</v>
      </c>
      <c r="L1539" t="n">
        <v>0.594</v>
      </c>
      <c r="M1539" t="n">
        <v>0.217</v>
      </c>
    </row>
    <row r="1540" spans="1:13">
      <c r="A1540" s="1">
        <f>HYPERLINK("http://www.twitter.com/NathanBLawrence/status/989995466963279874", "989995466963279874")</f>
        <v/>
      </c>
      <c r="B1540" s="2" t="n">
        <v>43217.93850694445</v>
      </c>
      <c r="C1540" t="n">
        <v>0</v>
      </c>
      <c r="D1540" t="n">
        <v>2</v>
      </c>
      <c r="E1540" t="s">
        <v>1550</v>
      </c>
      <c r="F1540" t="s"/>
      <c r="G1540" t="s"/>
      <c r="H1540" t="s"/>
      <c r="I1540" t="s"/>
      <c r="J1540" t="n">
        <v>0.2023</v>
      </c>
      <c r="K1540" t="n">
        <v>0</v>
      </c>
      <c r="L1540" t="n">
        <v>0.896</v>
      </c>
      <c r="M1540" t="n">
        <v>0.104</v>
      </c>
    </row>
    <row r="1541" spans="1:13">
      <c r="A1541" s="1">
        <f>HYPERLINK("http://www.twitter.com/NathanBLawrence/status/989988513604161536", "989988513604161536")</f>
        <v/>
      </c>
      <c r="B1541" s="2" t="n">
        <v>43217.91931712963</v>
      </c>
      <c r="C1541" t="n">
        <v>1</v>
      </c>
      <c r="D1541" t="n">
        <v>0</v>
      </c>
      <c r="E1541" t="s">
        <v>1551</v>
      </c>
      <c r="F1541" t="s"/>
      <c r="G1541" t="s"/>
      <c r="H1541" t="s"/>
      <c r="I1541" t="s"/>
      <c r="J1541" t="n">
        <v>0</v>
      </c>
      <c r="K1541" t="n">
        <v>0</v>
      </c>
      <c r="L1541" t="n">
        <v>1</v>
      </c>
      <c r="M1541" t="n">
        <v>0</v>
      </c>
    </row>
    <row r="1542" spans="1:13">
      <c r="A1542" s="1">
        <f>HYPERLINK("http://www.twitter.com/NathanBLawrence/status/989987449387606018", "989987449387606018")</f>
        <v/>
      </c>
      <c r="B1542" s="2" t="n">
        <v>43217.91637731482</v>
      </c>
      <c r="C1542" t="n">
        <v>0</v>
      </c>
      <c r="D1542" t="n">
        <v>1</v>
      </c>
      <c r="E1542" t="s">
        <v>1552</v>
      </c>
      <c r="F1542" t="s"/>
      <c r="G1542" t="s"/>
      <c r="H1542" t="s"/>
      <c r="I1542" t="s"/>
      <c r="J1542" t="n">
        <v>0</v>
      </c>
      <c r="K1542" t="n">
        <v>0</v>
      </c>
      <c r="L1542" t="n">
        <v>1</v>
      </c>
      <c r="M1542" t="n">
        <v>0</v>
      </c>
    </row>
    <row r="1543" spans="1:13">
      <c r="A1543" s="1">
        <f>HYPERLINK("http://www.twitter.com/NathanBLawrence/status/989986862260506625", "989986862260506625")</f>
        <v/>
      </c>
      <c r="B1543" s="2" t="n">
        <v>43217.91475694445</v>
      </c>
      <c r="C1543" t="n">
        <v>7</v>
      </c>
      <c r="D1543" t="n">
        <v>3</v>
      </c>
      <c r="E1543" t="s">
        <v>1553</v>
      </c>
      <c r="F1543" t="s"/>
      <c r="G1543" t="s"/>
      <c r="H1543" t="s"/>
      <c r="I1543" t="s"/>
      <c r="J1543" t="n">
        <v>0.6486</v>
      </c>
      <c r="K1543" t="n">
        <v>0.029</v>
      </c>
      <c r="L1543" t="n">
        <v>0.881</v>
      </c>
      <c r="M1543" t="n">
        <v>0.09</v>
      </c>
    </row>
    <row r="1544" spans="1:13">
      <c r="A1544" s="1">
        <f>HYPERLINK("http://www.twitter.com/NathanBLawrence/status/989986614268055552", "989986614268055552")</f>
        <v/>
      </c>
      <c r="B1544" s="2" t="n">
        <v>43217.91407407408</v>
      </c>
      <c r="C1544" t="n">
        <v>3</v>
      </c>
      <c r="D1544" t="n">
        <v>2</v>
      </c>
      <c r="E1544" t="s">
        <v>1554</v>
      </c>
      <c r="F1544" t="s"/>
      <c r="G1544" t="s"/>
      <c r="H1544" t="s"/>
      <c r="I1544" t="s"/>
      <c r="J1544" t="n">
        <v>0.6486</v>
      </c>
      <c r="K1544" t="n">
        <v>0.028</v>
      </c>
      <c r="L1544" t="n">
        <v>0.887</v>
      </c>
      <c r="M1544" t="n">
        <v>0.08500000000000001</v>
      </c>
    </row>
    <row r="1545" spans="1:13">
      <c r="A1545" s="1">
        <f>HYPERLINK("http://www.twitter.com/NathanBLawrence/status/989984275901616128", "989984275901616128")</f>
        <v/>
      </c>
      <c r="B1545" s="2" t="n">
        <v>43217.90762731482</v>
      </c>
      <c r="C1545" t="n">
        <v>0</v>
      </c>
      <c r="D1545" t="n">
        <v>4</v>
      </c>
      <c r="E1545" t="s">
        <v>1555</v>
      </c>
      <c r="F1545" t="s"/>
      <c r="G1545" t="s"/>
      <c r="H1545" t="s"/>
      <c r="I1545" t="s"/>
      <c r="J1545" t="n">
        <v>0.516</v>
      </c>
      <c r="K1545" t="n">
        <v>0</v>
      </c>
      <c r="L1545" t="n">
        <v>0.8179999999999999</v>
      </c>
      <c r="M1545" t="n">
        <v>0.182</v>
      </c>
    </row>
    <row r="1546" spans="1:13">
      <c r="A1546" s="1">
        <f>HYPERLINK("http://www.twitter.com/NathanBLawrence/status/989984245845319680", "989984245845319680")</f>
        <v/>
      </c>
      <c r="B1546" s="2" t="n">
        <v>43217.90753472222</v>
      </c>
      <c r="C1546" t="n">
        <v>0</v>
      </c>
      <c r="D1546" t="n">
        <v>2</v>
      </c>
      <c r="E1546" t="s">
        <v>1556</v>
      </c>
      <c r="F1546" t="s"/>
      <c r="G1546" t="s"/>
      <c r="H1546" t="s"/>
      <c r="I1546" t="s"/>
      <c r="J1546" t="n">
        <v>-0.4215</v>
      </c>
      <c r="K1546" t="n">
        <v>0.151</v>
      </c>
      <c r="L1546" t="n">
        <v>0.78</v>
      </c>
      <c r="M1546" t="n">
        <v>0.06900000000000001</v>
      </c>
    </row>
    <row r="1547" spans="1:13">
      <c r="A1547" s="1">
        <f>HYPERLINK("http://www.twitter.com/NathanBLawrence/status/989984212282494976", "989984212282494976")</f>
        <v/>
      </c>
      <c r="B1547" s="2" t="n">
        <v>43217.90744212963</v>
      </c>
      <c r="C1547" t="n">
        <v>0</v>
      </c>
      <c r="D1547" t="n">
        <v>3</v>
      </c>
      <c r="E1547" t="s">
        <v>1557</v>
      </c>
      <c r="F1547" t="s"/>
      <c r="G1547" t="s"/>
      <c r="H1547" t="s"/>
      <c r="I1547" t="s"/>
      <c r="J1547" t="n">
        <v>0</v>
      </c>
      <c r="K1547" t="n">
        <v>0</v>
      </c>
      <c r="L1547" t="n">
        <v>1</v>
      </c>
      <c r="M1547" t="n">
        <v>0</v>
      </c>
    </row>
    <row r="1548" spans="1:13">
      <c r="A1548" s="1">
        <f>HYPERLINK("http://www.twitter.com/NathanBLawrence/status/989983068705443840", "989983068705443840")</f>
        <v/>
      </c>
      <c r="B1548" s="2" t="n">
        <v>43217.90429398148</v>
      </c>
      <c r="C1548" t="n">
        <v>0</v>
      </c>
      <c r="D1548" t="n">
        <v>6</v>
      </c>
      <c r="E1548" t="s">
        <v>1558</v>
      </c>
      <c r="F1548">
        <f>HYPERLINK("http://pbs.twimg.com/media/DbzX_fxXUAAI5Bd.jpg", "http://pbs.twimg.com/media/DbzX_fxXUAAI5Bd.jpg")</f>
        <v/>
      </c>
      <c r="G1548" t="s"/>
      <c r="H1548" t="s"/>
      <c r="I1548" t="s"/>
      <c r="J1548" t="n">
        <v>0.2263</v>
      </c>
      <c r="K1548" t="n">
        <v>0</v>
      </c>
      <c r="L1548" t="n">
        <v>0.905</v>
      </c>
      <c r="M1548" t="n">
        <v>0.095</v>
      </c>
    </row>
    <row r="1549" spans="1:13">
      <c r="A1549" s="1">
        <f>HYPERLINK("http://www.twitter.com/NathanBLawrence/status/989982633517035520", "989982633517035520")</f>
        <v/>
      </c>
      <c r="B1549" s="2" t="n">
        <v>43217.90309027778</v>
      </c>
      <c r="C1549" t="n">
        <v>0</v>
      </c>
      <c r="D1549" t="n">
        <v>2</v>
      </c>
      <c r="E1549" t="s">
        <v>1559</v>
      </c>
      <c r="F1549" t="s"/>
      <c r="G1549" t="s"/>
      <c r="H1549" t="s"/>
      <c r="I1549" t="s"/>
      <c r="J1549" t="n">
        <v>-0.7906</v>
      </c>
      <c r="K1549" t="n">
        <v>0.304</v>
      </c>
      <c r="L1549" t="n">
        <v>0.696</v>
      </c>
      <c r="M1549" t="n">
        <v>0</v>
      </c>
    </row>
    <row r="1550" spans="1:13">
      <c r="A1550" s="1">
        <f>HYPERLINK("http://www.twitter.com/NathanBLawrence/status/989982469192642560", "989982469192642560")</f>
        <v/>
      </c>
      <c r="B1550" s="2" t="n">
        <v>43217.90263888889</v>
      </c>
      <c r="C1550" t="n">
        <v>0</v>
      </c>
      <c r="D1550" t="n">
        <v>4</v>
      </c>
      <c r="E1550" t="s">
        <v>1560</v>
      </c>
      <c r="F1550" t="s"/>
      <c r="G1550" t="s"/>
      <c r="H1550" t="s"/>
      <c r="I1550" t="s"/>
      <c r="J1550" t="n">
        <v>-0.2533</v>
      </c>
      <c r="K1550" t="n">
        <v>0.135</v>
      </c>
      <c r="L1550" t="n">
        <v>0.803</v>
      </c>
      <c r="M1550" t="n">
        <v>0.062</v>
      </c>
    </row>
    <row r="1551" spans="1:13">
      <c r="A1551" s="1">
        <f>HYPERLINK("http://www.twitter.com/NathanBLawrence/status/989954643517169664", "989954643517169664")</f>
        <v/>
      </c>
      <c r="B1551" s="2" t="n">
        <v>43217.82585648148</v>
      </c>
      <c r="C1551" t="n">
        <v>0</v>
      </c>
      <c r="D1551" t="n">
        <v>0</v>
      </c>
      <c r="E1551" t="s">
        <v>1561</v>
      </c>
      <c r="F1551" t="s"/>
      <c r="G1551" t="s"/>
      <c r="H1551" t="s"/>
      <c r="I1551" t="s"/>
      <c r="J1551" t="n">
        <v>0.7039</v>
      </c>
      <c r="K1551" t="n">
        <v>0.036</v>
      </c>
      <c r="L1551" t="n">
        <v>0.8179999999999999</v>
      </c>
      <c r="M1551" t="n">
        <v>0.145</v>
      </c>
    </row>
    <row r="1552" spans="1:13">
      <c r="A1552" s="1">
        <f>HYPERLINK("http://www.twitter.com/NathanBLawrence/status/989953972499832833", "989953972499832833")</f>
        <v/>
      </c>
      <c r="B1552" s="2" t="n">
        <v>43217.82400462963</v>
      </c>
      <c r="C1552" t="n">
        <v>0</v>
      </c>
      <c r="D1552" t="n">
        <v>9</v>
      </c>
      <c r="E1552" t="s">
        <v>1562</v>
      </c>
      <c r="F1552" t="s"/>
      <c r="G1552" t="s"/>
      <c r="H1552" t="s"/>
      <c r="I1552" t="s"/>
      <c r="J1552" t="n">
        <v>0</v>
      </c>
      <c r="K1552" t="n">
        <v>0</v>
      </c>
      <c r="L1552" t="n">
        <v>1</v>
      </c>
      <c r="M1552" t="n">
        <v>0</v>
      </c>
    </row>
    <row r="1553" spans="1:13">
      <c r="A1553" s="1">
        <f>HYPERLINK("http://www.twitter.com/NathanBLawrence/status/989953045655162880", "989953045655162880")</f>
        <v/>
      </c>
      <c r="B1553" s="2" t="n">
        <v>43217.82144675926</v>
      </c>
      <c r="C1553" t="n">
        <v>4</v>
      </c>
      <c r="D1553" t="n">
        <v>0</v>
      </c>
      <c r="E1553" t="s">
        <v>1563</v>
      </c>
      <c r="F1553" t="s"/>
      <c r="G1553" t="s"/>
      <c r="H1553" t="s"/>
      <c r="I1553" t="s"/>
      <c r="J1553" t="n">
        <v>0.8176</v>
      </c>
      <c r="K1553" t="n">
        <v>0</v>
      </c>
      <c r="L1553" t="n">
        <v>0.638</v>
      </c>
      <c r="M1553" t="n">
        <v>0.362</v>
      </c>
    </row>
    <row r="1554" spans="1:13">
      <c r="A1554" s="1">
        <f>HYPERLINK("http://www.twitter.com/NathanBLawrence/status/989945633183358976", "989945633183358976")</f>
        <v/>
      </c>
      <c r="B1554" s="2" t="n">
        <v>43217.8009837963</v>
      </c>
      <c r="C1554" t="n">
        <v>0</v>
      </c>
      <c r="D1554" t="n">
        <v>0</v>
      </c>
      <c r="E1554" t="s">
        <v>1564</v>
      </c>
      <c r="F1554" t="s"/>
      <c r="G1554" t="s"/>
      <c r="H1554" t="s"/>
      <c r="I1554" t="s"/>
      <c r="J1554" t="n">
        <v>0.2263</v>
      </c>
      <c r="K1554" t="n">
        <v>0</v>
      </c>
      <c r="L1554" t="n">
        <v>0.84</v>
      </c>
      <c r="M1554" t="n">
        <v>0.16</v>
      </c>
    </row>
    <row r="1555" spans="1:13">
      <c r="A1555" s="1">
        <f>HYPERLINK("http://www.twitter.com/NathanBLawrence/status/989943790080282625", "989943790080282625")</f>
        <v/>
      </c>
      <c r="B1555" s="2" t="n">
        <v>43217.79590277778</v>
      </c>
      <c r="C1555" t="n">
        <v>0</v>
      </c>
      <c r="D1555" t="n">
        <v>5</v>
      </c>
      <c r="E1555" t="s">
        <v>1565</v>
      </c>
      <c r="F1555" t="s"/>
      <c r="G1555" t="s"/>
      <c r="H1555" t="s"/>
      <c r="I1555" t="s"/>
      <c r="J1555" t="n">
        <v>-0.411</v>
      </c>
      <c r="K1555" t="n">
        <v>0.249</v>
      </c>
      <c r="L1555" t="n">
        <v>0.5669999999999999</v>
      </c>
      <c r="M1555" t="n">
        <v>0.183</v>
      </c>
    </row>
    <row r="1556" spans="1:13">
      <c r="A1556" s="1">
        <f>HYPERLINK("http://www.twitter.com/NathanBLawrence/status/989942841060347904", "989942841060347904")</f>
        <v/>
      </c>
      <c r="B1556" s="2" t="n">
        <v>43217.79328703704</v>
      </c>
      <c r="C1556" t="n">
        <v>0</v>
      </c>
      <c r="D1556" t="n">
        <v>0</v>
      </c>
      <c r="E1556" t="s">
        <v>1566</v>
      </c>
      <c r="F1556" t="s"/>
      <c r="G1556" t="s"/>
      <c r="H1556" t="s"/>
      <c r="I1556" t="s"/>
      <c r="J1556" t="n">
        <v>0</v>
      </c>
      <c r="K1556" t="n">
        <v>0</v>
      </c>
      <c r="L1556" t="n">
        <v>1</v>
      </c>
      <c r="M1556" t="n">
        <v>0</v>
      </c>
    </row>
    <row r="1557" spans="1:13">
      <c r="A1557" s="1">
        <f>HYPERLINK("http://www.twitter.com/NathanBLawrence/status/989942075704725505", "989942075704725505")</f>
        <v/>
      </c>
      <c r="B1557" s="2" t="n">
        <v>43217.79116898148</v>
      </c>
      <c r="C1557" t="n">
        <v>0</v>
      </c>
      <c r="D1557" t="n">
        <v>0</v>
      </c>
      <c r="E1557" t="s">
        <v>1567</v>
      </c>
      <c r="F1557" t="s"/>
      <c r="G1557" t="s"/>
      <c r="H1557" t="s"/>
      <c r="I1557" t="s"/>
      <c r="J1557" t="n">
        <v>-0.9499</v>
      </c>
      <c r="K1557" t="n">
        <v>0.344</v>
      </c>
      <c r="L1557" t="n">
        <v>0.54</v>
      </c>
      <c r="M1557" t="n">
        <v>0.116</v>
      </c>
    </row>
    <row r="1558" spans="1:13">
      <c r="A1558" s="1">
        <f>HYPERLINK("http://www.twitter.com/NathanBLawrence/status/989940663289614336", "989940663289614336")</f>
        <v/>
      </c>
      <c r="B1558" s="2" t="n">
        <v>43217.78726851852</v>
      </c>
      <c r="C1558" t="n">
        <v>0</v>
      </c>
      <c r="D1558" t="n">
        <v>0</v>
      </c>
      <c r="E1558" t="s">
        <v>1568</v>
      </c>
      <c r="F1558" t="s"/>
      <c r="G1558" t="s"/>
      <c r="H1558" t="s"/>
      <c r="I1558" t="s"/>
      <c r="J1558" t="n">
        <v>-0.2023</v>
      </c>
      <c r="K1558" t="n">
        <v>0.052</v>
      </c>
      <c r="L1558" t="n">
        <v>0.916</v>
      </c>
      <c r="M1558" t="n">
        <v>0.032</v>
      </c>
    </row>
    <row r="1559" spans="1:13">
      <c r="A1559" s="1">
        <f>HYPERLINK("http://www.twitter.com/NathanBLawrence/status/989932284345290752", "989932284345290752")</f>
        <v/>
      </c>
      <c r="B1559" s="2" t="n">
        <v>43217.76415509259</v>
      </c>
      <c r="C1559" t="n">
        <v>2</v>
      </c>
      <c r="D1559" t="n">
        <v>1</v>
      </c>
      <c r="E1559" t="s">
        <v>1569</v>
      </c>
      <c r="F1559" t="s"/>
      <c r="G1559" t="s"/>
      <c r="H1559" t="s"/>
      <c r="I1559" t="s"/>
      <c r="J1559" t="n">
        <v>0</v>
      </c>
      <c r="K1559" t="n">
        <v>0.108</v>
      </c>
      <c r="L1559" t="n">
        <v>0.783</v>
      </c>
      <c r="M1559" t="n">
        <v>0.108</v>
      </c>
    </row>
    <row r="1560" spans="1:13">
      <c r="A1560" s="1">
        <f>HYPERLINK("http://www.twitter.com/NathanBLawrence/status/989925891001274368", "989925891001274368")</f>
        <v/>
      </c>
      <c r="B1560" s="2" t="n">
        <v>43217.7465162037</v>
      </c>
      <c r="C1560" t="n">
        <v>0</v>
      </c>
      <c r="D1560" t="n">
        <v>0</v>
      </c>
      <c r="E1560" t="s">
        <v>1570</v>
      </c>
      <c r="F1560" t="s"/>
      <c r="G1560" t="s"/>
      <c r="H1560" t="s"/>
      <c r="I1560" t="s"/>
      <c r="J1560" t="n">
        <v>-0.9042</v>
      </c>
      <c r="K1560" t="n">
        <v>0.276</v>
      </c>
      <c r="L1560" t="n">
        <v>0.724</v>
      </c>
      <c r="M1560" t="n">
        <v>0</v>
      </c>
    </row>
    <row r="1561" spans="1:13">
      <c r="A1561" s="1">
        <f>HYPERLINK("http://www.twitter.com/NathanBLawrence/status/989924986965065728", "989924986965065728")</f>
        <v/>
      </c>
      <c r="B1561" s="2" t="n">
        <v>43217.7440162037</v>
      </c>
      <c r="C1561" t="n">
        <v>3</v>
      </c>
      <c r="D1561" t="n">
        <v>2</v>
      </c>
      <c r="E1561" t="s">
        <v>1571</v>
      </c>
      <c r="F1561" t="s"/>
      <c r="G1561" t="s"/>
      <c r="H1561" t="s"/>
      <c r="I1561" t="s"/>
      <c r="J1561" t="n">
        <v>-0.9614</v>
      </c>
      <c r="K1561" t="n">
        <v>0.377</v>
      </c>
      <c r="L1561" t="n">
        <v>0.623</v>
      </c>
      <c r="M1561" t="n">
        <v>0</v>
      </c>
    </row>
    <row r="1562" spans="1:13">
      <c r="A1562" s="1">
        <f>HYPERLINK("http://www.twitter.com/NathanBLawrence/status/989921432523157510", "989921432523157510")</f>
        <v/>
      </c>
      <c r="B1562" s="2" t="n">
        <v>43217.73421296296</v>
      </c>
      <c r="C1562" t="n">
        <v>0</v>
      </c>
      <c r="D1562" t="n">
        <v>0</v>
      </c>
      <c r="E1562" t="s">
        <v>1572</v>
      </c>
      <c r="F1562" t="s"/>
      <c r="G1562" t="s"/>
      <c r="H1562" t="s"/>
      <c r="I1562" t="s"/>
      <c r="J1562" t="n">
        <v>0.4404</v>
      </c>
      <c r="K1562" t="n">
        <v>0</v>
      </c>
      <c r="L1562" t="n">
        <v>0.923</v>
      </c>
      <c r="M1562" t="n">
        <v>0.077</v>
      </c>
    </row>
    <row r="1563" spans="1:13">
      <c r="A1563" s="1">
        <f>HYPERLINK("http://www.twitter.com/NathanBLawrence/status/989918236236972034", "989918236236972034")</f>
        <v/>
      </c>
      <c r="B1563" s="2" t="n">
        <v>43217.72538194444</v>
      </c>
      <c r="C1563" t="n">
        <v>0</v>
      </c>
      <c r="D1563" t="n">
        <v>822</v>
      </c>
      <c r="E1563" t="s">
        <v>1573</v>
      </c>
      <c r="F1563">
        <f>HYPERLINK("https://video.twimg.com/amplify_video/989841818312413185/vid/1280x720/vdTzYLs8VhR4Wh1i.mp4?tag=2", "https://video.twimg.com/amplify_video/989841818312413185/vid/1280x720/vdTzYLs8VhR4Wh1i.mp4?tag=2")</f>
        <v/>
      </c>
      <c r="G1563" t="s"/>
      <c r="H1563" t="s"/>
      <c r="I1563" t="s"/>
      <c r="J1563" t="n">
        <v>0.296</v>
      </c>
      <c r="K1563" t="n">
        <v>0.06900000000000001</v>
      </c>
      <c r="L1563" t="n">
        <v>0.8129999999999999</v>
      </c>
      <c r="M1563" t="n">
        <v>0.118</v>
      </c>
    </row>
    <row r="1564" spans="1:13">
      <c r="A1564" s="1">
        <f>HYPERLINK("http://www.twitter.com/NathanBLawrence/status/989916087855865857", "989916087855865857")</f>
        <v/>
      </c>
      <c r="B1564" s="2" t="n">
        <v>43217.71945601852</v>
      </c>
      <c r="C1564" t="n">
        <v>0</v>
      </c>
      <c r="D1564" t="n">
        <v>38</v>
      </c>
      <c r="E1564" t="s">
        <v>1574</v>
      </c>
      <c r="F1564">
        <f>HYPERLINK("http://pbs.twimg.com/media/DbwtcplU8AEWq-6.jpg", "http://pbs.twimg.com/media/DbwtcplU8AEWq-6.jpg")</f>
        <v/>
      </c>
      <c r="G1564" t="s"/>
      <c r="H1564" t="s"/>
      <c r="I1564" t="s"/>
      <c r="J1564" t="n">
        <v>0.7985</v>
      </c>
      <c r="K1564" t="n">
        <v>0.118</v>
      </c>
      <c r="L1564" t="n">
        <v>0.577</v>
      </c>
      <c r="M1564" t="n">
        <v>0.305</v>
      </c>
    </row>
    <row r="1565" spans="1:13">
      <c r="A1565" s="1">
        <f>HYPERLINK("http://www.twitter.com/NathanBLawrence/status/989916023280361472", "989916023280361472")</f>
        <v/>
      </c>
      <c r="B1565" s="2" t="n">
        <v>43217.71928240741</v>
      </c>
      <c r="C1565" t="n">
        <v>0</v>
      </c>
      <c r="D1565" t="n">
        <v>16</v>
      </c>
      <c r="E1565" t="s">
        <v>1575</v>
      </c>
      <c r="F1565" t="s"/>
      <c r="G1565" t="s"/>
      <c r="H1565" t="s"/>
      <c r="I1565" t="s"/>
      <c r="J1565" t="n">
        <v>0</v>
      </c>
      <c r="K1565" t="n">
        <v>0</v>
      </c>
      <c r="L1565" t="n">
        <v>1</v>
      </c>
      <c r="M1565" t="n">
        <v>0</v>
      </c>
    </row>
    <row r="1566" spans="1:13">
      <c r="A1566" s="1">
        <f>HYPERLINK("http://www.twitter.com/NathanBLawrence/status/989910821236039680", "989910821236039680")</f>
        <v/>
      </c>
      <c r="B1566" s="2" t="n">
        <v>43217.70493055556</v>
      </c>
      <c r="C1566" t="n">
        <v>0</v>
      </c>
      <c r="D1566" t="n">
        <v>15</v>
      </c>
      <c r="E1566" t="s">
        <v>1576</v>
      </c>
      <c r="F1566" t="s"/>
      <c r="G1566" t="s"/>
      <c r="H1566" t="s"/>
      <c r="I1566" t="s"/>
      <c r="J1566" t="n">
        <v>0</v>
      </c>
      <c r="K1566" t="n">
        <v>0</v>
      </c>
      <c r="L1566" t="n">
        <v>1</v>
      </c>
      <c r="M1566" t="n">
        <v>0</v>
      </c>
    </row>
    <row r="1567" spans="1:13">
      <c r="A1567" s="1">
        <f>HYPERLINK("http://www.twitter.com/NathanBLawrence/status/989910732941791233", "989910732941791233")</f>
        <v/>
      </c>
      <c r="B1567" s="2" t="n">
        <v>43217.7046875</v>
      </c>
      <c r="C1567" t="n">
        <v>0</v>
      </c>
      <c r="D1567" t="n">
        <v>7</v>
      </c>
      <c r="E1567" t="s">
        <v>1576</v>
      </c>
      <c r="F1567" t="s"/>
      <c r="G1567" t="s"/>
      <c r="H1567" t="s"/>
      <c r="I1567" t="s"/>
      <c r="J1567" t="n">
        <v>0</v>
      </c>
      <c r="K1567" t="n">
        <v>0</v>
      </c>
      <c r="L1567" t="n">
        <v>1</v>
      </c>
      <c r="M1567" t="n">
        <v>0</v>
      </c>
    </row>
    <row r="1568" spans="1:13">
      <c r="A1568" s="1">
        <f>HYPERLINK("http://www.twitter.com/NathanBLawrence/status/989908107169026048", "989908107169026048")</f>
        <v/>
      </c>
      <c r="B1568" s="2" t="n">
        <v>43217.69744212963</v>
      </c>
      <c r="C1568" t="n">
        <v>2</v>
      </c>
      <c r="D1568" t="n">
        <v>0</v>
      </c>
      <c r="E1568" t="s">
        <v>1577</v>
      </c>
      <c r="F1568" t="s"/>
      <c r="G1568" t="s"/>
      <c r="H1568" t="s"/>
      <c r="I1568" t="s"/>
      <c r="J1568" t="n">
        <v>-0.4788</v>
      </c>
      <c r="K1568" t="n">
        <v>0.103</v>
      </c>
      <c r="L1568" t="n">
        <v>0.849</v>
      </c>
      <c r="M1568" t="n">
        <v>0.049</v>
      </c>
    </row>
    <row r="1569" spans="1:13">
      <c r="A1569" s="1">
        <f>HYPERLINK("http://www.twitter.com/NathanBLawrence/status/989888561162936320", "989888561162936320")</f>
        <v/>
      </c>
      <c r="B1569" s="2" t="n">
        <v>43217.64349537037</v>
      </c>
      <c r="C1569" t="n">
        <v>0</v>
      </c>
      <c r="D1569" t="n">
        <v>21</v>
      </c>
      <c r="E1569" t="s">
        <v>1578</v>
      </c>
      <c r="F1569" t="s"/>
      <c r="G1569" t="s"/>
      <c r="H1569" t="s"/>
      <c r="I1569" t="s"/>
      <c r="J1569" t="n">
        <v>0</v>
      </c>
      <c r="K1569" t="n">
        <v>0</v>
      </c>
      <c r="L1569" t="n">
        <v>1</v>
      </c>
      <c r="M1569" t="n">
        <v>0</v>
      </c>
    </row>
    <row r="1570" spans="1:13">
      <c r="A1570" s="1">
        <f>HYPERLINK("http://www.twitter.com/NathanBLawrence/status/989888404858048512", "989888404858048512")</f>
        <v/>
      </c>
      <c r="B1570" s="2" t="n">
        <v>43217.64306712963</v>
      </c>
      <c r="C1570" t="n">
        <v>0</v>
      </c>
      <c r="D1570" t="n">
        <v>6</v>
      </c>
      <c r="E1570" t="s">
        <v>1579</v>
      </c>
      <c r="F1570" t="s"/>
      <c r="G1570" t="s"/>
      <c r="H1570" t="s"/>
      <c r="I1570" t="s"/>
      <c r="J1570" t="n">
        <v>0</v>
      </c>
      <c r="K1570" t="n">
        <v>0</v>
      </c>
      <c r="L1570" t="n">
        <v>1</v>
      </c>
      <c r="M1570" t="n">
        <v>0</v>
      </c>
    </row>
    <row r="1571" spans="1:13">
      <c r="A1571" s="1">
        <f>HYPERLINK("http://www.twitter.com/NathanBLawrence/status/989876968161271808", "989876968161271808")</f>
        <v/>
      </c>
      <c r="B1571" s="2" t="n">
        <v>43217.61150462963</v>
      </c>
      <c r="C1571" t="n">
        <v>0</v>
      </c>
      <c r="D1571" t="n">
        <v>2</v>
      </c>
      <c r="E1571" t="s">
        <v>1580</v>
      </c>
      <c r="F1571" t="s"/>
      <c r="G1571" t="s"/>
      <c r="H1571" t="s"/>
      <c r="I1571" t="s"/>
      <c r="J1571" t="n">
        <v>0.7269</v>
      </c>
      <c r="K1571" t="n">
        <v>0</v>
      </c>
      <c r="L1571" t="n">
        <v>0.705</v>
      </c>
      <c r="M1571" t="n">
        <v>0.295</v>
      </c>
    </row>
    <row r="1572" spans="1:13">
      <c r="A1572" s="1">
        <f>HYPERLINK("http://www.twitter.com/NathanBLawrence/status/989876942676594688", "989876942676594688")</f>
        <v/>
      </c>
      <c r="B1572" s="2" t="n">
        <v>43217.61143518519</v>
      </c>
      <c r="C1572" t="n">
        <v>13</v>
      </c>
      <c r="D1572" t="n">
        <v>13</v>
      </c>
      <c r="E1572" t="s">
        <v>1581</v>
      </c>
      <c r="F1572" t="s"/>
      <c r="G1572" t="s"/>
      <c r="H1572" t="s"/>
      <c r="I1572" t="s"/>
      <c r="J1572" t="n">
        <v>-0.5362</v>
      </c>
      <c r="K1572" t="n">
        <v>0.111</v>
      </c>
      <c r="L1572" t="n">
        <v>0.826</v>
      </c>
      <c r="M1572" t="n">
        <v>0.063</v>
      </c>
    </row>
    <row r="1573" spans="1:13">
      <c r="A1573" s="1">
        <f>HYPERLINK("http://www.twitter.com/NathanBLawrence/status/989874951795683328", "989874951795683328")</f>
        <v/>
      </c>
      <c r="B1573" s="2" t="n">
        <v>43217.60594907407</v>
      </c>
      <c r="C1573" t="n">
        <v>1</v>
      </c>
      <c r="D1573" t="n">
        <v>0</v>
      </c>
      <c r="E1573" t="s">
        <v>1582</v>
      </c>
      <c r="F1573" t="s"/>
      <c r="G1573" t="s"/>
      <c r="H1573" t="s"/>
      <c r="I1573" t="s"/>
      <c r="J1573" t="n">
        <v>0.5994</v>
      </c>
      <c r="K1573" t="n">
        <v>0</v>
      </c>
      <c r="L1573" t="n">
        <v>0.698</v>
      </c>
      <c r="M1573" t="n">
        <v>0.302</v>
      </c>
    </row>
    <row r="1574" spans="1:13">
      <c r="A1574" s="1">
        <f>HYPERLINK("http://www.twitter.com/NathanBLawrence/status/989863340053803012", "989863340053803012")</f>
        <v/>
      </c>
      <c r="B1574" s="2" t="n">
        <v>43217.57390046296</v>
      </c>
      <c r="C1574" t="n">
        <v>0</v>
      </c>
      <c r="D1574" t="n">
        <v>1</v>
      </c>
      <c r="E1574" t="s">
        <v>1583</v>
      </c>
      <c r="F1574" t="s"/>
      <c r="G1574" t="s"/>
      <c r="H1574" t="s"/>
      <c r="I1574" t="s"/>
      <c r="J1574" t="n">
        <v>-0.4019</v>
      </c>
      <c r="K1574" t="n">
        <v>0.114</v>
      </c>
      <c r="L1574" t="n">
        <v>0.886</v>
      </c>
      <c r="M1574" t="n">
        <v>0</v>
      </c>
    </row>
    <row r="1575" spans="1:13">
      <c r="A1575" s="1">
        <f>HYPERLINK("http://www.twitter.com/NathanBLawrence/status/989862869427769345", "989862869427769345")</f>
        <v/>
      </c>
      <c r="B1575" s="2" t="n">
        <v>43217.57260416666</v>
      </c>
      <c r="C1575" t="n">
        <v>6</v>
      </c>
      <c r="D1575" t="n">
        <v>1</v>
      </c>
      <c r="E1575" t="s">
        <v>1584</v>
      </c>
      <c r="F1575" t="s"/>
      <c r="G1575" t="s"/>
      <c r="H1575" t="s"/>
      <c r="I1575" t="s"/>
      <c r="J1575" t="n">
        <v>-0.4215</v>
      </c>
      <c r="K1575" t="n">
        <v>0.094</v>
      </c>
      <c r="L1575" t="n">
        <v>0.906</v>
      </c>
      <c r="M1575" t="n">
        <v>0</v>
      </c>
    </row>
    <row r="1576" spans="1:13">
      <c r="A1576" s="1">
        <f>HYPERLINK("http://www.twitter.com/NathanBLawrence/status/989845182576234497", "989845182576234497")</f>
        <v/>
      </c>
      <c r="B1576" s="2" t="n">
        <v>43217.52379629629</v>
      </c>
      <c r="C1576" t="n">
        <v>0</v>
      </c>
      <c r="D1576" t="n">
        <v>0</v>
      </c>
      <c r="E1576" t="s">
        <v>1585</v>
      </c>
      <c r="F1576" t="s"/>
      <c r="G1576" t="s"/>
      <c r="H1576" t="s"/>
      <c r="I1576" t="s"/>
      <c r="J1576" t="n">
        <v>-0.2836</v>
      </c>
      <c r="K1576" t="n">
        <v>0.118</v>
      </c>
      <c r="L1576" t="n">
        <v>0.766</v>
      </c>
      <c r="M1576" t="n">
        <v>0.116</v>
      </c>
    </row>
    <row r="1577" spans="1:13">
      <c r="A1577" s="1">
        <f>HYPERLINK("http://www.twitter.com/NathanBLawrence/status/989843748409442309", "989843748409442309")</f>
        <v/>
      </c>
      <c r="B1577" s="2" t="n">
        <v>43217.51983796297</v>
      </c>
      <c r="C1577" t="n">
        <v>0</v>
      </c>
      <c r="D1577" t="n">
        <v>11</v>
      </c>
      <c r="E1577" t="s">
        <v>1586</v>
      </c>
      <c r="F1577" t="s"/>
      <c r="G1577" t="s"/>
      <c r="H1577" t="s"/>
      <c r="I1577" t="s"/>
      <c r="J1577" t="n">
        <v>0</v>
      </c>
      <c r="K1577" t="n">
        <v>0</v>
      </c>
      <c r="L1577" t="n">
        <v>1</v>
      </c>
      <c r="M1577" t="n">
        <v>0</v>
      </c>
    </row>
    <row r="1578" spans="1:13">
      <c r="A1578" s="1">
        <f>HYPERLINK("http://www.twitter.com/NathanBLawrence/status/989829783503736832", "989829783503736832")</f>
        <v/>
      </c>
      <c r="B1578" s="2" t="n">
        <v>43217.48130787037</v>
      </c>
      <c r="C1578" t="n">
        <v>0</v>
      </c>
      <c r="D1578" t="n">
        <v>87733</v>
      </c>
      <c r="E1578" t="s">
        <v>1587</v>
      </c>
      <c r="F1578" t="s"/>
      <c r="G1578" t="s"/>
      <c r="H1578" t="s"/>
      <c r="I1578" t="s"/>
      <c r="J1578" t="n">
        <v>0</v>
      </c>
      <c r="K1578" t="n">
        <v>0</v>
      </c>
      <c r="L1578" t="n">
        <v>1</v>
      </c>
      <c r="M1578" t="n">
        <v>0</v>
      </c>
    </row>
    <row r="1579" spans="1:13">
      <c r="A1579" s="1">
        <f>HYPERLINK("http://www.twitter.com/NathanBLawrence/status/989829598815899648", "989829598815899648")</f>
        <v/>
      </c>
      <c r="B1579" s="2" t="n">
        <v>43217.48079861111</v>
      </c>
      <c r="C1579" t="n">
        <v>0</v>
      </c>
      <c r="D1579" t="n">
        <v>1</v>
      </c>
      <c r="E1579" t="s">
        <v>1588</v>
      </c>
      <c r="F1579" t="s"/>
      <c r="G1579" t="s"/>
      <c r="H1579" t="s"/>
      <c r="I1579" t="s"/>
      <c r="J1579" t="n">
        <v>0.4926</v>
      </c>
      <c r="K1579" t="n">
        <v>0</v>
      </c>
      <c r="L1579" t="n">
        <v>0.825</v>
      </c>
      <c r="M1579" t="n">
        <v>0.175</v>
      </c>
    </row>
    <row r="1580" spans="1:13">
      <c r="A1580" s="1">
        <f>HYPERLINK("http://www.twitter.com/NathanBLawrence/status/989827406319046656", "989827406319046656")</f>
        <v/>
      </c>
      <c r="B1580" s="2" t="n">
        <v>43217.47474537037</v>
      </c>
      <c r="C1580" t="n">
        <v>0</v>
      </c>
      <c r="D1580" t="n">
        <v>1</v>
      </c>
      <c r="E1580" t="s">
        <v>1589</v>
      </c>
      <c r="F1580" t="s"/>
      <c r="G1580" t="s"/>
      <c r="H1580" t="s"/>
      <c r="I1580" t="s"/>
      <c r="J1580" t="n">
        <v>-0.802</v>
      </c>
      <c r="K1580" t="n">
        <v>0.396</v>
      </c>
      <c r="L1580" t="n">
        <v>0.604</v>
      </c>
      <c r="M1580" t="n">
        <v>0</v>
      </c>
    </row>
    <row r="1581" spans="1:13">
      <c r="A1581" s="1">
        <f>HYPERLINK("http://www.twitter.com/NathanBLawrence/status/989823875994259456", "989823875994259456")</f>
        <v/>
      </c>
      <c r="B1581" s="2" t="n">
        <v>43217.465</v>
      </c>
      <c r="C1581" t="n">
        <v>0</v>
      </c>
      <c r="D1581" t="n">
        <v>120</v>
      </c>
      <c r="E1581" t="s">
        <v>1590</v>
      </c>
      <c r="F1581">
        <f>HYPERLINK("https://video.twimg.com/ext_tw_video/989753868274749440/pu/vid/720x1280/ICiS0ShSKfeybouQ.mp4?tag=3", "https://video.twimg.com/ext_tw_video/989753868274749440/pu/vid/720x1280/ICiS0ShSKfeybouQ.mp4?tag=3")</f>
        <v/>
      </c>
      <c r="G1581" t="s"/>
      <c r="H1581" t="s"/>
      <c r="I1581" t="s"/>
      <c r="J1581" t="n">
        <v>0.4767</v>
      </c>
      <c r="K1581" t="n">
        <v>0</v>
      </c>
      <c r="L1581" t="n">
        <v>0.846</v>
      </c>
      <c r="M1581" t="n">
        <v>0.154</v>
      </c>
    </row>
    <row r="1582" spans="1:13">
      <c r="A1582" s="1">
        <f>HYPERLINK("http://www.twitter.com/NathanBLawrence/status/989823503632396288", "989823503632396288")</f>
        <v/>
      </c>
      <c r="B1582" s="2" t="n">
        <v>43217.46396990741</v>
      </c>
      <c r="C1582" t="n">
        <v>0</v>
      </c>
      <c r="D1582" t="n">
        <v>2</v>
      </c>
      <c r="E1582" t="s">
        <v>1591</v>
      </c>
      <c r="F1582" t="s"/>
      <c r="G1582" t="s"/>
      <c r="H1582" t="s"/>
      <c r="I1582" t="s"/>
      <c r="J1582" t="n">
        <v>-0.2732</v>
      </c>
      <c r="K1582" t="n">
        <v>0.1</v>
      </c>
      <c r="L1582" t="n">
        <v>0.9</v>
      </c>
      <c r="M1582" t="n">
        <v>0</v>
      </c>
    </row>
    <row r="1583" spans="1:13">
      <c r="A1583" s="1">
        <f>HYPERLINK("http://www.twitter.com/NathanBLawrence/status/989821126976163840", "989821126976163840")</f>
        <v/>
      </c>
      <c r="B1583" s="2" t="n">
        <v>43217.45741898148</v>
      </c>
      <c r="C1583" t="n">
        <v>0</v>
      </c>
      <c r="D1583" t="n">
        <v>1</v>
      </c>
      <c r="E1583" t="s">
        <v>1592</v>
      </c>
      <c r="F1583">
        <f>HYPERLINK("http://pbs.twimg.com/media/DbyIlozUwAAxjFm.jpg", "http://pbs.twimg.com/media/DbyIlozUwAAxjFm.jpg")</f>
        <v/>
      </c>
      <c r="G1583" t="s"/>
      <c r="H1583" t="s"/>
      <c r="I1583" t="s"/>
      <c r="J1583" t="n">
        <v>-0.5994</v>
      </c>
      <c r="K1583" t="n">
        <v>0.206</v>
      </c>
      <c r="L1583" t="n">
        <v>0.794</v>
      </c>
      <c r="M1583" t="n">
        <v>0</v>
      </c>
    </row>
    <row r="1584" spans="1:13">
      <c r="A1584" s="1">
        <f>HYPERLINK("http://www.twitter.com/NathanBLawrence/status/989819444959510528", "989819444959510528")</f>
        <v/>
      </c>
      <c r="B1584" s="2" t="n">
        <v>43217.45277777778</v>
      </c>
      <c r="C1584" t="n">
        <v>0</v>
      </c>
      <c r="D1584" t="n">
        <v>13</v>
      </c>
      <c r="E1584" t="s">
        <v>1593</v>
      </c>
      <c r="F1584" t="s"/>
      <c r="G1584" t="s"/>
      <c r="H1584" t="s"/>
      <c r="I1584" t="s"/>
      <c r="J1584" t="n">
        <v>-0.25</v>
      </c>
      <c r="K1584" t="n">
        <v>0.194</v>
      </c>
      <c r="L1584" t="n">
        <v>0.656</v>
      </c>
      <c r="M1584" t="n">
        <v>0.15</v>
      </c>
    </row>
    <row r="1585" spans="1:13">
      <c r="A1585" s="1">
        <f>HYPERLINK("http://www.twitter.com/NathanBLawrence/status/989818152946192384", "989818152946192384")</f>
        <v/>
      </c>
      <c r="B1585" s="2" t="n">
        <v>43217.44921296297</v>
      </c>
      <c r="C1585" t="n">
        <v>4</v>
      </c>
      <c r="D1585" t="n">
        <v>2</v>
      </c>
      <c r="E1585" t="s">
        <v>1594</v>
      </c>
      <c r="F1585" t="s"/>
      <c r="G1585" t="s"/>
      <c r="H1585" t="s"/>
      <c r="I1585" t="s"/>
      <c r="J1585" t="n">
        <v>0.5574</v>
      </c>
      <c r="K1585" t="n">
        <v>0.116</v>
      </c>
      <c r="L1585" t="n">
        <v>0.697</v>
      </c>
      <c r="M1585" t="n">
        <v>0.187</v>
      </c>
    </row>
    <row r="1586" spans="1:13">
      <c r="A1586" s="1">
        <f>HYPERLINK("http://www.twitter.com/NathanBLawrence/status/989814894684975104", "989814894684975104")</f>
        <v/>
      </c>
      <c r="B1586" s="2" t="n">
        <v>43217.44021990741</v>
      </c>
      <c r="C1586" t="n">
        <v>0</v>
      </c>
      <c r="D1586" t="n">
        <v>4</v>
      </c>
      <c r="E1586" t="s">
        <v>1595</v>
      </c>
      <c r="F1586" t="s"/>
      <c r="G1586" t="s"/>
      <c r="H1586" t="s"/>
      <c r="I1586" t="s"/>
      <c r="J1586" t="n">
        <v>0.5719</v>
      </c>
      <c r="K1586" t="n">
        <v>0.173</v>
      </c>
      <c r="L1586" t="n">
        <v>0.51</v>
      </c>
      <c r="M1586" t="n">
        <v>0.318</v>
      </c>
    </row>
    <row r="1587" spans="1:13">
      <c r="A1587" s="1">
        <f>HYPERLINK("http://www.twitter.com/NathanBLawrence/status/989814688115580929", "989814688115580929")</f>
        <v/>
      </c>
      <c r="B1587" s="2" t="n">
        <v>43217.43965277778</v>
      </c>
      <c r="C1587" t="n">
        <v>0</v>
      </c>
      <c r="D1587" t="n">
        <v>1</v>
      </c>
      <c r="E1587" t="s">
        <v>1596</v>
      </c>
      <c r="F1587" t="s"/>
      <c r="G1587" t="s"/>
      <c r="H1587" t="s"/>
      <c r="I1587" t="s"/>
      <c r="J1587" t="n">
        <v>-0.7003</v>
      </c>
      <c r="K1587" t="n">
        <v>0.659</v>
      </c>
      <c r="L1587" t="n">
        <v>0.341</v>
      </c>
      <c r="M1587" t="n">
        <v>0</v>
      </c>
    </row>
    <row r="1588" spans="1:13">
      <c r="A1588" s="1">
        <f>HYPERLINK("http://www.twitter.com/NathanBLawrence/status/989690635954376704", "989690635954376704")</f>
        <v/>
      </c>
      <c r="B1588" s="2" t="n">
        <v>43217.09732638889</v>
      </c>
      <c r="C1588" t="n">
        <v>1</v>
      </c>
      <c r="D1588" t="n">
        <v>0</v>
      </c>
      <c r="E1588" t="s">
        <v>1597</v>
      </c>
      <c r="F1588" t="s"/>
      <c r="G1588" t="s"/>
      <c r="H1588" t="s"/>
      <c r="I1588" t="s"/>
      <c r="J1588" t="n">
        <v>0.4767</v>
      </c>
      <c r="K1588" t="n">
        <v>0.26</v>
      </c>
      <c r="L1588" t="n">
        <v>0.236</v>
      </c>
      <c r="M1588" t="n">
        <v>0.504</v>
      </c>
    </row>
    <row r="1589" spans="1:13">
      <c r="A1589" s="1">
        <f>HYPERLINK("http://www.twitter.com/NathanBLawrence/status/989689362169450496", "989689362169450496")</f>
        <v/>
      </c>
      <c r="B1589" s="2" t="n">
        <v>43217.09381944445</v>
      </c>
      <c r="C1589" t="n">
        <v>0</v>
      </c>
      <c r="D1589" t="n">
        <v>2</v>
      </c>
      <c r="E1589" t="s">
        <v>1598</v>
      </c>
      <c r="F1589" t="s"/>
      <c r="G1589" t="s"/>
      <c r="H1589" t="s"/>
      <c r="I1589" t="s"/>
      <c r="J1589" t="n">
        <v>0.8762</v>
      </c>
      <c r="K1589" t="n">
        <v>0</v>
      </c>
      <c r="L1589" t="n">
        <v>0.6889999999999999</v>
      </c>
      <c r="M1589" t="n">
        <v>0.311</v>
      </c>
    </row>
    <row r="1590" spans="1:13">
      <c r="A1590" s="1">
        <f>HYPERLINK("http://www.twitter.com/NathanBLawrence/status/989688428215308290", "989688428215308290")</f>
        <v/>
      </c>
      <c r="B1590" s="2" t="n">
        <v>43217.09123842593</v>
      </c>
      <c r="C1590" t="n">
        <v>7</v>
      </c>
      <c r="D1590" t="n">
        <v>1</v>
      </c>
      <c r="E1590" t="s">
        <v>1599</v>
      </c>
      <c r="F1590" t="s"/>
      <c r="G1590" t="s"/>
      <c r="H1590" t="s"/>
      <c r="I1590" t="s"/>
      <c r="J1590" t="n">
        <v>0.3989</v>
      </c>
      <c r="K1590" t="n">
        <v>0</v>
      </c>
      <c r="L1590" t="n">
        <v>0.598</v>
      </c>
      <c r="M1590" t="n">
        <v>0.402</v>
      </c>
    </row>
    <row r="1591" spans="1:13">
      <c r="A1591" s="1">
        <f>HYPERLINK("http://www.twitter.com/NathanBLawrence/status/989688123859914752", "989688123859914752")</f>
        <v/>
      </c>
      <c r="B1591" s="2" t="n">
        <v>43217.09039351852</v>
      </c>
      <c r="C1591" t="n">
        <v>0</v>
      </c>
      <c r="D1591" t="n">
        <v>12</v>
      </c>
      <c r="E1591" t="s">
        <v>1600</v>
      </c>
      <c r="F1591" t="s"/>
      <c r="G1591" t="s"/>
      <c r="H1591" t="s"/>
      <c r="I1591" t="s"/>
      <c r="J1591" t="n">
        <v>0</v>
      </c>
      <c r="K1591" t="n">
        <v>0</v>
      </c>
      <c r="L1591" t="n">
        <v>1</v>
      </c>
      <c r="M1591" t="n">
        <v>0</v>
      </c>
    </row>
    <row r="1592" spans="1:13">
      <c r="A1592" s="1">
        <f>HYPERLINK("http://www.twitter.com/NathanBLawrence/status/989683517968789504", "989683517968789504")</f>
        <v/>
      </c>
      <c r="B1592" s="2" t="n">
        <v>43217.07768518518</v>
      </c>
      <c r="C1592" t="n">
        <v>0</v>
      </c>
      <c r="D1592" t="n">
        <v>72</v>
      </c>
      <c r="E1592" t="s">
        <v>1601</v>
      </c>
      <c r="F1592" t="s"/>
      <c r="G1592" t="s"/>
      <c r="H1592" t="s"/>
      <c r="I1592" t="s"/>
      <c r="J1592" t="n">
        <v>-0.4767</v>
      </c>
      <c r="K1592" t="n">
        <v>0.11</v>
      </c>
      <c r="L1592" t="n">
        <v>0.89</v>
      </c>
      <c r="M1592" t="n">
        <v>0</v>
      </c>
    </row>
    <row r="1593" spans="1:13">
      <c r="A1593" s="1">
        <f>HYPERLINK("http://www.twitter.com/NathanBLawrence/status/989671973398642688", "989671973398642688")</f>
        <v/>
      </c>
      <c r="B1593" s="2" t="n">
        <v>43217.04583333333</v>
      </c>
      <c r="C1593" t="n">
        <v>2</v>
      </c>
      <c r="D1593" t="n">
        <v>0</v>
      </c>
      <c r="E1593" t="s">
        <v>1602</v>
      </c>
      <c r="F1593" t="s"/>
      <c r="G1593" t="s"/>
      <c r="H1593" t="s"/>
      <c r="I1593" t="s"/>
      <c r="J1593" t="n">
        <v>0</v>
      </c>
      <c r="K1593" t="n">
        <v>0</v>
      </c>
      <c r="L1593" t="n">
        <v>1</v>
      </c>
      <c r="M1593" t="n">
        <v>0</v>
      </c>
    </row>
    <row r="1594" spans="1:13">
      <c r="A1594" s="1">
        <f>HYPERLINK("http://www.twitter.com/NathanBLawrence/status/989671637279797248", "989671637279797248")</f>
        <v/>
      </c>
      <c r="B1594" s="2" t="n">
        <v>43217.04490740741</v>
      </c>
      <c r="C1594" t="n">
        <v>0</v>
      </c>
      <c r="D1594" t="n">
        <v>5</v>
      </c>
      <c r="E1594" t="s">
        <v>1603</v>
      </c>
      <c r="F1594" t="s"/>
      <c r="G1594" t="s"/>
      <c r="H1594" t="s"/>
      <c r="I1594" t="s"/>
      <c r="J1594" t="n">
        <v>0</v>
      </c>
      <c r="K1594" t="n">
        <v>0</v>
      </c>
      <c r="L1594" t="n">
        <v>1</v>
      </c>
      <c r="M1594" t="n">
        <v>0</v>
      </c>
    </row>
    <row r="1595" spans="1:13">
      <c r="A1595" s="1">
        <f>HYPERLINK("http://www.twitter.com/NathanBLawrence/status/989669014287896577", "989669014287896577")</f>
        <v/>
      </c>
      <c r="B1595" s="2" t="n">
        <v>43217.03766203704</v>
      </c>
      <c r="C1595" t="n">
        <v>0</v>
      </c>
      <c r="D1595" t="n">
        <v>3</v>
      </c>
      <c r="E1595" t="s">
        <v>1604</v>
      </c>
      <c r="F1595" t="s"/>
      <c r="G1595" t="s"/>
      <c r="H1595" t="s"/>
      <c r="I1595" t="s"/>
      <c r="J1595" t="n">
        <v>-0.6682</v>
      </c>
      <c r="K1595" t="n">
        <v>0.279</v>
      </c>
      <c r="L1595" t="n">
        <v>0.652</v>
      </c>
      <c r="M1595" t="n">
        <v>0.06900000000000001</v>
      </c>
    </row>
    <row r="1596" spans="1:13">
      <c r="A1596" s="1">
        <f>HYPERLINK("http://www.twitter.com/NathanBLawrence/status/989663496429326336", "989663496429326336")</f>
        <v/>
      </c>
      <c r="B1596" s="2" t="n">
        <v>43217.02244212963</v>
      </c>
      <c r="C1596" t="n">
        <v>0</v>
      </c>
      <c r="D1596" t="n">
        <v>3</v>
      </c>
      <c r="E1596" t="s">
        <v>1605</v>
      </c>
      <c r="F1596" t="s"/>
      <c r="G1596" t="s"/>
      <c r="H1596" t="s"/>
      <c r="I1596" t="s"/>
      <c r="J1596" t="n">
        <v>-0.4939</v>
      </c>
      <c r="K1596" t="n">
        <v>0.158</v>
      </c>
      <c r="L1596" t="n">
        <v>0.842</v>
      </c>
      <c r="M1596" t="n">
        <v>0</v>
      </c>
    </row>
    <row r="1597" spans="1:13">
      <c r="A1597" s="1">
        <f>HYPERLINK("http://www.twitter.com/NathanBLawrence/status/989662866713309185", "989662866713309185")</f>
        <v/>
      </c>
      <c r="B1597" s="2" t="n">
        <v>43217.02070601852</v>
      </c>
      <c r="C1597" t="n">
        <v>0</v>
      </c>
      <c r="D1597" t="n">
        <v>12</v>
      </c>
      <c r="E1597" t="s">
        <v>1606</v>
      </c>
      <c r="F1597" t="s"/>
      <c r="G1597" t="s"/>
      <c r="H1597" t="s"/>
      <c r="I1597" t="s"/>
      <c r="J1597" t="n">
        <v>0.4199</v>
      </c>
      <c r="K1597" t="n">
        <v>0</v>
      </c>
      <c r="L1597" t="n">
        <v>0.878</v>
      </c>
      <c r="M1597" t="n">
        <v>0.122</v>
      </c>
    </row>
    <row r="1598" spans="1:13">
      <c r="A1598" s="1">
        <f>HYPERLINK("http://www.twitter.com/NathanBLawrence/status/989661462770716672", "989661462770716672")</f>
        <v/>
      </c>
      <c r="B1598" s="2" t="n">
        <v>43217.0168287037</v>
      </c>
      <c r="C1598" t="n">
        <v>1</v>
      </c>
      <c r="D1598" t="n">
        <v>1</v>
      </c>
      <c r="E1598" t="s">
        <v>1607</v>
      </c>
      <c r="F1598" t="s"/>
      <c r="G1598" t="s"/>
      <c r="H1598" t="s"/>
      <c r="I1598" t="s"/>
      <c r="J1598" t="n">
        <v>0.4215</v>
      </c>
      <c r="K1598" t="n">
        <v>0</v>
      </c>
      <c r="L1598" t="n">
        <v>0.797</v>
      </c>
      <c r="M1598" t="n">
        <v>0.203</v>
      </c>
    </row>
    <row r="1599" spans="1:13">
      <c r="A1599" s="1">
        <f>HYPERLINK("http://www.twitter.com/NathanBLawrence/status/989652709858054145", "989652709858054145")</f>
        <v/>
      </c>
      <c r="B1599" s="2" t="n">
        <v>43216.99267361111</v>
      </c>
      <c r="C1599" t="n">
        <v>0</v>
      </c>
      <c r="D1599" t="n">
        <v>8</v>
      </c>
      <c r="E1599" t="s">
        <v>1608</v>
      </c>
      <c r="F1599" t="s"/>
      <c r="G1599" t="s"/>
      <c r="H1599" t="s"/>
      <c r="I1599" t="s"/>
      <c r="J1599" t="n">
        <v>0.2263</v>
      </c>
      <c r="K1599" t="n">
        <v>0</v>
      </c>
      <c r="L1599" t="n">
        <v>0.924</v>
      </c>
      <c r="M1599" t="n">
        <v>0.076</v>
      </c>
    </row>
    <row r="1600" spans="1:13">
      <c r="A1600" s="1">
        <f>HYPERLINK("http://www.twitter.com/NathanBLawrence/status/989652638131277825", "989652638131277825")</f>
        <v/>
      </c>
      <c r="B1600" s="2" t="n">
        <v>43216.99247685185</v>
      </c>
      <c r="C1600" t="n">
        <v>0</v>
      </c>
      <c r="D1600" t="n">
        <v>14</v>
      </c>
      <c r="E1600" t="s">
        <v>1609</v>
      </c>
      <c r="F1600">
        <f>HYPERLINK("http://pbs.twimg.com/media/Dbu_5swUQAApywE.jpg", "http://pbs.twimg.com/media/Dbu_5swUQAApywE.jpg")</f>
        <v/>
      </c>
      <c r="G1600" t="s"/>
      <c r="H1600" t="s"/>
      <c r="I1600" t="s"/>
      <c r="J1600" t="n">
        <v>0.4717</v>
      </c>
      <c r="K1600" t="n">
        <v>0</v>
      </c>
      <c r="L1600" t="n">
        <v>0.775</v>
      </c>
      <c r="M1600" t="n">
        <v>0.225</v>
      </c>
    </row>
    <row r="1601" spans="1:13">
      <c r="A1601" s="1">
        <f>HYPERLINK("http://www.twitter.com/NathanBLawrence/status/989652297788600321", "989652297788600321")</f>
        <v/>
      </c>
      <c r="B1601" s="2" t="n">
        <v>43216.99153935185</v>
      </c>
      <c r="C1601" t="n">
        <v>0</v>
      </c>
      <c r="D1601" t="n">
        <v>44</v>
      </c>
      <c r="E1601" t="s">
        <v>1610</v>
      </c>
      <c r="F1601" t="s"/>
      <c r="G1601" t="s"/>
      <c r="H1601" t="s"/>
      <c r="I1601" t="s"/>
      <c r="J1601" t="n">
        <v>0.0985</v>
      </c>
      <c r="K1601" t="n">
        <v>0.08400000000000001</v>
      </c>
      <c r="L1601" t="n">
        <v>0.778</v>
      </c>
      <c r="M1601" t="n">
        <v>0.138</v>
      </c>
    </row>
    <row r="1602" spans="1:13">
      <c r="A1602" s="1">
        <f>HYPERLINK("http://www.twitter.com/NathanBLawrence/status/989651874474274821", "989651874474274821")</f>
        <v/>
      </c>
      <c r="B1602" s="2" t="n">
        <v>43216.99037037037</v>
      </c>
      <c r="C1602" t="n">
        <v>2</v>
      </c>
      <c r="D1602" t="n">
        <v>0</v>
      </c>
      <c r="E1602" t="s">
        <v>1611</v>
      </c>
      <c r="F1602" t="s"/>
      <c r="G1602" t="s"/>
      <c r="H1602" t="s"/>
      <c r="I1602" t="s"/>
      <c r="J1602" t="n">
        <v>0</v>
      </c>
      <c r="K1602" t="n">
        <v>0</v>
      </c>
      <c r="L1602" t="n">
        <v>1</v>
      </c>
      <c r="M1602" t="n">
        <v>0</v>
      </c>
    </row>
    <row r="1603" spans="1:13">
      <c r="A1603" s="1">
        <f>HYPERLINK("http://www.twitter.com/NathanBLawrence/status/989649093948518400", "989649093948518400")</f>
        <v/>
      </c>
      <c r="B1603" s="2" t="n">
        <v>43216.98269675926</v>
      </c>
      <c r="C1603" t="n">
        <v>0</v>
      </c>
      <c r="D1603" t="n">
        <v>2</v>
      </c>
      <c r="E1603" t="s">
        <v>1612</v>
      </c>
      <c r="F1603" t="s"/>
      <c r="G1603" t="s"/>
      <c r="H1603" t="s"/>
      <c r="I1603" t="s"/>
      <c r="J1603" t="n">
        <v>0</v>
      </c>
      <c r="K1603" t="n">
        <v>0</v>
      </c>
      <c r="L1603" t="n">
        <v>1</v>
      </c>
      <c r="M1603" t="n">
        <v>0</v>
      </c>
    </row>
    <row r="1604" spans="1:13">
      <c r="A1604" s="1">
        <f>HYPERLINK("http://www.twitter.com/NathanBLawrence/status/989647584007421952", "989647584007421952")</f>
        <v/>
      </c>
      <c r="B1604" s="2" t="n">
        <v>43216.97853009259</v>
      </c>
      <c r="C1604" t="n">
        <v>0</v>
      </c>
      <c r="D1604" t="n">
        <v>9</v>
      </c>
      <c r="E1604" t="s">
        <v>1613</v>
      </c>
      <c r="F1604" t="s"/>
      <c r="G1604" t="s"/>
      <c r="H1604" t="s"/>
      <c r="I1604" t="s"/>
      <c r="J1604" t="n">
        <v>-0.3612</v>
      </c>
      <c r="K1604" t="n">
        <v>0.116</v>
      </c>
      <c r="L1604" t="n">
        <v>0.884</v>
      </c>
      <c r="M1604" t="n">
        <v>0</v>
      </c>
    </row>
    <row r="1605" spans="1:13">
      <c r="A1605" s="1">
        <f>HYPERLINK("http://www.twitter.com/NathanBLawrence/status/989646660539240448", "989646660539240448")</f>
        <v/>
      </c>
      <c r="B1605" s="2" t="n">
        <v>43216.9759837963</v>
      </c>
      <c r="C1605" t="n">
        <v>10</v>
      </c>
      <c r="D1605" t="n">
        <v>12</v>
      </c>
      <c r="E1605" t="s">
        <v>1614</v>
      </c>
      <c r="F1605" t="s"/>
      <c r="G1605" t="s"/>
      <c r="H1605" t="s"/>
      <c r="I1605" t="s"/>
      <c r="J1605" t="n">
        <v>-0.5266999999999999</v>
      </c>
      <c r="K1605" t="n">
        <v>0.188</v>
      </c>
      <c r="L1605" t="n">
        <v>0.8120000000000001</v>
      </c>
      <c r="M1605" t="n">
        <v>0</v>
      </c>
    </row>
    <row r="1606" spans="1:13">
      <c r="A1606" s="1">
        <f>HYPERLINK("http://www.twitter.com/NathanBLawrence/status/989644471418703873", "989644471418703873")</f>
        <v/>
      </c>
      <c r="B1606" s="2" t="n">
        <v>43216.96994212963</v>
      </c>
      <c r="C1606" t="n">
        <v>7</v>
      </c>
      <c r="D1606" t="n">
        <v>5</v>
      </c>
      <c r="E1606" t="s">
        <v>1615</v>
      </c>
      <c r="F1606">
        <f>HYPERLINK("http://pbs.twimg.com/media/DbvsZbMU0AA-0l3.jpg", "http://pbs.twimg.com/media/DbvsZbMU0AA-0l3.jpg")</f>
        <v/>
      </c>
      <c r="G1606" t="s"/>
      <c r="H1606" t="s"/>
      <c r="I1606" t="s"/>
      <c r="J1606" t="n">
        <v>-0.7269</v>
      </c>
      <c r="K1606" t="n">
        <v>0.182</v>
      </c>
      <c r="L1606" t="n">
        <v>0.8179999999999999</v>
      </c>
      <c r="M1606" t="n">
        <v>0</v>
      </c>
    </row>
    <row r="1607" spans="1:13">
      <c r="A1607" s="1">
        <f>HYPERLINK("http://www.twitter.com/NathanBLawrence/status/989635682552438784", "989635682552438784")</f>
        <v/>
      </c>
      <c r="B1607" s="2" t="n">
        <v>43216.94568287037</v>
      </c>
      <c r="C1607" t="n">
        <v>0</v>
      </c>
      <c r="D1607" t="n">
        <v>9</v>
      </c>
      <c r="E1607" t="s">
        <v>1616</v>
      </c>
      <c r="F1607" t="s"/>
      <c r="G1607" t="s"/>
      <c r="H1607" t="s"/>
      <c r="I1607" t="s"/>
      <c r="J1607" t="n">
        <v>0</v>
      </c>
      <c r="K1607" t="n">
        <v>0</v>
      </c>
      <c r="L1607" t="n">
        <v>1</v>
      </c>
      <c r="M1607" t="n">
        <v>0</v>
      </c>
    </row>
    <row r="1608" spans="1:13">
      <c r="A1608" s="1">
        <f>HYPERLINK("http://www.twitter.com/NathanBLawrence/status/989635535592480768", "989635535592480768")</f>
        <v/>
      </c>
      <c r="B1608" s="2" t="n">
        <v>43216.94527777778</v>
      </c>
      <c r="C1608" t="n">
        <v>1</v>
      </c>
      <c r="D1608" t="n">
        <v>0</v>
      </c>
      <c r="E1608" t="s">
        <v>1617</v>
      </c>
      <c r="F1608" t="s"/>
      <c r="G1608" t="s"/>
      <c r="H1608" t="s"/>
      <c r="I1608" t="s"/>
      <c r="J1608" t="n">
        <v>0</v>
      </c>
      <c r="K1608" t="n">
        <v>0</v>
      </c>
      <c r="L1608" t="n">
        <v>1</v>
      </c>
      <c r="M1608" t="n">
        <v>0</v>
      </c>
    </row>
    <row r="1609" spans="1:13">
      <c r="A1609" s="1">
        <f>HYPERLINK("http://www.twitter.com/NathanBLawrence/status/989635136215044097", "989635136215044097")</f>
        <v/>
      </c>
      <c r="B1609" s="2" t="n">
        <v>43216.94417824074</v>
      </c>
      <c r="C1609" t="n">
        <v>9</v>
      </c>
      <c r="D1609" t="n">
        <v>9</v>
      </c>
      <c r="E1609" t="s">
        <v>1618</v>
      </c>
      <c r="F1609" t="s"/>
      <c r="G1609" t="s"/>
      <c r="H1609" t="s"/>
      <c r="I1609" t="s"/>
      <c r="J1609" t="n">
        <v>-0.7176</v>
      </c>
      <c r="K1609" t="n">
        <v>0.177</v>
      </c>
      <c r="L1609" t="n">
        <v>0.747</v>
      </c>
      <c r="M1609" t="n">
        <v>0.076</v>
      </c>
    </row>
    <row r="1610" spans="1:13">
      <c r="A1610" s="1">
        <f>HYPERLINK("http://www.twitter.com/NathanBLawrence/status/989632856573005824", "989632856573005824")</f>
        <v/>
      </c>
      <c r="B1610" s="2" t="n">
        <v>43216.93789351852</v>
      </c>
      <c r="C1610" t="n">
        <v>0</v>
      </c>
      <c r="D1610" t="n">
        <v>0</v>
      </c>
      <c r="E1610" t="s">
        <v>1619</v>
      </c>
      <c r="F1610" t="s"/>
      <c r="G1610" t="s"/>
      <c r="H1610" t="s"/>
      <c r="I1610" t="s"/>
      <c r="J1610" t="n">
        <v>0.2057</v>
      </c>
      <c r="K1610" t="n">
        <v>0</v>
      </c>
      <c r="L1610" t="n">
        <v>0.794</v>
      </c>
      <c r="M1610" t="n">
        <v>0.206</v>
      </c>
    </row>
    <row r="1611" spans="1:13">
      <c r="A1611" s="1">
        <f>HYPERLINK("http://www.twitter.com/NathanBLawrence/status/989631591361253378", "989631591361253378")</f>
        <v/>
      </c>
      <c r="B1611" s="2" t="n">
        <v>43216.93439814815</v>
      </c>
      <c r="C1611" t="n">
        <v>0</v>
      </c>
      <c r="D1611" t="n">
        <v>37</v>
      </c>
      <c r="E1611" t="s">
        <v>1620</v>
      </c>
      <c r="F1611" t="s"/>
      <c r="G1611" t="s"/>
      <c r="H1611" t="s"/>
      <c r="I1611" t="s"/>
      <c r="J1611" t="n">
        <v>0.0857</v>
      </c>
      <c r="K1611" t="n">
        <v>0.104</v>
      </c>
      <c r="L1611" t="n">
        <v>0.78</v>
      </c>
      <c r="M1611" t="n">
        <v>0.116</v>
      </c>
    </row>
    <row r="1612" spans="1:13">
      <c r="A1612" s="1">
        <f>HYPERLINK("http://www.twitter.com/NathanBLawrence/status/989631213760589824", "989631213760589824")</f>
        <v/>
      </c>
      <c r="B1612" s="2" t="n">
        <v>43216.93335648148</v>
      </c>
      <c r="C1612" t="n">
        <v>0</v>
      </c>
      <c r="D1612" t="n">
        <v>11</v>
      </c>
      <c r="E1612" t="s">
        <v>1621</v>
      </c>
      <c r="F1612" t="s"/>
      <c r="G1612" t="s"/>
      <c r="H1612" t="s"/>
      <c r="I1612" t="s"/>
      <c r="J1612" t="n">
        <v>0</v>
      </c>
      <c r="K1612" t="n">
        <v>0</v>
      </c>
      <c r="L1612" t="n">
        <v>1</v>
      </c>
      <c r="M1612" t="n">
        <v>0</v>
      </c>
    </row>
    <row r="1613" spans="1:13">
      <c r="A1613" s="1">
        <f>HYPERLINK("http://www.twitter.com/NathanBLawrence/status/989630976103010305", "989630976103010305")</f>
        <v/>
      </c>
      <c r="B1613" s="2" t="n">
        <v>43216.93269675926</v>
      </c>
      <c r="C1613" t="n">
        <v>0</v>
      </c>
      <c r="D1613" t="n">
        <v>1</v>
      </c>
      <c r="E1613" t="s">
        <v>1622</v>
      </c>
      <c r="F1613" t="s"/>
      <c r="G1613" t="s"/>
      <c r="H1613" t="s"/>
      <c r="I1613" t="s"/>
      <c r="J1613" t="n">
        <v>0</v>
      </c>
      <c r="K1613" t="n">
        <v>0</v>
      </c>
      <c r="L1613" t="n">
        <v>1</v>
      </c>
      <c r="M1613" t="n">
        <v>0</v>
      </c>
    </row>
    <row r="1614" spans="1:13">
      <c r="A1614" s="1">
        <f>HYPERLINK("http://www.twitter.com/NathanBLawrence/status/989630953529270272", "989630953529270272")</f>
        <v/>
      </c>
      <c r="B1614" s="2" t="n">
        <v>43216.93263888889</v>
      </c>
      <c r="C1614" t="n">
        <v>0</v>
      </c>
      <c r="D1614" t="n">
        <v>15</v>
      </c>
      <c r="E1614" t="s">
        <v>1623</v>
      </c>
      <c r="F1614">
        <f>HYPERLINK("http://pbs.twimg.com/media/Dbvbs8rWAAIJEqq.jpg", "http://pbs.twimg.com/media/Dbvbs8rWAAIJEqq.jpg")</f>
        <v/>
      </c>
      <c r="G1614" t="s"/>
      <c r="H1614" t="s"/>
      <c r="I1614" t="s"/>
      <c r="J1614" t="n">
        <v>0.4404</v>
      </c>
      <c r="K1614" t="n">
        <v>0</v>
      </c>
      <c r="L1614" t="n">
        <v>0.838</v>
      </c>
      <c r="M1614" t="n">
        <v>0.162</v>
      </c>
    </row>
    <row r="1615" spans="1:13">
      <c r="A1615" s="1">
        <f>HYPERLINK("http://www.twitter.com/NathanBLawrence/status/989630933459505152", "989630933459505152")</f>
        <v/>
      </c>
      <c r="B1615" s="2" t="n">
        <v>43216.93258101852</v>
      </c>
      <c r="C1615" t="n">
        <v>0</v>
      </c>
      <c r="D1615" t="n">
        <v>7</v>
      </c>
      <c r="E1615" t="s">
        <v>1624</v>
      </c>
      <c r="F1615" t="s"/>
      <c r="G1615" t="s"/>
      <c r="H1615" t="s"/>
      <c r="I1615" t="s"/>
      <c r="J1615" t="n">
        <v>0.2732</v>
      </c>
      <c r="K1615" t="n">
        <v>0.064</v>
      </c>
      <c r="L1615" t="n">
        <v>0.822</v>
      </c>
      <c r="M1615" t="n">
        <v>0.114</v>
      </c>
    </row>
    <row r="1616" spans="1:13">
      <c r="A1616" s="1">
        <f>HYPERLINK("http://www.twitter.com/NathanBLawrence/status/989623870419283968", "989623870419283968")</f>
        <v/>
      </c>
      <c r="B1616" s="2" t="n">
        <v>43216.91309027778</v>
      </c>
      <c r="C1616" t="n">
        <v>0</v>
      </c>
      <c r="D1616" t="n">
        <v>5</v>
      </c>
      <c r="E1616" t="s">
        <v>1625</v>
      </c>
      <c r="F1616" t="s"/>
      <c r="G1616" t="s"/>
      <c r="H1616" t="s"/>
      <c r="I1616" t="s"/>
      <c r="J1616" t="n">
        <v>0</v>
      </c>
      <c r="K1616" t="n">
        <v>0</v>
      </c>
      <c r="L1616" t="n">
        <v>1</v>
      </c>
      <c r="M1616" t="n">
        <v>0</v>
      </c>
    </row>
    <row r="1617" spans="1:13">
      <c r="A1617" s="1">
        <f>HYPERLINK("http://www.twitter.com/NathanBLawrence/status/989614441942671360", "989614441942671360")</f>
        <v/>
      </c>
      <c r="B1617" s="2" t="n">
        <v>43216.88707175926</v>
      </c>
      <c r="C1617" t="n">
        <v>0</v>
      </c>
      <c r="D1617" t="n">
        <v>0</v>
      </c>
      <c r="E1617" t="s">
        <v>1626</v>
      </c>
      <c r="F1617" t="s"/>
      <c r="G1617" t="s"/>
      <c r="H1617" t="s"/>
      <c r="I1617" t="s"/>
      <c r="J1617" t="n">
        <v>0</v>
      </c>
      <c r="K1617" t="n">
        <v>0</v>
      </c>
      <c r="L1617" t="n">
        <v>1</v>
      </c>
      <c r="M1617" t="n">
        <v>0</v>
      </c>
    </row>
    <row r="1618" spans="1:13">
      <c r="A1618" s="1">
        <f>HYPERLINK("http://www.twitter.com/NathanBLawrence/status/989614242998505472", "989614242998505472")</f>
        <v/>
      </c>
      <c r="B1618" s="2" t="n">
        <v>43216.88652777778</v>
      </c>
      <c r="C1618" t="n">
        <v>1</v>
      </c>
      <c r="D1618" t="n">
        <v>0</v>
      </c>
      <c r="E1618" t="s">
        <v>1627</v>
      </c>
      <c r="F1618" t="s"/>
      <c r="G1618" t="s"/>
      <c r="H1618" t="s"/>
      <c r="I1618" t="s"/>
      <c r="J1618" t="n">
        <v>0</v>
      </c>
      <c r="K1618" t="n">
        <v>0</v>
      </c>
      <c r="L1618" t="n">
        <v>1</v>
      </c>
      <c r="M1618" t="n">
        <v>0</v>
      </c>
    </row>
    <row r="1619" spans="1:13">
      <c r="A1619" s="1">
        <f>HYPERLINK("http://www.twitter.com/NathanBLawrence/status/989611614960783360", "989611614960783360")</f>
        <v/>
      </c>
      <c r="B1619" s="2" t="n">
        <v>43216.87927083333</v>
      </c>
      <c r="C1619" t="n">
        <v>0</v>
      </c>
      <c r="D1619" t="n">
        <v>0</v>
      </c>
      <c r="E1619" t="s">
        <v>1628</v>
      </c>
      <c r="F1619" t="s"/>
      <c r="G1619" t="s"/>
      <c r="H1619" t="s"/>
      <c r="I1619" t="s"/>
      <c r="J1619" t="n">
        <v>0</v>
      </c>
      <c r="K1619" t="n">
        <v>0</v>
      </c>
      <c r="L1619" t="n">
        <v>1</v>
      </c>
      <c r="M1619" t="n">
        <v>0</v>
      </c>
    </row>
    <row r="1620" spans="1:13">
      <c r="A1620" s="1">
        <f>HYPERLINK("http://www.twitter.com/NathanBLawrence/status/989608648447004677", "989608648447004677")</f>
        <v/>
      </c>
      <c r="B1620" s="2" t="n">
        <v>43216.87108796297</v>
      </c>
      <c r="C1620" t="n">
        <v>0</v>
      </c>
      <c r="D1620" t="n">
        <v>12</v>
      </c>
      <c r="E1620" t="s">
        <v>1629</v>
      </c>
      <c r="F1620" t="s"/>
      <c r="G1620" t="s"/>
      <c r="H1620" t="s"/>
      <c r="I1620" t="s"/>
      <c r="J1620" t="n">
        <v>0.128</v>
      </c>
      <c r="K1620" t="n">
        <v>0</v>
      </c>
      <c r="L1620" t="n">
        <v>0.897</v>
      </c>
      <c r="M1620" t="n">
        <v>0.103</v>
      </c>
    </row>
    <row r="1621" spans="1:13">
      <c r="A1621" s="1">
        <f>HYPERLINK("http://www.twitter.com/NathanBLawrence/status/989606022351409154", "989606022351409154")</f>
        <v/>
      </c>
      <c r="B1621" s="2" t="n">
        <v>43216.86384259259</v>
      </c>
      <c r="C1621" t="n">
        <v>0</v>
      </c>
      <c r="D1621" t="n">
        <v>6</v>
      </c>
      <c r="E1621" t="s">
        <v>1630</v>
      </c>
      <c r="F1621" t="s"/>
      <c r="G1621" t="s"/>
      <c r="H1621" t="s"/>
      <c r="I1621" t="s"/>
      <c r="J1621" t="n">
        <v>0</v>
      </c>
      <c r="K1621" t="n">
        <v>0</v>
      </c>
      <c r="L1621" t="n">
        <v>1</v>
      </c>
      <c r="M1621" t="n">
        <v>0</v>
      </c>
    </row>
    <row r="1622" spans="1:13">
      <c r="A1622" s="1">
        <f>HYPERLINK("http://www.twitter.com/NathanBLawrence/status/989602801016766464", "989602801016766464")</f>
        <v/>
      </c>
      <c r="B1622" s="2" t="n">
        <v>43216.8549537037</v>
      </c>
      <c r="C1622" t="n">
        <v>1</v>
      </c>
      <c r="D1622" t="n">
        <v>0</v>
      </c>
      <c r="E1622" t="s">
        <v>1631</v>
      </c>
      <c r="F1622" t="s"/>
      <c r="G1622" t="s"/>
      <c r="H1622" t="s"/>
      <c r="I1622" t="s"/>
      <c r="J1622" t="n">
        <v>0</v>
      </c>
      <c r="K1622" t="n">
        <v>0</v>
      </c>
      <c r="L1622" t="n">
        <v>1</v>
      </c>
      <c r="M1622" t="n">
        <v>0</v>
      </c>
    </row>
    <row r="1623" spans="1:13">
      <c r="A1623" s="1">
        <f>HYPERLINK("http://www.twitter.com/NathanBLawrence/status/989591006684295173", "989591006684295173")</f>
        <v/>
      </c>
      <c r="B1623" s="2" t="n">
        <v>43216.82240740741</v>
      </c>
      <c r="C1623" t="n">
        <v>1</v>
      </c>
      <c r="D1623" t="n">
        <v>0</v>
      </c>
      <c r="E1623" t="s">
        <v>1632</v>
      </c>
      <c r="F1623" t="s"/>
      <c r="G1623" t="s"/>
      <c r="H1623" t="s"/>
      <c r="I1623" t="s"/>
      <c r="J1623" t="n">
        <v>0.7965</v>
      </c>
      <c r="K1623" t="n">
        <v>0</v>
      </c>
      <c r="L1623" t="n">
        <v>0.6929999999999999</v>
      </c>
      <c r="M1623" t="n">
        <v>0.307</v>
      </c>
    </row>
    <row r="1624" spans="1:13">
      <c r="A1624" s="1">
        <f>HYPERLINK("http://www.twitter.com/NathanBLawrence/status/989588772869296128", "989588772869296128")</f>
        <v/>
      </c>
      <c r="B1624" s="2" t="n">
        <v>43216.81623842593</v>
      </c>
      <c r="C1624" t="n">
        <v>9</v>
      </c>
      <c r="D1624" t="n">
        <v>11</v>
      </c>
      <c r="E1624" t="s">
        <v>1633</v>
      </c>
      <c r="F1624" t="s"/>
      <c r="G1624" t="s"/>
      <c r="H1624" t="s"/>
      <c r="I1624" t="s"/>
      <c r="J1624" t="n">
        <v>-0.9294</v>
      </c>
      <c r="K1624" t="n">
        <v>0.345</v>
      </c>
      <c r="L1624" t="n">
        <v>0.655</v>
      </c>
      <c r="M1624" t="n">
        <v>0</v>
      </c>
    </row>
    <row r="1625" spans="1:13">
      <c r="A1625" s="1">
        <f>HYPERLINK("http://www.twitter.com/NathanBLawrence/status/989587907131342848", "989587907131342848")</f>
        <v/>
      </c>
      <c r="B1625" s="2" t="n">
        <v>43216.81385416666</v>
      </c>
      <c r="C1625" t="n">
        <v>3</v>
      </c>
      <c r="D1625" t="n">
        <v>2</v>
      </c>
      <c r="E1625" t="s">
        <v>1634</v>
      </c>
      <c r="F1625" t="s"/>
      <c r="G1625" t="s"/>
      <c r="H1625" t="s"/>
      <c r="I1625" t="s"/>
      <c r="J1625" t="n">
        <v>-0.6711</v>
      </c>
      <c r="K1625" t="n">
        <v>0.234</v>
      </c>
      <c r="L1625" t="n">
        <v>0.766</v>
      </c>
      <c r="M1625" t="n">
        <v>0</v>
      </c>
    </row>
    <row r="1626" spans="1:13">
      <c r="A1626" s="1">
        <f>HYPERLINK("http://www.twitter.com/NathanBLawrence/status/989582472605298688", "989582472605298688")</f>
        <v/>
      </c>
      <c r="B1626" s="2" t="n">
        <v>43216.79885416666</v>
      </c>
      <c r="C1626" t="n">
        <v>0</v>
      </c>
      <c r="D1626" t="n">
        <v>8</v>
      </c>
      <c r="E1626" t="s">
        <v>1635</v>
      </c>
      <c r="F1626" t="s"/>
      <c r="G1626" t="s"/>
      <c r="H1626" t="s"/>
      <c r="I1626" t="s"/>
      <c r="J1626" t="n">
        <v>0.0258</v>
      </c>
      <c r="K1626" t="n">
        <v>0.1</v>
      </c>
      <c r="L1626" t="n">
        <v>0.795</v>
      </c>
      <c r="M1626" t="n">
        <v>0.105</v>
      </c>
    </row>
    <row r="1627" spans="1:13">
      <c r="A1627" s="1">
        <f>HYPERLINK("http://www.twitter.com/NathanBLawrence/status/989582375054135296", "989582375054135296")</f>
        <v/>
      </c>
      <c r="B1627" s="2" t="n">
        <v>43216.79858796296</v>
      </c>
      <c r="C1627" t="n">
        <v>0</v>
      </c>
      <c r="D1627" t="n">
        <v>14</v>
      </c>
      <c r="E1627" t="s">
        <v>1636</v>
      </c>
      <c r="F1627">
        <f>HYPERLINK("http://pbs.twimg.com/media/DbuoNWiX0AAGW03.jpg", "http://pbs.twimg.com/media/DbuoNWiX0AAGW03.jpg")</f>
        <v/>
      </c>
      <c r="G1627">
        <f>HYPERLINK("http://pbs.twimg.com/media/DbuoNw6WkAEH4fJ.jpg", "http://pbs.twimg.com/media/DbuoNw6WkAEH4fJ.jpg")</f>
        <v/>
      </c>
      <c r="H1627" t="s"/>
      <c r="I1627" t="s"/>
      <c r="J1627" t="n">
        <v>0</v>
      </c>
      <c r="K1627" t="n">
        <v>0</v>
      </c>
      <c r="L1627" t="n">
        <v>1</v>
      </c>
      <c r="M1627" t="n">
        <v>0</v>
      </c>
    </row>
    <row r="1628" spans="1:13">
      <c r="A1628" s="1">
        <f>HYPERLINK("http://www.twitter.com/NathanBLawrence/status/989567027227578369", "989567027227578369")</f>
        <v/>
      </c>
      <c r="B1628" s="2" t="n">
        <v>43216.75623842593</v>
      </c>
      <c r="C1628" t="n">
        <v>4</v>
      </c>
      <c r="D1628" t="n">
        <v>3</v>
      </c>
      <c r="E1628" t="s">
        <v>1637</v>
      </c>
      <c r="F1628" t="s"/>
      <c r="G1628" t="s"/>
      <c r="H1628" t="s"/>
      <c r="I1628" t="s"/>
      <c r="J1628" t="n">
        <v>-0.4215</v>
      </c>
      <c r="K1628" t="n">
        <v>0.109</v>
      </c>
      <c r="L1628" t="n">
        <v>0.891</v>
      </c>
      <c r="M1628" t="n">
        <v>0</v>
      </c>
    </row>
    <row r="1629" spans="1:13">
      <c r="A1629" s="1">
        <f>HYPERLINK("http://www.twitter.com/NathanBLawrence/status/989561397452341250", "989561397452341250")</f>
        <v/>
      </c>
      <c r="B1629" s="2" t="n">
        <v>43216.74069444444</v>
      </c>
      <c r="C1629" t="n">
        <v>1</v>
      </c>
      <c r="D1629" t="n">
        <v>0</v>
      </c>
      <c r="E1629" t="s">
        <v>1638</v>
      </c>
      <c r="F1629" t="s"/>
      <c r="G1629" t="s"/>
      <c r="H1629" t="s"/>
      <c r="I1629" t="s"/>
      <c r="J1629" t="n">
        <v>0</v>
      </c>
      <c r="K1629" t="n">
        <v>0</v>
      </c>
      <c r="L1629" t="n">
        <v>1</v>
      </c>
      <c r="M1629" t="n">
        <v>0</v>
      </c>
    </row>
    <row r="1630" spans="1:13">
      <c r="A1630" s="1">
        <f>HYPERLINK("http://www.twitter.com/NathanBLawrence/status/989560991859052544", "989560991859052544")</f>
        <v/>
      </c>
      <c r="B1630" s="2" t="n">
        <v>43216.73958333334</v>
      </c>
      <c r="C1630" t="n">
        <v>6</v>
      </c>
      <c r="D1630" t="n">
        <v>8</v>
      </c>
      <c r="E1630" t="s">
        <v>1639</v>
      </c>
      <c r="F1630" t="s"/>
      <c r="G1630" t="s"/>
      <c r="H1630" t="s"/>
      <c r="I1630" t="s"/>
      <c r="J1630" t="n">
        <v>-0.7088</v>
      </c>
      <c r="K1630" t="n">
        <v>0.131</v>
      </c>
      <c r="L1630" t="n">
        <v>0.869</v>
      </c>
      <c r="M1630" t="n">
        <v>0</v>
      </c>
    </row>
    <row r="1631" spans="1:13">
      <c r="A1631" s="1">
        <f>HYPERLINK("http://www.twitter.com/NathanBLawrence/status/989558229628805120", "989558229628805120")</f>
        <v/>
      </c>
      <c r="B1631" s="2" t="n">
        <v>43216.73195601852</v>
      </c>
      <c r="C1631" t="n">
        <v>0</v>
      </c>
      <c r="D1631" t="n">
        <v>2</v>
      </c>
      <c r="E1631" t="s">
        <v>1640</v>
      </c>
      <c r="F1631" t="s"/>
      <c r="G1631" t="s"/>
      <c r="H1631" t="s"/>
      <c r="I1631" t="s"/>
      <c r="J1631" t="n">
        <v>-0.4404</v>
      </c>
      <c r="K1631" t="n">
        <v>0.127</v>
      </c>
      <c r="L1631" t="n">
        <v>0.873</v>
      </c>
      <c r="M1631" t="n">
        <v>0</v>
      </c>
    </row>
    <row r="1632" spans="1:13">
      <c r="A1632" s="1">
        <f>HYPERLINK("http://www.twitter.com/NathanBLawrence/status/989558210561441792", "989558210561441792")</f>
        <v/>
      </c>
      <c r="B1632" s="2" t="n">
        <v>43216.73190972222</v>
      </c>
      <c r="C1632" t="n">
        <v>0</v>
      </c>
      <c r="D1632" t="n">
        <v>4</v>
      </c>
      <c r="E1632" t="s">
        <v>1641</v>
      </c>
      <c r="F1632" t="s"/>
      <c r="G1632" t="s"/>
      <c r="H1632" t="s"/>
      <c r="I1632" t="s"/>
      <c r="J1632" t="n">
        <v>-0.4199</v>
      </c>
      <c r="K1632" t="n">
        <v>0.188</v>
      </c>
      <c r="L1632" t="n">
        <v>0.725</v>
      </c>
      <c r="M1632" t="n">
        <v>0.08699999999999999</v>
      </c>
    </row>
    <row r="1633" spans="1:13">
      <c r="A1633" s="1">
        <f>HYPERLINK("http://www.twitter.com/NathanBLawrence/status/989557505607991296", "989557505607991296")</f>
        <v/>
      </c>
      <c r="B1633" s="2" t="n">
        <v>43216.72996527778</v>
      </c>
      <c r="C1633" t="n">
        <v>1</v>
      </c>
      <c r="D1633" t="n">
        <v>0</v>
      </c>
      <c r="E1633" t="s">
        <v>1642</v>
      </c>
      <c r="F1633" t="s"/>
      <c r="G1633" t="s"/>
      <c r="H1633" t="s"/>
      <c r="I1633" t="s"/>
      <c r="J1633" t="n">
        <v>-0.8456</v>
      </c>
      <c r="K1633" t="n">
        <v>0.276</v>
      </c>
      <c r="L1633" t="n">
        <v>0.724</v>
      </c>
      <c r="M1633" t="n">
        <v>0</v>
      </c>
    </row>
    <row r="1634" spans="1:13">
      <c r="A1634" s="1">
        <f>HYPERLINK("http://www.twitter.com/NathanBLawrence/status/989548720227221509", "989548720227221509")</f>
        <v/>
      </c>
      <c r="B1634" s="2" t="n">
        <v>43216.70571759259</v>
      </c>
      <c r="C1634" t="n">
        <v>0</v>
      </c>
      <c r="D1634" t="n">
        <v>4</v>
      </c>
      <c r="E1634" t="s">
        <v>1643</v>
      </c>
      <c r="F1634">
        <f>HYPERLINK("http://pbs.twimg.com/media/DbuG1bIU0AAfXH_.jpg", "http://pbs.twimg.com/media/DbuG1bIU0AAfXH_.jpg")</f>
        <v/>
      </c>
      <c r="G1634" t="s"/>
      <c r="H1634" t="s"/>
      <c r="I1634" t="s"/>
      <c r="J1634" t="n">
        <v>-0.4404</v>
      </c>
      <c r="K1634" t="n">
        <v>0.127</v>
      </c>
      <c r="L1634" t="n">
        <v>0.873</v>
      </c>
      <c r="M1634" t="n">
        <v>0</v>
      </c>
    </row>
    <row r="1635" spans="1:13">
      <c r="A1635" s="1">
        <f>HYPERLINK("http://www.twitter.com/NathanBLawrence/status/989548404438118401", "989548404438118401")</f>
        <v/>
      </c>
      <c r="B1635" s="2" t="n">
        <v>43216.70484953704</v>
      </c>
      <c r="C1635" t="n">
        <v>0</v>
      </c>
      <c r="D1635" t="n">
        <v>0</v>
      </c>
      <c r="E1635" t="s">
        <v>1644</v>
      </c>
      <c r="F1635" t="s"/>
      <c r="G1635" t="s"/>
      <c r="H1635" t="s"/>
      <c r="I1635" t="s"/>
      <c r="J1635" t="n">
        <v>0</v>
      </c>
      <c r="K1635" t="n">
        <v>0</v>
      </c>
      <c r="L1635" t="n">
        <v>1</v>
      </c>
      <c r="M1635" t="n">
        <v>0</v>
      </c>
    </row>
    <row r="1636" spans="1:13">
      <c r="A1636" s="1">
        <f>HYPERLINK("http://www.twitter.com/NathanBLawrence/status/989548195943415808", "989548195943415808")</f>
        <v/>
      </c>
      <c r="B1636" s="2" t="n">
        <v>43216.70427083333</v>
      </c>
      <c r="C1636" t="n">
        <v>0</v>
      </c>
      <c r="D1636" t="n">
        <v>12</v>
      </c>
      <c r="E1636" t="s">
        <v>1645</v>
      </c>
      <c r="F1636" t="s"/>
      <c r="G1636" t="s"/>
      <c r="H1636" t="s"/>
      <c r="I1636" t="s"/>
      <c r="J1636" t="n">
        <v>-0.3089</v>
      </c>
      <c r="K1636" t="n">
        <v>0.111</v>
      </c>
      <c r="L1636" t="n">
        <v>0.889</v>
      </c>
      <c r="M1636" t="n">
        <v>0</v>
      </c>
    </row>
    <row r="1637" spans="1:13">
      <c r="A1637" s="1">
        <f>HYPERLINK("http://www.twitter.com/NathanBLawrence/status/989548147612536832", "989548147612536832")</f>
        <v/>
      </c>
      <c r="B1637" s="2" t="n">
        <v>43216.70413194445</v>
      </c>
      <c r="C1637" t="n">
        <v>0</v>
      </c>
      <c r="D1637" t="n">
        <v>8</v>
      </c>
      <c r="E1637" t="s">
        <v>1646</v>
      </c>
      <c r="F1637" t="s"/>
      <c r="G1637" t="s"/>
      <c r="H1637" t="s"/>
      <c r="I1637" t="s"/>
      <c r="J1637" t="n">
        <v>-0.0788</v>
      </c>
      <c r="K1637" t="n">
        <v>0.062</v>
      </c>
      <c r="L1637" t="n">
        <v>0.887</v>
      </c>
      <c r="M1637" t="n">
        <v>0.051</v>
      </c>
    </row>
    <row r="1638" spans="1:13">
      <c r="A1638" s="1">
        <f>HYPERLINK("http://www.twitter.com/NathanBLawrence/status/989547807655780353", "989547807655780353")</f>
        <v/>
      </c>
      <c r="B1638" s="2" t="n">
        <v>43216.70319444445</v>
      </c>
      <c r="C1638" t="n">
        <v>0</v>
      </c>
      <c r="D1638" t="n">
        <v>1</v>
      </c>
      <c r="E1638" t="s">
        <v>1647</v>
      </c>
      <c r="F1638" t="s"/>
      <c r="G1638" t="s"/>
      <c r="H1638" t="s"/>
      <c r="I1638" t="s"/>
      <c r="J1638" t="n">
        <v>-0.4588</v>
      </c>
      <c r="K1638" t="n">
        <v>0.146</v>
      </c>
      <c r="L1638" t="n">
        <v>0.792</v>
      </c>
      <c r="M1638" t="n">
        <v>0.062</v>
      </c>
    </row>
    <row r="1639" spans="1:13">
      <c r="A1639" s="1">
        <f>HYPERLINK("http://www.twitter.com/NathanBLawrence/status/989547552533110785", "989547552533110785")</f>
        <v/>
      </c>
      <c r="B1639" s="2" t="n">
        <v>43216.7025</v>
      </c>
      <c r="C1639" t="n">
        <v>0</v>
      </c>
      <c r="D1639" t="n">
        <v>1</v>
      </c>
      <c r="E1639" t="s">
        <v>1648</v>
      </c>
      <c r="F1639" t="s"/>
      <c r="G1639" t="s"/>
      <c r="H1639" t="s"/>
      <c r="I1639" t="s"/>
      <c r="J1639" t="n">
        <v>0.128</v>
      </c>
      <c r="K1639" t="n">
        <v>0</v>
      </c>
      <c r="L1639" t="n">
        <v>0.88</v>
      </c>
      <c r="M1639" t="n">
        <v>0.12</v>
      </c>
    </row>
    <row r="1640" spans="1:13">
      <c r="A1640" s="1">
        <f>HYPERLINK("http://www.twitter.com/NathanBLawrence/status/989547483452858368", "989547483452858368")</f>
        <v/>
      </c>
      <c r="B1640" s="2" t="n">
        <v>43216.70230324074</v>
      </c>
      <c r="C1640" t="n">
        <v>0</v>
      </c>
      <c r="D1640" t="n">
        <v>2</v>
      </c>
      <c r="E1640" t="s">
        <v>1649</v>
      </c>
      <c r="F1640" t="s"/>
      <c r="G1640" t="s"/>
      <c r="H1640" t="s"/>
      <c r="I1640" t="s"/>
      <c r="J1640" t="n">
        <v>-0.7783</v>
      </c>
      <c r="K1640" t="n">
        <v>0.236</v>
      </c>
      <c r="L1640" t="n">
        <v>0.764</v>
      </c>
      <c r="M1640" t="n">
        <v>0</v>
      </c>
    </row>
    <row r="1641" spans="1:13">
      <c r="A1641" s="1">
        <f>HYPERLINK("http://www.twitter.com/NathanBLawrence/status/989529713361215490", "989529713361215490")</f>
        <v/>
      </c>
      <c r="B1641" s="2" t="n">
        <v>43216.65326388889</v>
      </c>
      <c r="C1641" t="n">
        <v>0</v>
      </c>
      <c r="D1641" t="n">
        <v>5</v>
      </c>
      <c r="E1641" t="s">
        <v>1650</v>
      </c>
      <c r="F1641" t="s"/>
      <c r="G1641" t="s"/>
      <c r="H1641" t="s"/>
      <c r="I1641" t="s"/>
      <c r="J1641" t="n">
        <v>-0.8658</v>
      </c>
      <c r="K1641" t="n">
        <v>0.422</v>
      </c>
      <c r="L1641" t="n">
        <v>0.578</v>
      </c>
      <c r="M1641" t="n">
        <v>0</v>
      </c>
    </row>
    <row r="1642" spans="1:13">
      <c r="A1642" s="1">
        <f>HYPERLINK("http://www.twitter.com/NathanBLawrence/status/989529429847179270", "989529429847179270")</f>
        <v/>
      </c>
      <c r="B1642" s="2" t="n">
        <v>43216.65248842593</v>
      </c>
      <c r="C1642" t="n">
        <v>2</v>
      </c>
      <c r="D1642" t="n">
        <v>0</v>
      </c>
      <c r="E1642" t="s">
        <v>1651</v>
      </c>
      <c r="F1642" t="s"/>
      <c r="G1642" t="s"/>
      <c r="H1642" t="s"/>
      <c r="I1642" t="s"/>
      <c r="J1642" t="n">
        <v>-0.9041</v>
      </c>
      <c r="K1642" t="n">
        <v>0.292</v>
      </c>
      <c r="L1642" t="n">
        <v>0.708</v>
      </c>
      <c r="M1642" t="n">
        <v>0</v>
      </c>
    </row>
    <row r="1643" spans="1:13">
      <c r="A1643" s="1">
        <f>HYPERLINK("http://www.twitter.com/NathanBLawrence/status/989527683473297409", "989527683473297409")</f>
        <v/>
      </c>
      <c r="B1643" s="2" t="n">
        <v>43216.64766203704</v>
      </c>
      <c r="C1643" t="n">
        <v>0</v>
      </c>
      <c r="D1643" t="n">
        <v>12</v>
      </c>
      <c r="E1643" t="s">
        <v>1652</v>
      </c>
      <c r="F1643" t="s"/>
      <c r="G1643" t="s"/>
      <c r="H1643" t="s"/>
      <c r="I1643" t="s"/>
      <c r="J1643" t="n">
        <v>-0.5411</v>
      </c>
      <c r="K1643" t="n">
        <v>0.171</v>
      </c>
      <c r="L1643" t="n">
        <v>0.757</v>
      </c>
      <c r="M1643" t="n">
        <v>0.07199999999999999</v>
      </c>
    </row>
    <row r="1644" spans="1:13">
      <c r="A1644" s="1">
        <f>HYPERLINK("http://www.twitter.com/NathanBLawrence/status/989527559074451457", "989527559074451457")</f>
        <v/>
      </c>
      <c r="B1644" s="2" t="n">
        <v>43216.64732638889</v>
      </c>
      <c r="C1644" t="n">
        <v>1</v>
      </c>
      <c r="D1644" t="n">
        <v>0</v>
      </c>
      <c r="E1644" t="s">
        <v>1653</v>
      </c>
      <c r="F1644" t="s"/>
      <c r="G1644" t="s"/>
      <c r="H1644" t="s"/>
      <c r="I1644" t="s"/>
      <c r="J1644" t="n">
        <v>-0.9493</v>
      </c>
      <c r="K1644" t="n">
        <v>0.415</v>
      </c>
      <c r="L1644" t="n">
        <v>0.585</v>
      </c>
      <c r="M1644" t="n">
        <v>0</v>
      </c>
    </row>
    <row r="1645" spans="1:13">
      <c r="A1645" s="1">
        <f>HYPERLINK("http://www.twitter.com/NathanBLawrence/status/989524443708915713", "989524443708915713")</f>
        <v/>
      </c>
      <c r="B1645" s="2" t="n">
        <v>43216.63872685185</v>
      </c>
      <c r="C1645" t="n">
        <v>16</v>
      </c>
      <c r="D1645" t="n">
        <v>16</v>
      </c>
      <c r="E1645" t="s">
        <v>1654</v>
      </c>
      <c r="F1645" t="s"/>
      <c r="G1645" t="s"/>
      <c r="H1645" t="s"/>
      <c r="I1645" t="s"/>
      <c r="J1645" t="n">
        <v>-0.7494</v>
      </c>
      <c r="K1645" t="n">
        <v>0.211</v>
      </c>
      <c r="L1645" t="n">
        <v>0.6870000000000001</v>
      </c>
      <c r="M1645" t="n">
        <v>0.101</v>
      </c>
    </row>
    <row r="1646" spans="1:13">
      <c r="A1646" s="1">
        <f>HYPERLINK("http://www.twitter.com/NathanBLawrence/status/989512952935051264", "989512952935051264")</f>
        <v/>
      </c>
      <c r="B1646" s="2" t="n">
        <v>43216.60701388889</v>
      </c>
      <c r="C1646" t="n">
        <v>0</v>
      </c>
      <c r="D1646" t="n">
        <v>25</v>
      </c>
      <c r="E1646" t="s">
        <v>1655</v>
      </c>
      <c r="F1646" t="s"/>
      <c r="G1646" t="s"/>
      <c r="H1646" t="s"/>
      <c r="I1646" t="s"/>
      <c r="J1646" t="n">
        <v>0</v>
      </c>
      <c r="K1646" t="n">
        <v>0</v>
      </c>
      <c r="L1646" t="n">
        <v>1</v>
      </c>
      <c r="M1646" t="n">
        <v>0</v>
      </c>
    </row>
    <row r="1647" spans="1:13">
      <c r="A1647" s="1">
        <f>HYPERLINK("http://www.twitter.com/NathanBLawrence/status/989512876720381952", "989512876720381952")</f>
        <v/>
      </c>
      <c r="B1647" s="2" t="n">
        <v>43216.60680555556</v>
      </c>
      <c r="C1647" t="n">
        <v>2</v>
      </c>
      <c r="D1647" t="n">
        <v>0</v>
      </c>
      <c r="E1647" t="s">
        <v>1656</v>
      </c>
      <c r="F1647" t="s"/>
      <c r="G1647" t="s"/>
      <c r="H1647" t="s"/>
      <c r="I1647" t="s"/>
      <c r="J1647" t="n">
        <v>0</v>
      </c>
      <c r="K1647" t="n">
        <v>0</v>
      </c>
      <c r="L1647" t="n">
        <v>1</v>
      </c>
      <c r="M1647" t="n">
        <v>0</v>
      </c>
    </row>
    <row r="1648" spans="1:13">
      <c r="A1648" s="1">
        <f>HYPERLINK("http://www.twitter.com/NathanBLawrence/status/989488473827659777", "989488473827659777")</f>
        <v/>
      </c>
      <c r="B1648" s="2" t="n">
        <v>43216.53946759259</v>
      </c>
      <c r="C1648" t="n">
        <v>0</v>
      </c>
      <c r="D1648" t="n">
        <v>0</v>
      </c>
      <c r="E1648" t="s">
        <v>1657</v>
      </c>
      <c r="F1648" t="s"/>
      <c r="G1648" t="s"/>
      <c r="H1648" t="s"/>
      <c r="I1648" t="s"/>
      <c r="J1648" t="n">
        <v>0.6249</v>
      </c>
      <c r="K1648" t="n">
        <v>0</v>
      </c>
      <c r="L1648" t="n">
        <v>0.579</v>
      </c>
      <c r="M1648" t="n">
        <v>0.421</v>
      </c>
    </row>
    <row r="1649" spans="1:13">
      <c r="A1649" s="1">
        <f>HYPERLINK("http://www.twitter.com/NathanBLawrence/status/989485814085283841", "989485814085283841")</f>
        <v/>
      </c>
      <c r="B1649" s="2" t="n">
        <v>43216.53212962963</v>
      </c>
      <c r="C1649" t="n">
        <v>0</v>
      </c>
      <c r="D1649" t="n">
        <v>0</v>
      </c>
      <c r="E1649" t="s">
        <v>1658</v>
      </c>
      <c r="F1649" t="s"/>
      <c r="G1649" t="s"/>
      <c r="H1649" t="s"/>
      <c r="I1649" t="s"/>
      <c r="J1649" t="n">
        <v>-0.2942</v>
      </c>
      <c r="K1649" t="n">
        <v>0.245</v>
      </c>
      <c r="L1649" t="n">
        <v>0.5669999999999999</v>
      </c>
      <c r="M1649" t="n">
        <v>0.188</v>
      </c>
    </row>
    <row r="1650" spans="1:13">
      <c r="A1650" s="1">
        <f>HYPERLINK("http://www.twitter.com/NathanBLawrence/status/989484160162156545", "989484160162156545")</f>
        <v/>
      </c>
      <c r="B1650" s="2" t="n">
        <v>43216.52756944444</v>
      </c>
      <c r="C1650" t="n">
        <v>1</v>
      </c>
      <c r="D1650" t="n">
        <v>0</v>
      </c>
      <c r="E1650" t="s">
        <v>1659</v>
      </c>
      <c r="F1650" t="s"/>
      <c r="G1650" t="s"/>
      <c r="H1650" t="s"/>
      <c r="I1650" t="s"/>
      <c r="J1650" t="n">
        <v>0.6744</v>
      </c>
      <c r="K1650" t="n">
        <v>0.138</v>
      </c>
      <c r="L1650" t="n">
        <v>0.659</v>
      </c>
      <c r="M1650" t="n">
        <v>0.203</v>
      </c>
    </row>
    <row r="1651" spans="1:13">
      <c r="A1651" s="1">
        <f>HYPERLINK("http://www.twitter.com/NathanBLawrence/status/989481873071132673", "989481873071132673")</f>
        <v/>
      </c>
      <c r="B1651" s="2" t="n">
        <v>43216.52125</v>
      </c>
      <c r="C1651" t="n">
        <v>1</v>
      </c>
      <c r="D1651" t="n">
        <v>1</v>
      </c>
      <c r="E1651" t="s">
        <v>1660</v>
      </c>
      <c r="F1651" t="s"/>
      <c r="G1651" t="s"/>
      <c r="H1651" t="s"/>
      <c r="I1651" t="s"/>
      <c r="J1651" t="n">
        <v>-0.7776999999999999</v>
      </c>
      <c r="K1651" t="n">
        <v>0.152</v>
      </c>
      <c r="L1651" t="n">
        <v>0.848</v>
      </c>
      <c r="M1651" t="n">
        <v>0</v>
      </c>
    </row>
    <row r="1652" spans="1:13">
      <c r="A1652" s="1">
        <f>HYPERLINK("http://www.twitter.com/NathanBLawrence/status/989472344845496320", "989472344845496320")</f>
        <v/>
      </c>
      <c r="B1652" s="2" t="n">
        <v>43216.49496527778</v>
      </c>
      <c r="C1652" t="n">
        <v>4</v>
      </c>
      <c r="D1652" t="n">
        <v>4</v>
      </c>
      <c r="E1652" t="s">
        <v>1661</v>
      </c>
      <c r="F1652" t="s"/>
      <c r="G1652" t="s"/>
      <c r="H1652" t="s"/>
      <c r="I1652" t="s"/>
      <c r="J1652" t="n">
        <v>-0.128</v>
      </c>
      <c r="K1652" t="n">
        <v>0.092</v>
      </c>
      <c r="L1652" t="n">
        <v>0.845</v>
      </c>
      <c r="M1652" t="n">
        <v>0.063</v>
      </c>
    </row>
    <row r="1653" spans="1:13">
      <c r="A1653" s="1">
        <f>HYPERLINK("http://www.twitter.com/NathanBLawrence/status/989465146048372736", "989465146048372736")</f>
        <v/>
      </c>
      <c r="B1653" s="2" t="n">
        <v>43216.47509259259</v>
      </c>
      <c r="C1653" t="n">
        <v>1</v>
      </c>
      <c r="D1653" t="n">
        <v>1</v>
      </c>
      <c r="E1653" t="s">
        <v>1662</v>
      </c>
      <c r="F1653" t="s"/>
      <c r="G1653" t="s"/>
      <c r="H1653" t="s"/>
      <c r="I1653" t="s"/>
      <c r="J1653" t="n">
        <v>0.1779</v>
      </c>
      <c r="K1653" t="n">
        <v>0.097</v>
      </c>
      <c r="L1653" t="n">
        <v>0.739</v>
      </c>
      <c r="M1653" t="n">
        <v>0.163</v>
      </c>
    </row>
    <row r="1654" spans="1:13">
      <c r="A1654" s="1">
        <f>HYPERLINK("http://www.twitter.com/NathanBLawrence/status/989464869874339840", "989464869874339840")</f>
        <v/>
      </c>
      <c r="B1654" s="2" t="n">
        <v>43216.47434027777</v>
      </c>
      <c r="C1654" t="n">
        <v>0</v>
      </c>
      <c r="D1654" t="n">
        <v>3</v>
      </c>
      <c r="E1654" t="s">
        <v>1663</v>
      </c>
      <c r="F1654" t="s"/>
      <c r="G1654" t="s"/>
      <c r="H1654" t="s"/>
      <c r="I1654" t="s"/>
      <c r="J1654" t="n">
        <v>-0.3382</v>
      </c>
      <c r="K1654" t="n">
        <v>0.155</v>
      </c>
      <c r="L1654" t="n">
        <v>0.845</v>
      </c>
      <c r="M1654" t="n">
        <v>0</v>
      </c>
    </row>
    <row r="1655" spans="1:13">
      <c r="A1655" s="1">
        <f>HYPERLINK("http://www.twitter.com/NathanBLawrence/status/989464730657021952", "989464730657021952")</f>
        <v/>
      </c>
      <c r="B1655" s="2" t="n">
        <v>43216.47394675926</v>
      </c>
      <c r="C1655" t="n">
        <v>0</v>
      </c>
      <c r="D1655" t="n">
        <v>12</v>
      </c>
      <c r="E1655" t="s">
        <v>1664</v>
      </c>
      <c r="F1655" t="s"/>
      <c r="G1655" t="s"/>
      <c r="H1655" t="s"/>
      <c r="I1655" t="s"/>
      <c r="J1655" t="n">
        <v>-0.8126</v>
      </c>
      <c r="K1655" t="n">
        <v>0.318</v>
      </c>
      <c r="L1655" t="n">
        <v>0.6820000000000001</v>
      </c>
      <c r="M1655" t="n">
        <v>0</v>
      </c>
    </row>
    <row r="1656" spans="1:13">
      <c r="A1656" s="1">
        <f>HYPERLINK("http://www.twitter.com/NathanBLawrence/status/989464719055556608", "989464719055556608")</f>
        <v/>
      </c>
      <c r="B1656" s="2" t="n">
        <v>43216.47392361111</v>
      </c>
      <c r="C1656" t="n">
        <v>0</v>
      </c>
      <c r="D1656" t="n">
        <v>7</v>
      </c>
      <c r="E1656" t="s">
        <v>1665</v>
      </c>
      <c r="F1656" t="s"/>
      <c r="G1656" t="s"/>
      <c r="H1656" t="s"/>
      <c r="I1656" t="s"/>
      <c r="J1656" t="n">
        <v>-0.6808</v>
      </c>
      <c r="K1656" t="n">
        <v>0.203</v>
      </c>
      <c r="L1656" t="n">
        <v>0.797</v>
      </c>
      <c r="M1656" t="n">
        <v>0</v>
      </c>
    </row>
    <row r="1657" spans="1:13">
      <c r="A1657" s="1">
        <f>HYPERLINK("http://www.twitter.com/NathanBLawrence/status/989464588432355328", "989464588432355328")</f>
        <v/>
      </c>
      <c r="B1657" s="2" t="n">
        <v>43216.47355324074</v>
      </c>
      <c r="C1657" t="n">
        <v>0</v>
      </c>
      <c r="D1657" t="n">
        <v>15</v>
      </c>
      <c r="E1657" t="s">
        <v>1666</v>
      </c>
      <c r="F1657" t="s"/>
      <c r="G1657" t="s"/>
      <c r="H1657" t="s"/>
      <c r="I1657" t="s"/>
      <c r="J1657" t="n">
        <v>-0.8381</v>
      </c>
      <c r="K1657" t="n">
        <v>0.332</v>
      </c>
      <c r="L1657" t="n">
        <v>0.668</v>
      </c>
      <c r="M1657" t="n">
        <v>0</v>
      </c>
    </row>
    <row r="1658" spans="1:13">
      <c r="A1658" s="1">
        <f>HYPERLINK("http://www.twitter.com/NathanBLawrence/status/989464494123503617", "989464494123503617")</f>
        <v/>
      </c>
      <c r="B1658" s="2" t="n">
        <v>43216.47329861111</v>
      </c>
      <c r="C1658" t="n">
        <v>0</v>
      </c>
      <c r="D1658" t="n">
        <v>1</v>
      </c>
      <c r="E1658" t="s">
        <v>1667</v>
      </c>
      <c r="F1658">
        <f>HYPERLINK("http://pbs.twimg.com/media/DbtFrhIVwAABzY8.jpg", "http://pbs.twimg.com/media/DbtFrhIVwAABzY8.jpg")</f>
        <v/>
      </c>
      <c r="G1658" t="s"/>
      <c r="H1658" t="s"/>
      <c r="I1658" t="s"/>
      <c r="J1658" t="n">
        <v>-0.6597</v>
      </c>
      <c r="K1658" t="n">
        <v>0.205</v>
      </c>
      <c r="L1658" t="n">
        <v>0.795</v>
      </c>
      <c r="M1658" t="n">
        <v>0</v>
      </c>
    </row>
    <row r="1659" spans="1:13">
      <c r="A1659" s="1">
        <f>HYPERLINK("http://www.twitter.com/NathanBLawrence/status/989321588892930048", "989321588892930048")</f>
        <v/>
      </c>
      <c r="B1659" s="2" t="n">
        <v>43216.07895833333</v>
      </c>
      <c r="C1659" t="n">
        <v>0</v>
      </c>
      <c r="D1659" t="n">
        <v>8855</v>
      </c>
      <c r="E1659" t="s">
        <v>1668</v>
      </c>
      <c r="F1659" t="s"/>
      <c r="G1659" t="s"/>
      <c r="H1659" t="s"/>
      <c r="I1659" t="s"/>
      <c r="J1659" t="n">
        <v>0.34</v>
      </c>
      <c r="K1659" t="n">
        <v>0.113</v>
      </c>
      <c r="L1659" t="n">
        <v>0.695</v>
      </c>
      <c r="M1659" t="n">
        <v>0.192</v>
      </c>
    </row>
    <row r="1660" spans="1:13">
      <c r="A1660" s="1">
        <f>HYPERLINK("http://www.twitter.com/NathanBLawrence/status/989320167934095362", "989320167934095362")</f>
        <v/>
      </c>
      <c r="B1660" s="2" t="n">
        <v>43216.07503472222</v>
      </c>
      <c r="C1660" t="n">
        <v>0</v>
      </c>
      <c r="D1660" t="n">
        <v>0</v>
      </c>
      <c r="E1660" t="s">
        <v>1669</v>
      </c>
      <c r="F1660" t="s"/>
      <c r="G1660" t="s"/>
      <c r="H1660" t="s"/>
      <c r="I1660" t="s"/>
      <c r="J1660" t="n">
        <v>0</v>
      </c>
      <c r="K1660" t="n">
        <v>0</v>
      </c>
      <c r="L1660" t="n">
        <v>1</v>
      </c>
      <c r="M1660" t="n">
        <v>0</v>
      </c>
    </row>
    <row r="1661" spans="1:13">
      <c r="A1661" s="1">
        <f>HYPERLINK("http://www.twitter.com/NathanBLawrence/status/989310653885231104", "989310653885231104")</f>
        <v/>
      </c>
      <c r="B1661" s="2" t="n">
        <v>43216.04878472222</v>
      </c>
      <c r="C1661" t="n">
        <v>0</v>
      </c>
      <c r="D1661" t="n">
        <v>12</v>
      </c>
      <c r="E1661" t="s">
        <v>1670</v>
      </c>
      <c r="F1661" t="s"/>
      <c r="G1661" t="s"/>
      <c r="H1661" t="s"/>
      <c r="I1661" t="s"/>
      <c r="J1661" t="n">
        <v>-0.4588</v>
      </c>
      <c r="K1661" t="n">
        <v>0.241</v>
      </c>
      <c r="L1661" t="n">
        <v>0.667</v>
      </c>
      <c r="M1661" t="n">
        <v>0.093</v>
      </c>
    </row>
    <row r="1662" spans="1:13">
      <c r="A1662" s="1">
        <f>HYPERLINK("http://www.twitter.com/NathanBLawrence/status/989309737299841026", "989309737299841026")</f>
        <v/>
      </c>
      <c r="B1662" s="2" t="n">
        <v>43216.04625</v>
      </c>
      <c r="C1662" t="n">
        <v>0</v>
      </c>
      <c r="D1662" t="n">
        <v>0</v>
      </c>
      <c r="E1662" t="s">
        <v>1671</v>
      </c>
      <c r="F1662" t="s"/>
      <c r="G1662" t="s"/>
      <c r="H1662" t="s"/>
      <c r="I1662" t="s"/>
      <c r="J1662" t="n">
        <v>0.8475</v>
      </c>
      <c r="K1662" t="n">
        <v>0.1</v>
      </c>
      <c r="L1662" t="n">
        <v>0.652</v>
      </c>
      <c r="M1662" t="n">
        <v>0.248</v>
      </c>
    </row>
    <row r="1663" spans="1:13">
      <c r="A1663" s="1">
        <f>HYPERLINK("http://www.twitter.com/NathanBLawrence/status/989306193955966977", "989306193955966977")</f>
        <v/>
      </c>
      <c r="B1663" s="2" t="n">
        <v>43216.03646990741</v>
      </c>
      <c r="C1663" t="n">
        <v>0</v>
      </c>
      <c r="D1663" t="n">
        <v>2</v>
      </c>
      <c r="E1663" t="s">
        <v>1672</v>
      </c>
      <c r="F1663">
        <f>HYPERLINK("http://pbs.twimg.com/media/Dbq4u80U8AEX6kw.jpg", "http://pbs.twimg.com/media/Dbq4u80U8AEX6kw.jpg")</f>
        <v/>
      </c>
      <c r="G1663" t="s"/>
      <c r="H1663" t="s"/>
      <c r="I1663" t="s"/>
      <c r="J1663" t="n">
        <v>-0.6705</v>
      </c>
      <c r="K1663" t="n">
        <v>0.181</v>
      </c>
      <c r="L1663" t="n">
        <v>0.73</v>
      </c>
      <c r="M1663" t="n">
        <v>0.089</v>
      </c>
    </row>
    <row r="1664" spans="1:13">
      <c r="A1664" s="1">
        <f>HYPERLINK("http://www.twitter.com/NathanBLawrence/status/989283376979988482", "989283376979988482")</f>
        <v/>
      </c>
      <c r="B1664" s="2" t="n">
        <v>43215.97350694444</v>
      </c>
      <c r="C1664" t="n">
        <v>0</v>
      </c>
      <c r="D1664" t="n">
        <v>47</v>
      </c>
      <c r="E1664" t="s">
        <v>1673</v>
      </c>
      <c r="F1664" t="s"/>
      <c r="G1664" t="s"/>
      <c r="H1664" t="s"/>
      <c r="I1664" t="s"/>
      <c r="J1664" t="n">
        <v>-0.3612</v>
      </c>
      <c r="K1664" t="n">
        <v>0.116</v>
      </c>
      <c r="L1664" t="n">
        <v>0.884</v>
      </c>
      <c r="M1664" t="n">
        <v>0</v>
      </c>
    </row>
    <row r="1665" spans="1:13">
      <c r="A1665" s="1">
        <f>HYPERLINK("http://www.twitter.com/NathanBLawrence/status/989281350896275457", "989281350896275457")</f>
        <v/>
      </c>
      <c r="B1665" s="2" t="n">
        <v>43215.96791666667</v>
      </c>
      <c r="C1665" t="n">
        <v>4</v>
      </c>
      <c r="D1665" t="n">
        <v>3</v>
      </c>
      <c r="E1665" t="s">
        <v>1674</v>
      </c>
      <c r="F1665" t="s"/>
      <c r="G1665" t="s"/>
      <c r="H1665" t="s"/>
      <c r="I1665" t="s"/>
      <c r="J1665" t="n">
        <v>0.1174</v>
      </c>
      <c r="K1665" t="n">
        <v>0.041</v>
      </c>
      <c r="L1665" t="n">
        <v>0.905</v>
      </c>
      <c r="M1665" t="n">
        <v>0.054</v>
      </c>
    </row>
    <row r="1666" spans="1:13">
      <c r="A1666" s="1">
        <f>HYPERLINK("http://www.twitter.com/NathanBLawrence/status/989279331745660928", "989279331745660928")</f>
        <v/>
      </c>
      <c r="B1666" s="2" t="n">
        <v>43215.96234953704</v>
      </c>
      <c r="C1666" t="n">
        <v>1</v>
      </c>
      <c r="D1666" t="n">
        <v>0</v>
      </c>
      <c r="E1666" t="s">
        <v>1675</v>
      </c>
      <c r="F1666" t="s"/>
      <c r="G1666" t="s"/>
      <c r="H1666" t="s"/>
      <c r="I1666" t="s"/>
      <c r="J1666" t="n">
        <v>-0.6269</v>
      </c>
      <c r="K1666" t="n">
        <v>0.215</v>
      </c>
      <c r="L1666" t="n">
        <v>0.785</v>
      </c>
      <c r="M1666" t="n">
        <v>0</v>
      </c>
    </row>
    <row r="1667" spans="1:13">
      <c r="A1667" s="1">
        <f>HYPERLINK("http://www.twitter.com/NathanBLawrence/status/989275652024160257", "989275652024160257")</f>
        <v/>
      </c>
      <c r="B1667" s="2" t="n">
        <v>43215.9521875</v>
      </c>
      <c r="C1667" t="n">
        <v>0</v>
      </c>
      <c r="D1667" t="n">
        <v>0</v>
      </c>
      <c r="E1667" t="s">
        <v>1676</v>
      </c>
      <c r="F1667" t="s"/>
      <c r="G1667" t="s"/>
      <c r="H1667" t="s"/>
      <c r="I1667" t="s"/>
      <c r="J1667" t="n">
        <v>0.5473</v>
      </c>
      <c r="K1667" t="n">
        <v>0</v>
      </c>
      <c r="L1667" t="n">
        <v>0.221</v>
      </c>
      <c r="M1667" t="n">
        <v>0.779</v>
      </c>
    </row>
    <row r="1668" spans="1:13">
      <c r="A1668" s="1">
        <f>HYPERLINK("http://www.twitter.com/NathanBLawrence/status/989275210498166784", "989275210498166784")</f>
        <v/>
      </c>
      <c r="B1668" s="2" t="n">
        <v>43215.95097222222</v>
      </c>
      <c r="C1668" t="n">
        <v>0</v>
      </c>
      <c r="D1668" t="n">
        <v>3981</v>
      </c>
      <c r="E1668" t="s">
        <v>1677</v>
      </c>
      <c r="F1668" t="s"/>
      <c r="G1668" t="s"/>
      <c r="H1668" t="s"/>
      <c r="I1668" t="s"/>
      <c r="J1668" t="n">
        <v>-0.3182</v>
      </c>
      <c r="K1668" t="n">
        <v>0.08699999999999999</v>
      </c>
      <c r="L1668" t="n">
        <v>0.913</v>
      </c>
      <c r="M1668" t="n">
        <v>0</v>
      </c>
    </row>
    <row r="1669" spans="1:13">
      <c r="A1669" s="1">
        <f>HYPERLINK("http://www.twitter.com/NathanBLawrence/status/989274427316752384", "989274427316752384")</f>
        <v/>
      </c>
      <c r="B1669" s="2" t="n">
        <v>43215.94880787037</v>
      </c>
      <c r="C1669" t="n">
        <v>1</v>
      </c>
      <c r="D1669" t="n">
        <v>0</v>
      </c>
      <c r="E1669" t="s">
        <v>1678</v>
      </c>
      <c r="F1669" t="s"/>
      <c r="G1669" t="s"/>
      <c r="H1669" t="s"/>
      <c r="I1669" t="s"/>
      <c r="J1669" t="n">
        <v>-0.4995</v>
      </c>
      <c r="K1669" t="n">
        <v>0.22</v>
      </c>
      <c r="L1669" t="n">
        <v>0.633</v>
      </c>
      <c r="M1669" t="n">
        <v>0.147</v>
      </c>
    </row>
    <row r="1670" spans="1:13">
      <c r="A1670" s="1">
        <f>HYPERLINK("http://www.twitter.com/NathanBLawrence/status/989273817334861824", "989273817334861824")</f>
        <v/>
      </c>
      <c r="B1670" s="2" t="n">
        <v>43215.94712962963</v>
      </c>
      <c r="C1670" t="n">
        <v>4</v>
      </c>
      <c r="D1670" t="n">
        <v>1</v>
      </c>
      <c r="E1670" t="s">
        <v>1679</v>
      </c>
      <c r="F1670" t="s"/>
      <c r="G1670" t="s"/>
      <c r="H1670" t="s"/>
      <c r="I1670" t="s"/>
      <c r="J1670" t="n">
        <v>-0.5859</v>
      </c>
      <c r="K1670" t="n">
        <v>0.171</v>
      </c>
      <c r="L1670" t="n">
        <v>0.724</v>
      </c>
      <c r="M1670" t="n">
        <v>0.104</v>
      </c>
    </row>
    <row r="1671" spans="1:13">
      <c r="A1671" s="1">
        <f>HYPERLINK("http://www.twitter.com/NathanBLawrence/status/989269016769376256", "989269016769376256")</f>
        <v/>
      </c>
      <c r="B1671" s="2" t="n">
        <v>43215.93387731481</v>
      </c>
      <c r="C1671" t="n">
        <v>0</v>
      </c>
      <c r="D1671" t="n">
        <v>13</v>
      </c>
      <c r="E1671" t="s">
        <v>1680</v>
      </c>
      <c r="F1671">
        <f>HYPERLINK("http://pbs.twimg.com/media/DbqFcMFVAAEqRlL.jpg", "http://pbs.twimg.com/media/DbqFcMFVAAEqRlL.jpg")</f>
        <v/>
      </c>
      <c r="G1671" t="s"/>
      <c r="H1671" t="s"/>
      <c r="I1671" t="s"/>
      <c r="J1671" t="n">
        <v>0.34</v>
      </c>
      <c r="K1671" t="n">
        <v>0</v>
      </c>
      <c r="L1671" t="n">
        <v>0.876</v>
      </c>
      <c r="M1671" t="n">
        <v>0.124</v>
      </c>
    </row>
    <row r="1672" spans="1:13">
      <c r="A1672" s="1">
        <f>HYPERLINK("http://www.twitter.com/NathanBLawrence/status/989267514357092352", "989267514357092352")</f>
        <v/>
      </c>
      <c r="B1672" s="2" t="n">
        <v>43215.9297337963</v>
      </c>
      <c r="C1672" t="n">
        <v>0</v>
      </c>
      <c r="D1672" t="n">
        <v>4</v>
      </c>
      <c r="E1672" t="s">
        <v>1681</v>
      </c>
      <c r="F1672">
        <f>HYPERLINK("http://pbs.twimg.com/media/DbqUCGkWAAAhL_u.jpg", "http://pbs.twimg.com/media/DbqUCGkWAAAhL_u.jpg")</f>
        <v/>
      </c>
      <c r="G1672" t="s"/>
      <c r="H1672" t="s"/>
      <c r="I1672" t="s"/>
      <c r="J1672" t="n">
        <v>0.0516</v>
      </c>
      <c r="K1672" t="n">
        <v>0.153</v>
      </c>
      <c r="L1672" t="n">
        <v>0.625</v>
      </c>
      <c r="M1672" t="n">
        <v>0.222</v>
      </c>
    </row>
    <row r="1673" spans="1:13">
      <c r="A1673" s="1">
        <f>HYPERLINK("http://www.twitter.com/NathanBLawrence/status/989238556836147201", "989238556836147201")</f>
        <v/>
      </c>
      <c r="B1673" s="2" t="n">
        <v>43215.84982638889</v>
      </c>
      <c r="C1673" t="n">
        <v>0</v>
      </c>
      <c r="D1673" t="n">
        <v>77</v>
      </c>
      <c r="E1673" t="s">
        <v>1682</v>
      </c>
      <c r="F1673">
        <f>HYPERLINK("http://pbs.twimg.com/media/Dbp51JmUQAEMa32.jpg", "http://pbs.twimg.com/media/Dbp51JmUQAEMa32.jpg")</f>
        <v/>
      </c>
      <c r="G1673" t="s"/>
      <c r="H1673" t="s"/>
      <c r="I1673" t="s"/>
      <c r="J1673" t="n">
        <v>0.6124000000000001</v>
      </c>
      <c r="K1673" t="n">
        <v>0</v>
      </c>
      <c r="L1673" t="n">
        <v>0.792</v>
      </c>
      <c r="M1673" t="n">
        <v>0.208</v>
      </c>
    </row>
    <row r="1674" spans="1:13">
      <c r="A1674" s="1">
        <f>HYPERLINK("http://www.twitter.com/NathanBLawrence/status/989226400648433665", "989226400648433665")</f>
        <v/>
      </c>
      <c r="B1674" s="2" t="n">
        <v>43215.81628472222</v>
      </c>
      <c r="C1674" t="n">
        <v>0</v>
      </c>
      <c r="D1674" t="n">
        <v>1</v>
      </c>
      <c r="E1674" t="s">
        <v>1683</v>
      </c>
      <c r="F1674">
        <f>HYPERLINK("http://pbs.twimg.com/media/Dbi0OADUQAATF3U.jpg", "http://pbs.twimg.com/media/Dbi0OADUQAATF3U.jpg")</f>
        <v/>
      </c>
      <c r="G1674" t="s"/>
      <c r="H1674" t="s"/>
      <c r="I1674" t="s"/>
      <c r="J1674" t="n">
        <v>0</v>
      </c>
      <c r="K1674" t="n">
        <v>0</v>
      </c>
      <c r="L1674" t="n">
        <v>1</v>
      </c>
      <c r="M1674" t="n">
        <v>0</v>
      </c>
    </row>
    <row r="1675" spans="1:13">
      <c r="A1675" s="1">
        <f>HYPERLINK("http://www.twitter.com/NathanBLawrence/status/989208255959371776", "989208255959371776")</f>
        <v/>
      </c>
      <c r="B1675" s="2" t="n">
        <v>43215.76621527778</v>
      </c>
      <c r="C1675" t="n">
        <v>3</v>
      </c>
      <c r="D1675" t="n">
        <v>3</v>
      </c>
      <c r="E1675" t="s">
        <v>1684</v>
      </c>
      <c r="F1675" t="s"/>
      <c r="G1675" t="s"/>
      <c r="H1675" t="s"/>
      <c r="I1675" t="s"/>
      <c r="J1675" t="n">
        <v>0.128</v>
      </c>
      <c r="K1675" t="n">
        <v>0.13</v>
      </c>
      <c r="L1675" t="n">
        <v>0.71</v>
      </c>
      <c r="M1675" t="n">
        <v>0.16</v>
      </c>
    </row>
    <row r="1676" spans="1:13">
      <c r="A1676" s="1">
        <f>HYPERLINK("http://www.twitter.com/NathanBLawrence/status/989207811132481536", "989207811132481536")</f>
        <v/>
      </c>
      <c r="B1676" s="2" t="n">
        <v>43215.76498842592</v>
      </c>
      <c r="C1676" t="n">
        <v>3</v>
      </c>
      <c r="D1676" t="n">
        <v>2</v>
      </c>
      <c r="E1676" t="s">
        <v>1685</v>
      </c>
      <c r="F1676" t="s"/>
      <c r="G1676" t="s"/>
      <c r="H1676" t="s"/>
      <c r="I1676" t="s"/>
      <c r="J1676" t="n">
        <v>0.7151999999999999</v>
      </c>
      <c r="K1676" t="n">
        <v>0.108</v>
      </c>
      <c r="L1676" t="n">
        <v>0.5600000000000001</v>
      </c>
      <c r="M1676" t="n">
        <v>0.331</v>
      </c>
    </row>
    <row r="1677" spans="1:13">
      <c r="A1677" s="1">
        <f>HYPERLINK("http://www.twitter.com/NathanBLawrence/status/989196763184627712", "989196763184627712")</f>
        <v/>
      </c>
      <c r="B1677" s="2" t="n">
        <v>43215.73450231482</v>
      </c>
      <c r="C1677" t="n">
        <v>0</v>
      </c>
      <c r="D1677" t="n">
        <v>4</v>
      </c>
      <c r="E1677" t="s">
        <v>1686</v>
      </c>
      <c r="F1677" t="s"/>
      <c r="G1677" t="s"/>
      <c r="H1677" t="s"/>
      <c r="I1677" t="s"/>
      <c r="J1677" t="n">
        <v>0</v>
      </c>
      <c r="K1677" t="n">
        <v>0</v>
      </c>
      <c r="L1677" t="n">
        <v>1</v>
      </c>
      <c r="M1677" t="n">
        <v>0</v>
      </c>
    </row>
    <row r="1678" spans="1:13">
      <c r="A1678" s="1">
        <f>HYPERLINK("http://www.twitter.com/NathanBLawrence/status/989191191311933440", "989191191311933440")</f>
        <v/>
      </c>
      <c r="B1678" s="2" t="n">
        <v>43215.71912037037</v>
      </c>
      <c r="C1678" t="n">
        <v>0</v>
      </c>
      <c r="D1678" t="n">
        <v>13</v>
      </c>
      <c r="E1678" t="s">
        <v>1687</v>
      </c>
      <c r="F1678">
        <f>HYPERLINK("http://pbs.twimg.com/media/DbpOJ2ZUwAEjEXr.jpg", "http://pbs.twimg.com/media/DbpOJ2ZUwAEjEXr.jpg")</f>
        <v/>
      </c>
      <c r="G1678" t="s"/>
      <c r="H1678" t="s"/>
      <c r="I1678" t="s"/>
      <c r="J1678" t="n">
        <v>0</v>
      </c>
      <c r="K1678" t="n">
        <v>0</v>
      </c>
      <c r="L1678" t="n">
        <v>1</v>
      </c>
      <c r="M1678" t="n">
        <v>0</v>
      </c>
    </row>
    <row r="1679" spans="1:13">
      <c r="A1679" s="1">
        <f>HYPERLINK("http://www.twitter.com/NathanBLawrence/status/989190709252186112", "989190709252186112")</f>
        <v/>
      </c>
      <c r="B1679" s="2" t="n">
        <v>43215.71780092592</v>
      </c>
      <c r="C1679" t="n">
        <v>10</v>
      </c>
      <c r="D1679" t="n">
        <v>7</v>
      </c>
      <c r="E1679" t="s">
        <v>1688</v>
      </c>
      <c r="F1679" t="s"/>
      <c r="G1679" t="s"/>
      <c r="H1679" t="s"/>
      <c r="I1679" t="s"/>
      <c r="J1679" t="n">
        <v>-0.4019</v>
      </c>
      <c r="K1679" t="n">
        <v>0.153</v>
      </c>
      <c r="L1679" t="n">
        <v>0.847</v>
      </c>
      <c r="M1679" t="n">
        <v>0</v>
      </c>
    </row>
    <row r="1680" spans="1:13">
      <c r="A1680" s="1">
        <f>HYPERLINK("http://www.twitter.com/NathanBLawrence/status/989188855537504263", "989188855537504263")</f>
        <v/>
      </c>
      <c r="B1680" s="2" t="n">
        <v>43215.71268518519</v>
      </c>
      <c r="C1680" t="n">
        <v>0</v>
      </c>
      <c r="D1680" t="n">
        <v>0</v>
      </c>
      <c r="E1680" t="s">
        <v>1689</v>
      </c>
      <c r="F1680" t="s"/>
      <c r="G1680" t="s"/>
      <c r="H1680" t="s"/>
      <c r="I1680" t="s"/>
      <c r="J1680" t="n">
        <v>0.8126</v>
      </c>
      <c r="K1680" t="n">
        <v>0.051</v>
      </c>
      <c r="L1680" t="n">
        <v>0.665</v>
      </c>
      <c r="M1680" t="n">
        <v>0.285</v>
      </c>
    </row>
    <row r="1681" spans="1:13">
      <c r="A1681" s="1">
        <f>HYPERLINK("http://www.twitter.com/NathanBLawrence/status/989188227780304896", "989188227780304896")</f>
        <v/>
      </c>
      <c r="B1681" s="2" t="n">
        <v>43215.71094907408</v>
      </c>
      <c r="C1681" t="n">
        <v>0</v>
      </c>
      <c r="D1681" t="n">
        <v>2</v>
      </c>
      <c r="E1681" t="s">
        <v>1690</v>
      </c>
      <c r="F1681" t="s"/>
      <c r="G1681" t="s"/>
      <c r="H1681" t="s"/>
      <c r="I1681" t="s"/>
      <c r="J1681" t="n">
        <v>0.5266999999999999</v>
      </c>
      <c r="K1681" t="n">
        <v>0.078</v>
      </c>
      <c r="L1681" t="n">
        <v>0.728</v>
      </c>
      <c r="M1681" t="n">
        <v>0.194</v>
      </c>
    </row>
    <row r="1682" spans="1:13">
      <c r="A1682" s="1">
        <f>HYPERLINK("http://www.twitter.com/NathanBLawrence/status/989187059045855232", "989187059045855232")</f>
        <v/>
      </c>
      <c r="B1682" s="2" t="n">
        <v>43215.7077199074</v>
      </c>
      <c r="C1682" t="n">
        <v>4</v>
      </c>
      <c r="D1682" t="n">
        <v>1</v>
      </c>
      <c r="E1682" t="s">
        <v>1691</v>
      </c>
      <c r="F1682" t="s"/>
      <c r="G1682" t="s"/>
      <c r="H1682" t="s"/>
      <c r="I1682" t="s"/>
      <c r="J1682" t="n">
        <v>0</v>
      </c>
      <c r="K1682" t="n">
        <v>0</v>
      </c>
      <c r="L1682" t="n">
        <v>1</v>
      </c>
      <c r="M1682" t="n">
        <v>0</v>
      </c>
    </row>
    <row r="1683" spans="1:13">
      <c r="A1683" s="1">
        <f>HYPERLINK("http://www.twitter.com/NathanBLawrence/status/989186898508877825", "989186898508877825")</f>
        <v/>
      </c>
      <c r="B1683" s="2" t="n">
        <v>43215.7072800926</v>
      </c>
      <c r="C1683" t="n">
        <v>0</v>
      </c>
      <c r="D1683" t="n">
        <v>25</v>
      </c>
      <c r="E1683" t="s">
        <v>1692</v>
      </c>
      <c r="F1683">
        <f>HYPERLINK("http://pbs.twimg.com/media/DbpLpd1XUAEWv5a.jpg", "http://pbs.twimg.com/media/DbpLpd1XUAEWv5a.jpg")</f>
        <v/>
      </c>
      <c r="G1683">
        <f>HYPERLINK("http://pbs.twimg.com/media/DbpLpd0X4AAoUkJ.jpg", "http://pbs.twimg.com/media/DbpLpd0X4AAoUkJ.jpg")</f>
        <v/>
      </c>
      <c r="H1683">
        <f>HYPERLINK("http://pbs.twimg.com/media/DbpLpd0XUAUOJp3.jpg", "http://pbs.twimg.com/media/DbpLpd0XUAUOJp3.jpg")</f>
        <v/>
      </c>
      <c r="I1683">
        <f>HYPERLINK("http://pbs.twimg.com/media/DbpLpd3WkAAJ87I.jpg", "http://pbs.twimg.com/media/DbpLpd3WkAAJ87I.jpg")</f>
        <v/>
      </c>
      <c r="J1683" t="n">
        <v>-0.7906</v>
      </c>
      <c r="K1683" t="n">
        <v>0.269</v>
      </c>
      <c r="L1683" t="n">
        <v>0.731</v>
      </c>
      <c r="M1683" t="n">
        <v>0</v>
      </c>
    </row>
    <row r="1684" spans="1:13">
      <c r="A1684" s="1">
        <f>HYPERLINK("http://www.twitter.com/NathanBLawrence/status/989177193875099648", "989177193875099648")</f>
        <v/>
      </c>
      <c r="B1684" s="2" t="n">
        <v>43215.68049768519</v>
      </c>
      <c r="C1684" t="n">
        <v>0</v>
      </c>
      <c r="D1684" t="n">
        <v>0</v>
      </c>
      <c r="E1684" t="s">
        <v>1693</v>
      </c>
      <c r="F1684" t="s"/>
      <c r="G1684" t="s"/>
      <c r="H1684" t="s"/>
      <c r="I1684" t="s"/>
      <c r="J1684" t="n">
        <v>0</v>
      </c>
      <c r="K1684" t="n">
        <v>0</v>
      </c>
      <c r="L1684" t="n">
        <v>1</v>
      </c>
      <c r="M1684" t="n">
        <v>0</v>
      </c>
    </row>
    <row r="1685" spans="1:13">
      <c r="A1685" s="1">
        <f>HYPERLINK("http://www.twitter.com/NathanBLawrence/status/989175433408274432", "989175433408274432")</f>
        <v/>
      </c>
      <c r="B1685" s="2" t="n">
        <v>43215.67563657407</v>
      </c>
      <c r="C1685" t="n">
        <v>0</v>
      </c>
      <c r="D1685" t="n">
        <v>0</v>
      </c>
      <c r="E1685" t="s">
        <v>1694</v>
      </c>
      <c r="F1685" t="s"/>
      <c r="G1685" t="s"/>
      <c r="H1685" t="s"/>
      <c r="I1685" t="s"/>
      <c r="J1685" t="n">
        <v>-0.168</v>
      </c>
      <c r="K1685" t="n">
        <v>0.192</v>
      </c>
      <c r="L1685" t="n">
        <v>0.659</v>
      </c>
      <c r="M1685" t="n">
        <v>0.15</v>
      </c>
    </row>
    <row r="1686" spans="1:13">
      <c r="A1686" s="1">
        <f>HYPERLINK("http://www.twitter.com/NathanBLawrence/status/989173303913873409", "989173303913873409")</f>
        <v/>
      </c>
      <c r="B1686" s="2" t="n">
        <v>43215.66976851852</v>
      </c>
      <c r="C1686" t="n">
        <v>0</v>
      </c>
      <c r="D1686" t="n">
        <v>5</v>
      </c>
      <c r="E1686" t="s">
        <v>1695</v>
      </c>
      <c r="F1686" t="s"/>
      <c r="G1686" t="s"/>
      <c r="H1686" t="s"/>
      <c r="I1686" t="s"/>
      <c r="J1686" t="n">
        <v>-0.6597</v>
      </c>
      <c r="K1686" t="n">
        <v>0.19</v>
      </c>
      <c r="L1686" t="n">
        <v>0.8100000000000001</v>
      </c>
      <c r="M1686" t="n">
        <v>0</v>
      </c>
    </row>
    <row r="1687" spans="1:13">
      <c r="A1687" s="1">
        <f>HYPERLINK("http://www.twitter.com/NathanBLawrence/status/989170769094742019", "989170769094742019")</f>
        <v/>
      </c>
      <c r="B1687" s="2" t="n">
        <v>43215.66276620371</v>
      </c>
      <c r="C1687" t="n">
        <v>2</v>
      </c>
      <c r="D1687" t="n">
        <v>0</v>
      </c>
      <c r="E1687" t="s">
        <v>1696</v>
      </c>
      <c r="F1687" t="s"/>
      <c r="G1687" t="s"/>
      <c r="H1687" t="s"/>
      <c r="I1687" t="s"/>
      <c r="J1687" t="n">
        <v>0.1695</v>
      </c>
      <c r="K1687" t="n">
        <v>0</v>
      </c>
      <c r="L1687" t="n">
        <v>0.857</v>
      </c>
      <c r="M1687" t="n">
        <v>0.143</v>
      </c>
    </row>
    <row r="1688" spans="1:13">
      <c r="A1688" s="1">
        <f>HYPERLINK("http://www.twitter.com/NathanBLawrence/status/989170308673306624", "989170308673306624")</f>
        <v/>
      </c>
      <c r="B1688" s="2" t="n">
        <v>43215.66150462963</v>
      </c>
      <c r="C1688" t="n">
        <v>0</v>
      </c>
      <c r="D1688" t="n">
        <v>3</v>
      </c>
      <c r="E1688" t="s">
        <v>1697</v>
      </c>
      <c r="F1688">
        <f>HYPERLINK("http://pbs.twimg.com/media/Dbo5fnFXUAEMIQu.jpg", "http://pbs.twimg.com/media/Dbo5fnFXUAEMIQu.jpg")</f>
        <v/>
      </c>
      <c r="G1688" t="s"/>
      <c r="H1688" t="s"/>
      <c r="I1688" t="s"/>
      <c r="J1688" t="n">
        <v>-0.3182</v>
      </c>
      <c r="K1688" t="n">
        <v>0.162</v>
      </c>
      <c r="L1688" t="n">
        <v>0.722</v>
      </c>
      <c r="M1688" t="n">
        <v>0.116</v>
      </c>
    </row>
    <row r="1689" spans="1:13">
      <c r="A1689" s="1">
        <f>HYPERLINK("http://www.twitter.com/NathanBLawrence/status/989167093705859078", "989167093705859078")</f>
        <v/>
      </c>
      <c r="B1689" s="2" t="n">
        <v>43215.65262731481</v>
      </c>
      <c r="C1689" t="n">
        <v>5</v>
      </c>
      <c r="D1689" t="n">
        <v>0</v>
      </c>
      <c r="E1689" t="s">
        <v>1698</v>
      </c>
      <c r="F1689">
        <f>HYPERLINK("http://pbs.twimg.com/media/Dbo6OdJV0AAnmDX.jpg", "http://pbs.twimg.com/media/Dbo6OdJV0AAnmDX.jpg")</f>
        <v/>
      </c>
      <c r="G1689" t="s"/>
      <c r="H1689" t="s"/>
      <c r="I1689" t="s"/>
      <c r="J1689" t="n">
        <v>0</v>
      </c>
      <c r="K1689" t="n">
        <v>0</v>
      </c>
      <c r="L1689" t="n">
        <v>1</v>
      </c>
      <c r="M1689" t="n">
        <v>0</v>
      </c>
    </row>
    <row r="1690" spans="1:13">
      <c r="A1690" s="1">
        <f>HYPERLINK("http://www.twitter.com/NathanBLawrence/status/989149447488720896", "989149447488720896")</f>
        <v/>
      </c>
      <c r="B1690" s="2" t="n">
        <v>43215.60393518519</v>
      </c>
      <c r="C1690" t="n">
        <v>9</v>
      </c>
      <c r="D1690" t="n">
        <v>5</v>
      </c>
      <c r="E1690" t="s">
        <v>1699</v>
      </c>
      <c r="F1690">
        <f>HYPERLINK("http://pbs.twimg.com/media/DboqLRPU8AYLaBS.jpg", "http://pbs.twimg.com/media/DboqLRPU8AYLaBS.jpg")</f>
        <v/>
      </c>
      <c r="G1690" t="s"/>
      <c r="H1690" t="s"/>
      <c r="I1690" t="s"/>
      <c r="J1690" t="n">
        <v>-0.8442</v>
      </c>
      <c r="K1690" t="n">
        <v>0.216</v>
      </c>
      <c r="L1690" t="n">
        <v>0.784</v>
      </c>
      <c r="M1690" t="n">
        <v>0</v>
      </c>
    </row>
    <row r="1691" spans="1:13">
      <c r="A1691" s="1">
        <f>HYPERLINK("http://www.twitter.com/NathanBLawrence/status/989147917586968577", "989147917586968577")</f>
        <v/>
      </c>
      <c r="B1691" s="2" t="n">
        <v>43215.59971064814</v>
      </c>
      <c r="C1691" t="n">
        <v>0</v>
      </c>
      <c r="D1691" t="n">
        <v>0</v>
      </c>
      <c r="E1691" t="s">
        <v>1700</v>
      </c>
      <c r="F1691" t="s"/>
      <c r="G1691" t="s"/>
      <c r="H1691" t="s"/>
      <c r="I1691" t="s"/>
      <c r="J1691" t="n">
        <v>0.3818</v>
      </c>
      <c r="K1691" t="n">
        <v>0.08799999999999999</v>
      </c>
      <c r="L1691" t="n">
        <v>0.76</v>
      </c>
      <c r="M1691" t="n">
        <v>0.152</v>
      </c>
    </row>
    <row r="1692" spans="1:13">
      <c r="A1692" s="1">
        <f>HYPERLINK("http://www.twitter.com/NathanBLawrence/status/989147436005412865", "989147436005412865")</f>
        <v/>
      </c>
      <c r="B1692" s="2" t="n">
        <v>43215.59837962963</v>
      </c>
      <c r="C1692" t="n">
        <v>2</v>
      </c>
      <c r="D1692" t="n">
        <v>0</v>
      </c>
      <c r="E1692" t="s">
        <v>1701</v>
      </c>
      <c r="F1692" t="s"/>
      <c r="G1692" t="s"/>
      <c r="H1692" t="s"/>
      <c r="I1692" t="s"/>
      <c r="J1692" t="n">
        <v>-0.7717000000000001</v>
      </c>
      <c r="K1692" t="n">
        <v>0.295</v>
      </c>
      <c r="L1692" t="n">
        <v>0.705</v>
      </c>
      <c r="M1692" t="n">
        <v>0</v>
      </c>
    </row>
    <row r="1693" spans="1:13">
      <c r="A1693" s="1">
        <f>HYPERLINK("http://www.twitter.com/NathanBLawrence/status/989146312175218688", "989146312175218688")</f>
        <v/>
      </c>
      <c r="B1693" s="2" t="n">
        <v>43215.59527777778</v>
      </c>
      <c r="C1693" t="n">
        <v>7</v>
      </c>
      <c r="D1693" t="n">
        <v>5</v>
      </c>
      <c r="E1693" t="s">
        <v>1702</v>
      </c>
      <c r="F1693">
        <f>HYPERLINK("http://pbs.twimg.com/media/DbonUjXUwAAg_Jp.jpg", "http://pbs.twimg.com/media/DbonUjXUwAAg_Jp.jpg")</f>
        <v/>
      </c>
      <c r="G1693" t="s"/>
      <c r="H1693" t="s"/>
      <c r="I1693" t="s"/>
      <c r="J1693" t="n">
        <v>0.128</v>
      </c>
      <c r="K1693" t="n">
        <v>0.047</v>
      </c>
      <c r="L1693" t="n">
        <v>0.896</v>
      </c>
      <c r="M1693" t="n">
        <v>0.058</v>
      </c>
    </row>
    <row r="1694" spans="1:13">
      <c r="A1694" s="1">
        <f>HYPERLINK("http://www.twitter.com/NathanBLawrence/status/989144747410427907", "989144747410427907")</f>
        <v/>
      </c>
      <c r="B1694" s="2" t="n">
        <v>43215.59096064815</v>
      </c>
      <c r="C1694" t="n">
        <v>0</v>
      </c>
      <c r="D1694" t="n">
        <v>0</v>
      </c>
      <c r="E1694" t="s">
        <v>1703</v>
      </c>
      <c r="F1694" t="s"/>
      <c r="G1694" t="s"/>
      <c r="H1694" t="s"/>
      <c r="I1694" t="s"/>
      <c r="J1694" t="n">
        <v>-0.1027</v>
      </c>
      <c r="K1694" t="n">
        <v>0.23</v>
      </c>
      <c r="L1694" t="n">
        <v>0.574</v>
      </c>
      <c r="M1694" t="n">
        <v>0.197</v>
      </c>
    </row>
    <row r="1695" spans="1:13">
      <c r="A1695" s="1">
        <f>HYPERLINK("http://www.twitter.com/NathanBLawrence/status/989138447880413185", "989138447880413185")</f>
        <v/>
      </c>
      <c r="B1695" s="2" t="n">
        <v>43215.57357638889</v>
      </c>
      <c r="C1695" t="n">
        <v>1</v>
      </c>
      <c r="D1695" t="n">
        <v>0</v>
      </c>
      <c r="E1695" t="s">
        <v>1704</v>
      </c>
      <c r="F1695">
        <f>HYPERLINK("http://pbs.twimg.com/media/DbogK-WU8AAA07t.jpg", "http://pbs.twimg.com/media/DbogK-WU8AAA07t.jpg")</f>
        <v/>
      </c>
      <c r="G1695" t="s"/>
      <c r="H1695" t="s"/>
      <c r="I1695" t="s"/>
      <c r="J1695" t="n">
        <v>0</v>
      </c>
      <c r="K1695" t="n">
        <v>0</v>
      </c>
      <c r="L1695" t="n">
        <v>1</v>
      </c>
      <c r="M1695" t="n">
        <v>0</v>
      </c>
    </row>
    <row r="1696" spans="1:13">
      <c r="A1696" s="1">
        <f>HYPERLINK("http://www.twitter.com/NathanBLawrence/status/989137515620765696", "989137515620765696")</f>
        <v/>
      </c>
      <c r="B1696" s="2" t="n">
        <v>43215.57100694445</v>
      </c>
      <c r="C1696" t="n">
        <v>0</v>
      </c>
      <c r="D1696" t="n">
        <v>10</v>
      </c>
      <c r="E1696" t="s">
        <v>1705</v>
      </c>
      <c r="F1696">
        <f>HYPERLINK("http://pbs.twimg.com/media/DbofFlwWkAAZSSG.jpg", "http://pbs.twimg.com/media/DbofFlwWkAAZSSG.jpg")</f>
        <v/>
      </c>
      <c r="G1696" t="s"/>
      <c r="H1696" t="s"/>
      <c r="I1696" t="s"/>
      <c r="J1696" t="n">
        <v>0.4404</v>
      </c>
      <c r="K1696" t="n">
        <v>0</v>
      </c>
      <c r="L1696" t="n">
        <v>0.8179999999999999</v>
      </c>
      <c r="M1696" t="n">
        <v>0.182</v>
      </c>
    </row>
    <row r="1697" spans="1:13">
      <c r="A1697" s="1">
        <f>HYPERLINK("http://www.twitter.com/NathanBLawrence/status/989137392589266949", "989137392589266949")</f>
        <v/>
      </c>
      <c r="B1697" s="2" t="n">
        <v>43215.57067129629</v>
      </c>
      <c r="C1697" t="n">
        <v>2</v>
      </c>
      <c r="D1697" t="n">
        <v>0</v>
      </c>
      <c r="E1697" t="s">
        <v>1706</v>
      </c>
      <c r="F1697">
        <f>HYPERLINK("http://pbs.twimg.com/media/DbofNXtUQAAcMsb.jpg", "http://pbs.twimg.com/media/DbofNXtUQAAcMsb.jpg")</f>
        <v/>
      </c>
      <c r="G1697" t="s"/>
      <c r="H1697" t="s"/>
      <c r="I1697" t="s"/>
      <c r="J1697" t="n">
        <v>0</v>
      </c>
      <c r="K1697" t="n">
        <v>0</v>
      </c>
      <c r="L1697" t="n">
        <v>1</v>
      </c>
      <c r="M1697" t="n">
        <v>0</v>
      </c>
    </row>
    <row r="1698" spans="1:13">
      <c r="A1698" s="1">
        <f>HYPERLINK("http://www.twitter.com/NathanBLawrence/status/989135697155063811", "989135697155063811")</f>
        <v/>
      </c>
      <c r="B1698" s="2" t="n">
        <v>43215.56599537037</v>
      </c>
      <c r="C1698" t="n">
        <v>0</v>
      </c>
      <c r="D1698" t="n">
        <v>2</v>
      </c>
      <c r="E1698" t="s">
        <v>1707</v>
      </c>
      <c r="F1698" t="s"/>
      <c r="G1698" t="s"/>
      <c r="H1698" t="s"/>
      <c r="I1698" t="s"/>
      <c r="J1698" t="n">
        <v>0</v>
      </c>
      <c r="K1698" t="n">
        <v>0</v>
      </c>
      <c r="L1698" t="n">
        <v>1</v>
      </c>
      <c r="M1698" t="n">
        <v>0</v>
      </c>
    </row>
    <row r="1699" spans="1:13">
      <c r="A1699" s="1">
        <f>HYPERLINK("http://www.twitter.com/NathanBLawrence/status/989128032504999936", "989128032504999936")</f>
        <v/>
      </c>
      <c r="B1699" s="2" t="n">
        <v>43215.54483796296</v>
      </c>
      <c r="C1699" t="n">
        <v>0</v>
      </c>
      <c r="D1699" t="n">
        <v>4</v>
      </c>
      <c r="E1699" t="s">
        <v>1708</v>
      </c>
      <c r="F1699">
        <f>HYPERLINK("http://pbs.twimg.com/media/DboUuD8U0AAyFBY.png", "http://pbs.twimg.com/media/DboUuD8U0AAyFBY.png")</f>
        <v/>
      </c>
      <c r="G1699" t="s"/>
      <c r="H1699" t="s"/>
      <c r="I1699" t="s"/>
      <c r="J1699" t="n">
        <v>0</v>
      </c>
      <c r="K1699" t="n">
        <v>0</v>
      </c>
      <c r="L1699" t="n">
        <v>1</v>
      </c>
      <c r="M1699" t="n">
        <v>0</v>
      </c>
    </row>
    <row r="1700" spans="1:13">
      <c r="A1700" s="1">
        <f>HYPERLINK("http://www.twitter.com/NathanBLawrence/status/989127454169227264", "989127454169227264")</f>
        <v/>
      </c>
      <c r="B1700" s="2" t="n">
        <v>43215.54324074074</v>
      </c>
      <c r="C1700" t="n">
        <v>0</v>
      </c>
      <c r="D1700" t="n">
        <v>5</v>
      </c>
      <c r="E1700" t="s">
        <v>1709</v>
      </c>
      <c r="F1700" t="s"/>
      <c r="G1700" t="s"/>
      <c r="H1700" t="s"/>
      <c r="I1700" t="s"/>
      <c r="J1700" t="n">
        <v>0</v>
      </c>
      <c r="K1700" t="n">
        <v>0</v>
      </c>
      <c r="L1700" t="n">
        <v>1</v>
      </c>
      <c r="M1700" t="n">
        <v>0</v>
      </c>
    </row>
    <row r="1701" spans="1:13">
      <c r="A1701" s="1">
        <f>HYPERLINK("http://www.twitter.com/NathanBLawrence/status/989126263464964097", "989126263464964097")</f>
        <v/>
      </c>
      <c r="B1701" s="2" t="n">
        <v>43215.5399537037</v>
      </c>
      <c r="C1701" t="n">
        <v>0</v>
      </c>
      <c r="D1701" t="n">
        <v>0</v>
      </c>
      <c r="E1701" t="s">
        <v>1710</v>
      </c>
      <c r="F1701" t="s"/>
      <c r="G1701" t="s"/>
      <c r="H1701" t="s"/>
      <c r="I1701" t="s"/>
      <c r="J1701" t="n">
        <v>-0.0516</v>
      </c>
      <c r="K1701" t="n">
        <v>0.229</v>
      </c>
      <c r="L1701" t="n">
        <v>0.551</v>
      </c>
      <c r="M1701" t="n">
        <v>0.22</v>
      </c>
    </row>
    <row r="1702" spans="1:13">
      <c r="A1702" s="1">
        <f>HYPERLINK("http://www.twitter.com/NathanBLawrence/status/989124808142094336", "989124808142094336")</f>
        <v/>
      </c>
      <c r="B1702" s="2" t="n">
        <v>43215.5359375</v>
      </c>
      <c r="C1702" t="n">
        <v>3</v>
      </c>
      <c r="D1702" t="n">
        <v>0</v>
      </c>
      <c r="E1702" t="s">
        <v>1711</v>
      </c>
      <c r="F1702" t="s"/>
      <c r="G1702" t="s"/>
      <c r="H1702" t="s"/>
      <c r="I1702" t="s"/>
      <c r="J1702" t="n">
        <v>0</v>
      </c>
      <c r="K1702" t="n">
        <v>0</v>
      </c>
      <c r="L1702" t="n">
        <v>1</v>
      </c>
      <c r="M1702" t="n">
        <v>0</v>
      </c>
    </row>
    <row r="1703" spans="1:13">
      <c r="A1703" s="1">
        <f>HYPERLINK("http://www.twitter.com/NathanBLawrence/status/989124509226733570", "989124509226733570")</f>
        <v/>
      </c>
      <c r="B1703" s="2" t="n">
        <v>43215.53511574074</v>
      </c>
      <c r="C1703" t="n">
        <v>0</v>
      </c>
      <c r="D1703" t="n">
        <v>17</v>
      </c>
      <c r="E1703" t="s">
        <v>1712</v>
      </c>
      <c r="F1703" t="s"/>
      <c r="G1703" t="s"/>
      <c r="H1703" t="s"/>
      <c r="I1703" t="s"/>
      <c r="J1703" t="n">
        <v>0.0258</v>
      </c>
      <c r="K1703" t="n">
        <v>0.103</v>
      </c>
      <c r="L1703" t="n">
        <v>0.791</v>
      </c>
      <c r="M1703" t="n">
        <v>0.107</v>
      </c>
    </row>
    <row r="1704" spans="1:13">
      <c r="A1704" s="1">
        <f>HYPERLINK("http://www.twitter.com/NathanBLawrence/status/989124187175481344", "989124187175481344")</f>
        <v/>
      </c>
      <c r="B1704" s="2" t="n">
        <v>43215.53422453703</v>
      </c>
      <c r="C1704" t="n">
        <v>0</v>
      </c>
      <c r="D1704" t="n">
        <v>3</v>
      </c>
      <c r="E1704" t="s">
        <v>1713</v>
      </c>
      <c r="F1704">
        <f>HYPERLINK("http://pbs.twimg.com/media/DblJbR-VAAA4Efp.jpg", "http://pbs.twimg.com/media/DblJbR-VAAA4Efp.jpg")</f>
        <v/>
      </c>
      <c r="G1704" t="s"/>
      <c r="H1704" t="s"/>
      <c r="I1704" t="s"/>
      <c r="J1704" t="n">
        <v>0</v>
      </c>
      <c r="K1704" t="n">
        <v>0</v>
      </c>
      <c r="L1704" t="n">
        <v>1</v>
      </c>
      <c r="M1704" t="n">
        <v>0</v>
      </c>
    </row>
    <row r="1705" spans="1:13">
      <c r="A1705" s="1">
        <f>HYPERLINK("http://www.twitter.com/NathanBLawrence/status/989123338453872646", "989123338453872646")</f>
        <v/>
      </c>
      <c r="B1705" s="2" t="n">
        <v>43215.53188657408</v>
      </c>
      <c r="C1705" t="n">
        <v>1</v>
      </c>
      <c r="D1705" t="n">
        <v>1</v>
      </c>
      <c r="E1705" t="s">
        <v>1714</v>
      </c>
      <c r="F1705" t="s"/>
      <c r="G1705" t="s"/>
      <c r="H1705" t="s"/>
      <c r="I1705" t="s"/>
      <c r="J1705" t="n">
        <v>0.4588</v>
      </c>
      <c r="K1705" t="n">
        <v>0.106</v>
      </c>
      <c r="L1705" t="n">
        <v>0.602</v>
      </c>
      <c r="M1705" t="n">
        <v>0.292</v>
      </c>
    </row>
    <row r="1706" spans="1:13">
      <c r="A1706" s="1">
        <f>HYPERLINK("http://www.twitter.com/NathanBLawrence/status/989122314737455106", "989122314737455106")</f>
        <v/>
      </c>
      <c r="B1706" s="2" t="n">
        <v>43215.5290625</v>
      </c>
      <c r="C1706" t="n">
        <v>0</v>
      </c>
      <c r="D1706" t="n">
        <v>11</v>
      </c>
      <c r="E1706" t="s">
        <v>1715</v>
      </c>
      <c r="F1706" t="s"/>
      <c r="G1706" t="s"/>
      <c r="H1706" t="s"/>
      <c r="I1706" t="s"/>
      <c r="J1706" t="n">
        <v>-0.4939</v>
      </c>
      <c r="K1706" t="n">
        <v>0.144</v>
      </c>
      <c r="L1706" t="n">
        <v>0.856</v>
      </c>
      <c r="M1706" t="n">
        <v>0</v>
      </c>
    </row>
    <row r="1707" spans="1:13">
      <c r="A1707" s="1">
        <f>HYPERLINK("http://www.twitter.com/NathanBLawrence/status/989120431872495616", "989120431872495616")</f>
        <v/>
      </c>
      <c r="B1707" s="2" t="n">
        <v>43215.52386574074</v>
      </c>
      <c r="C1707" t="n">
        <v>10</v>
      </c>
      <c r="D1707" t="n">
        <v>9</v>
      </c>
      <c r="E1707" t="s">
        <v>1716</v>
      </c>
      <c r="F1707">
        <f>HYPERLINK("http://pbs.twimg.com/media/DboPyUiU0AEkNSa.jpg", "http://pbs.twimg.com/media/DboPyUiU0AEkNSa.jpg")</f>
        <v/>
      </c>
      <c r="G1707" t="s"/>
      <c r="H1707" t="s"/>
      <c r="I1707" t="s"/>
      <c r="J1707" t="n">
        <v>0.8636</v>
      </c>
      <c r="K1707" t="n">
        <v>0.04</v>
      </c>
      <c r="L1707" t="n">
        <v>0.75</v>
      </c>
      <c r="M1707" t="n">
        <v>0.21</v>
      </c>
    </row>
    <row r="1708" spans="1:13">
      <c r="A1708" s="1">
        <f>HYPERLINK("http://www.twitter.com/NathanBLawrence/status/989116679841083392", "989116679841083392")</f>
        <v/>
      </c>
      <c r="B1708" s="2" t="n">
        <v>43215.51351851852</v>
      </c>
      <c r="C1708" t="n">
        <v>0</v>
      </c>
      <c r="D1708" t="n">
        <v>125</v>
      </c>
      <c r="E1708" t="s">
        <v>1717</v>
      </c>
      <c r="F1708" t="s"/>
      <c r="G1708" t="s"/>
      <c r="H1708" t="s"/>
      <c r="I1708" t="s"/>
      <c r="J1708" t="n">
        <v>-0.5266999999999999</v>
      </c>
      <c r="K1708" t="n">
        <v>0.173</v>
      </c>
      <c r="L1708" t="n">
        <v>0.827</v>
      </c>
      <c r="M1708" t="n">
        <v>0</v>
      </c>
    </row>
    <row r="1709" spans="1:13">
      <c r="A1709" s="1">
        <f>HYPERLINK("http://www.twitter.com/NathanBLawrence/status/989112918863175680", "989112918863175680")</f>
        <v/>
      </c>
      <c r="B1709" s="2" t="n">
        <v>43215.50313657407</v>
      </c>
      <c r="C1709" t="n">
        <v>1</v>
      </c>
      <c r="D1709" t="n">
        <v>0</v>
      </c>
      <c r="E1709" t="s">
        <v>1718</v>
      </c>
      <c r="F1709" t="s"/>
      <c r="G1709" t="s"/>
      <c r="H1709" t="s"/>
      <c r="I1709" t="s"/>
      <c r="J1709" t="n">
        <v>0.5859</v>
      </c>
      <c r="K1709" t="n">
        <v>0</v>
      </c>
      <c r="L1709" t="n">
        <v>0.821</v>
      </c>
      <c r="M1709" t="n">
        <v>0.179</v>
      </c>
    </row>
    <row r="1710" spans="1:13">
      <c r="A1710" s="1">
        <f>HYPERLINK("http://www.twitter.com/NathanBLawrence/status/989108857761918976", "989108857761918976")</f>
        <v/>
      </c>
      <c r="B1710" s="2" t="n">
        <v>43215.49193287037</v>
      </c>
      <c r="C1710" t="n">
        <v>0</v>
      </c>
      <c r="D1710" t="n">
        <v>0</v>
      </c>
      <c r="E1710" t="s">
        <v>1719</v>
      </c>
      <c r="F1710" t="s"/>
      <c r="G1710" t="s"/>
      <c r="H1710" t="s"/>
      <c r="I1710" t="s"/>
      <c r="J1710" t="n">
        <v>-0.3612</v>
      </c>
      <c r="K1710" t="n">
        <v>0.161</v>
      </c>
      <c r="L1710" t="n">
        <v>0.839</v>
      </c>
      <c r="M1710" t="n">
        <v>0</v>
      </c>
    </row>
    <row r="1711" spans="1:13">
      <c r="A1711" s="1">
        <f>HYPERLINK("http://www.twitter.com/NathanBLawrence/status/989103537702559745", "989103537702559745")</f>
        <v/>
      </c>
      <c r="B1711" s="2" t="n">
        <v>43215.47724537037</v>
      </c>
      <c r="C1711" t="n">
        <v>6</v>
      </c>
      <c r="D1711" t="n">
        <v>4</v>
      </c>
      <c r="E1711" t="s">
        <v>1720</v>
      </c>
      <c r="F1711" t="s"/>
      <c r="G1711" t="s"/>
      <c r="H1711" t="s"/>
      <c r="I1711" t="s"/>
      <c r="J1711" t="n">
        <v>0.5848</v>
      </c>
      <c r="K1711" t="n">
        <v>0.046</v>
      </c>
      <c r="L1711" t="n">
        <v>0.837</v>
      </c>
      <c r="M1711" t="n">
        <v>0.117</v>
      </c>
    </row>
    <row r="1712" spans="1:13">
      <c r="A1712" s="1">
        <f>HYPERLINK("http://www.twitter.com/NathanBLawrence/status/989101257670512640", "989101257670512640")</f>
        <v/>
      </c>
      <c r="B1712" s="2" t="n">
        <v>43215.47096064815</v>
      </c>
      <c r="C1712" t="n">
        <v>0</v>
      </c>
      <c r="D1712" t="n">
        <v>0</v>
      </c>
      <c r="E1712" t="s">
        <v>1721</v>
      </c>
      <c r="F1712" t="s"/>
      <c r="G1712" t="s"/>
      <c r="H1712" t="s"/>
      <c r="I1712" t="s"/>
      <c r="J1712" t="n">
        <v>-0.4939</v>
      </c>
      <c r="K1712" t="n">
        <v>0.29</v>
      </c>
      <c r="L1712" t="n">
        <v>0.538</v>
      </c>
      <c r="M1712" t="n">
        <v>0.172</v>
      </c>
    </row>
    <row r="1713" spans="1:13">
      <c r="A1713" s="1">
        <f>HYPERLINK("http://www.twitter.com/NathanBLawrence/status/989097899471536129", "989097899471536129")</f>
        <v/>
      </c>
      <c r="B1713" s="2" t="n">
        <v>43215.46168981482</v>
      </c>
      <c r="C1713" t="n">
        <v>0</v>
      </c>
      <c r="D1713" t="n">
        <v>0</v>
      </c>
      <c r="E1713" t="s">
        <v>1722</v>
      </c>
      <c r="F1713" t="s"/>
      <c r="G1713" t="s"/>
      <c r="H1713" t="s"/>
      <c r="I1713" t="s"/>
      <c r="J1713" t="n">
        <v>-0.34</v>
      </c>
      <c r="K1713" t="n">
        <v>0.098</v>
      </c>
      <c r="L1713" t="n">
        <v>0.902</v>
      </c>
      <c r="M1713" t="n">
        <v>0</v>
      </c>
    </row>
    <row r="1714" spans="1:13">
      <c r="A1714" s="1">
        <f>HYPERLINK("http://www.twitter.com/NathanBLawrence/status/989097430506450944", "989097430506450944")</f>
        <v/>
      </c>
      <c r="B1714" s="2" t="n">
        <v>43215.46039351852</v>
      </c>
      <c r="C1714" t="n">
        <v>1</v>
      </c>
      <c r="D1714" t="n">
        <v>0</v>
      </c>
      <c r="E1714" t="s">
        <v>1723</v>
      </c>
      <c r="F1714" t="s"/>
      <c r="G1714" t="s"/>
      <c r="H1714" t="s"/>
      <c r="I1714" t="s"/>
      <c r="J1714" t="n">
        <v>0.7306</v>
      </c>
      <c r="K1714" t="n">
        <v>0</v>
      </c>
      <c r="L1714" t="n">
        <v>0.677</v>
      </c>
      <c r="M1714" t="n">
        <v>0.323</v>
      </c>
    </row>
    <row r="1715" spans="1:13">
      <c r="A1715" s="1">
        <f>HYPERLINK("http://www.twitter.com/NathanBLawrence/status/988992201526046721", "988992201526046721")</f>
        <v/>
      </c>
      <c r="B1715" s="2" t="n">
        <v>43215.17002314814</v>
      </c>
      <c r="C1715" t="n">
        <v>9</v>
      </c>
      <c r="D1715" t="n">
        <v>5</v>
      </c>
      <c r="E1715" t="s">
        <v>1724</v>
      </c>
      <c r="F1715" t="s"/>
      <c r="G1715" t="s"/>
      <c r="H1715" t="s"/>
      <c r="I1715" t="s"/>
      <c r="J1715" t="n">
        <v>0.5106000000000001</v>
      </c>
      <c r="K1715" t="n">
        <v>0</v>
      </c>
      <c r="L1715" t="n">
        <v>0.837</v>
      </c>
      <c r="M1715" t="n">
        <v>0.163</v>
      </c>
    </row>
    <row r="1716" spans="1:13">
      <c r="A1716" s="1">
        <f>HYPERLINK("http://www.twitter.com/NathanBLawrence/status/988988614787952640", "988988614787952640")</f>
        <v/>
      </c>
      <c r="B1716" s="2" t="n">
        <v>43215.16011574074</v>
      </c>
      <c r="C1716" t="n">
        <v>2</v>
      </c>
      <c r="D1716" t="n">
        <v>0</v>
      </c>
      <c r="E1716" t="s">
        <v>1725</v>
      </c>
      <c r="F1716" t="s"/>
      <c r="G1716" t="s"/>
      <c r="H1716" t="s"/>
      <c r="I1716" t="s"/>
      <c r="J1716" t="n">
        <v>0</v>
      </c>
      <c r="K1716" t="n">
        <v>0</v>
      </c>
      <c r="L1716" t="n">
        <v>1</v>
      </c>
      <c r="M1716" t="n">
        <v>0</v>
      </c>
    </row>
    <row r="1717" spans="1:13">
      <c r="A1717" s="1">
        <f>HYPERLINK("http://www.twitter.com/NathanBLawrence/status/988985607941754880", "988985607941754880")</f>
        <v/>
      </c>
      <c r="B1717" s="2" t="n">
        <v>43215.1518287037</v>
      </c>
      <c r="C1717" t="n">
        <v>0</v>
      </c>
      <c r="D1717" t="n">
        <v>0</v>
      </c>
      <c r="E1717" t="s">
        <v>1726</v>
      </c>
      <c r="F1717" t="s"/>
      <c r="G1717" t="s"/>
      <c r="H1717" t="s"/>
      <c r="I1717" t="s"/>
      <c r="J1717" t="n">
        <v>0.2263</v>
      </c>
      <c r="K1717" t="n">
        <v>0.055</v>
      </c>
      <c r="L1717" t="n">
        <v>0.868</v>
      </c>
      <c r="M1717" t="n">
        <v>0.077</v>
      </c>
    </row>
    <row r="1718" spans="1:13">
      <c r="A1718" s="1">
        <f>HYPERLINK("http://www.twitter.com/NathanBLawrence/status/988983779208368129", "988983779208368129")</f>
        <v/>
      </c>
      <c r="B1718" s="2" t="n">
        <v>43215.14678240741</v>
      </c>
      <c r="C1718" t="n">
        <v>0</v>
      </c>
      <c r="D1718" t="n">
        <v>1</v>
      </c>
      <c r="E1718" t="s">
        <v>1727</v>
      </c>
      <c r="F1718" t="s"/>
      <c r="G1718" t="s"/>
      <c r="H1718" t="s"/>
      <c r="I1718" t="s"/>
      <c r="J1718" t="n">
        <v>-0.6705</v>
      </c>
      <c r="K1718" t="n">
        <v>0.268</v>
      </c>
      <c r="L1718" t="n">
        <v>0.732</v>
      </c>
      <c r="M1718" t="n">
        <v>0</v>
      </c>
    </row>
    <row r="1719" spans="1:13">
      <c r="A1719" s="1">
        <f>HYPERLINK("http://www.twitter.com/NathanBLawrence/status/988981940203261952", "988981940203261952")</f>
        <v/>
      </c>
      <c r="B1719" s="2" t="n">
        <v>43215.14170138889</v>
      </c>
      <c r="C1719" t="n">
        <v>0</v>
      </c>
      <c r="D1719" t="n">
        <v>1</v>
      </c>
      <c r="E1719" t="s">
        <v>1728</v>
      </c>
      <c r="F1719" t="s"/>
      <c r="G1719" t="s"/>
      <c r="H1719" t="s"/>
      <c r="I1719" t="s"/>
      <c r="J1719" t="n">
        <v>-0.6705</v>
      </c>
      <c r="K1719" t="n">
        <v>0.297</v>
      </c>
      <c r="L1719" t="n">
        <v>0.703</v>
      </c>
      <c r="M1719" t="n">
        <v>0</v>
      </c>
    </row>
    <row r="1720" spans="1:13">
      <c r="A1720" s="1">
        <f>HYPERLINK("http://www.twitter.com/NathanBLawrence/status/988976892685537280", "988976892685537280")</f>
        <v/>
      </c>
      <c r="B1720" s="2" t="n">
        <v>43215.12777777778</v>
      </c>
      <c r="C1720" t="n">
        <v>0</v>
      </c>
      <c r="D1720" t="n">
        <v>1</v>
      </c>
      <c r="E1720" t="s">
        <v>1729</v>
      </c>
      <c r="F1720" t="s"/>
      <c r="G1720" t="s"/>
      <c r="H1720" t="s"/>
      <c r="I1720" t="s"/>
      <c r="J1720" t="n">
        <v>0.5859</v>
      </c>
      <c r="K1720" t="n">
        <v>0</v>
      </c>
      <c r="L1720" t="n">
        <v>0.648</v>
      </c>
      <c r="M1720" t="n">
        <v>0.352</v>
      </c>
    </row>
    <row r="1721" spans="1:13">
      <c r="A1721" s="1">
        <f>HYPERLINK("http://www.twitter.com/NathanBLawrence/status/988976467039137792", "988976467039137792")</f>
        <v/>
      </c>
      <c r="B1721" s="2" t="n">
        <v>43215.12659722222</v>
      </c>
      <c r="C1721" t="n">
        <v>0</v>
      </c>
      <c r="D1721" t="n">
        <v>6</v>
      </c>
      <c r="E1721" t="s">
        <v>1730</v>
      </c>
      <c r="F1721" t="s"/>
      <c r="G1721" t="s"/>
      <c r="H1721" t="s"/>
      <c r="I1721" t="s"/>
      <c r="J1721" t="n">
        <v>0</v>
      </c>
      <c r="K1721" t="n">
        <v>0</v>
      </c>
      <c r="L1721" t="n">
        <v>1</v>
      </c>
      <c r="M1721" t="n">
        <v>0</v>
      </c>
    </row>
    <row r="1722" spans="1:13">
      <c r="A1722" s="1">
        <f>HYPERLINK("http://www.twitter.com/NathanBLawrence/status/988976393668177921", "988976393668177921")</f>
        <v/>
      </c>
      <c r="B1722" s="2" t="n">
        <v>43215.12640046296</v>
      </c>
      <c r="C1722" t="n">
        <v>0</v>
      </c>
      <c r="D1722" t="n">
        <v>5</v>
      </c>
      <c r="E1722" t="s">
        <v>1731</v>
      </c>
      <c r="F1722" t="s"/>
      <c r="G1722" t="s"/>
      <c r="H1722" t="s"/>
      <c r="I1722" t="s"/>
      <c r="J1722" t="n">
        <v>0.1027</v>
      </c>
      <c r="K1722" t="n">
        <v>0</v>
      </c>
      <c r="L1722" t="n">
        <v>0.9399999999999999</v>
      </c>
      <c r="M1722" t="n">
        <v>0.06</v>
      </c>
    </row>
    <row r="1723" spans="1:13">
      <c r="A1723" s="1">
        <f>HYPERLINK("http://www.twitter.com/NathanBLawrence/status/988975053780979712", "988975053780979712")</f>
        <v/>
      </c>
      <c r="B1723" s="2" t="n">
        <v>43215.12269675926</v>
      </c>
      <c r="C1723" t="n">
        <v>2</v>
      </c>
      <c r="D1723" t="n">
        <v>1</v>
      </c>
      <c r="E1723" t="s">
        <v>1732</v>
      </c>
      <c r="F1723" t="s"/>
      <c r="G1723" t="s"/>
      <c r="H1723" t="s"/>
      <c r="I1723" t="s"/>
      <c r="J1723" t="n">
        <v>0.633</v>
      </c>
      <c r="K1723" t="n">
        <v>0.059</v>
      </c>
      <c r="L1723" t="n">
        <v>0.745</v>
      </c>
      <c r="M1723" t="n">
        <v>0.196</v>
      </c>
    </row>
    <row r="1724" spans="1:13">
      <c r="A1724" s="1">
        <f>HYPERLINK("http://www.twitter.com/NathanBLawrence/status/988966427313999872", "988966427313999872")</f>
        <v/>
      </c>
      <c r="B1724" s="2" t="n">
        <v>43215.09890046297</v>
      </c>
      <c r="C1724" t="n">
        <v>0</v>
      </c>
      <c r="D1724" t="n">
        <v>0</v>
      </c>
      <c r="E1724" t="s">
        <v>1733</v>
      </c>
      <c r="F1724" t="s"/>
      <c r="G1724" t="s"/>
      <c r="H1724" t="s"/>
      <c r="I1724" t="s"/>
      <c r="J1724" t="n">
        <v>0.3182</v>
      </c>
      <c r="K1724" t="n">
        <v>0</v>
      </c>
      <c r="L1724" t="n">
        <v>0.839</v>
      </c>
      <c r="M1724" t="n">
        <v>0.161</v>
      </c>
    </row>
    <row r="1725" spans="1:13">
      <c r="A1725" s="1">
        <f>HYPERLINK("http://www.twitter.com/NathanBLawrence/status/988944431113007104", "988944431113007104")</f>
        <v/>
      </c>
      <c r="B1725" s="2" t="n">
        <v>43215.03819444445</v>
      </c>
      <c r="C1725" t="n">
        <v>1</v>
      </c>
      <c r="D1725" t="n">
        <v>0</v>
      </c>
      <c r="E1725" t="s">
        <v>1734</v>
      </c>
      <c r="F1725" t="s"/>
      <c r="G1725" t="s"/>
      <c r="H1725" t="s"/>
      <c r="I1725" t="s"/>
      <c r="J1725" t="n">
        <v>0.7568</v>
      </c>
      <c r="K1725" t="n">
        <v>0.092</v>
      </c>
      <c r="L1725" t="n">
        <v>0.6909999999999999</v>
      </c>
      <c r="M1725" t="n">
        <v>0.217</v>
      </c>
    </row>
    <row r="1726" spans="1:13">
      <c r="A1726" s="1">
        <f>HYPERLINK("http://www.twitter.com/NathanBLawrence/status/988943490410340357", "988943490410340357")</f>
        <v/>
      </c>
      <c r="B1726" s="2" t="n">
        <v>43215.03560185185</v>
      </c>
      <c r="C1726" t="n">
        <v>0</v>
      </c>
      <c r="D1726" t="n">
        <v>0</v>
      </c>
      <c r="E1726" t="s">
        <v>1735</v>
      </c>
      <c r="F1726" t="s"/>
      <c r="G1726" t="s"/>
      <c r="H1726" t="s"/>
      <c r="I1726" t="s"/>
      <c r="J1726" t="n">
        <v>0.296</v>
      </c>
      <c r="K1726" t="n">
        <v>0</v>
      </c>
      <c r="L1726" t="n">
        <v>0.833</v>
      </c>
      <c r="M1726" t="n">
        <v>0.167</v>
      </c>
    </row>
    <row r="1727" spans="1:13">
      <c r="A1727" s="1">
        <f>HYPERLINK("http://www.twitter.com/NathanBLawrence/status/988943201754021889", "988943201754021889")</f>
        <v/>
      </c>
      <c r="B1727" s="2" t="n">
        <v>43215.03480324074</v>
      </c>
      <c r="C1727" t="n">
        <v>1</v>
      </c>
      <c r="D1727" t="n">
        <v>0</v>
      </c>
      <c r="E1727" t="s">
        <v>1736</v>
      </c>
      <c r="F1727" t="s"/>
      <c r="G1727" t="s"/>
      <c r="H1727" t="s"/>
      <c r="I1727" t="s"/>
      <c r="J1727" t="n">
        <v>-0.6124000000000001</v>
      </c>
      <c r="K1727" t="n">
        <v>0.295</v>
      </c>
      <c r="L1727" t="n">
        <v>0.597</v>
      </c>
      <c r="M1727" t="n">
        <v>0.108</v>
      </c>
    </row>
    <row r="1728" spans="1:13">
      <c r="A1728" s="1">
        <f>HYPERLINK("http://www.twitter.com/NathanBLawrence/status/988941785069170693", "988941785069170693")</f>
        <v/>
      </c>
      <c r="B1728" s="2" t="n">
        <v>43215.03089120371</v>
      </c>
      <c r="C1728" t="n">
        <v>0</v>
      </c>
      <c r="D1728" t="n">
        <v>0</v>
      </c>
      <c r="E1728" t="s">
        <v>1737</v>
      </c>
      <c r="F1728" t="s"/>
      <c r="G1728" t="s"/>
      <c r="H1728" t="s"/>
      <c r="I1728" t="s"/>
      <c r="J1728" t="n">
        <v>0.296</v>
      </c>
      <c r="K1728" t="n">
        <v>0.093</v>
      </c>
      <c r="L1728" t="n">
        <v>0.763</v>
      </c>
      <c r="M1728" t="n">
        <v>0.144</v>
      </c>
    </row>
    <row r="1729" spans="1:13">
      <c r="A1729" s="1">
        <f>HYPERLINK("http://www.twitter.com/NathanBLawrence/status/988939702060376064", "988939702060376064")</f>
        <v/>
      </c>
      <c r="B1729" s="2" t="n">
        <v>43215.02515046296</v>
      </c>
      <c r="C1729" t="n">
        <v>0</v>
      </c>
      <c r="D1729" t="n">
        <v>8</v>
      </c>
      <c r="E1729" t="s">
        <v>1738</v>
      </c>
      <c r="F1729" t="s"/>
      <c r="G1729" t="s"/>
      <c r="H1729" t="s"/>
      <c r="I1729" t="s"/>
      <c r="J1729" t="n">
        <v>0</v>
      </c>
      <c r="K1729" t="n">
        <v>0</v>
      </c>
      <c r="L1729" t="n">
        <v>1</v>
      </c>
      <c r="M1729" t="n">
        <v>0</v>
      </c>
    </row>
    <row r="1730" spans="1:13">
      <c r="A1730" s="1">
        <f>HYPERLINK("http://www.twitter.com/NathanBLawrence/status/988939515472596994", "988939515472596994")</f>
        <v/>
      </c>
      <c r="B1730" s="2" t="n">
        <v>43215.02462962963</v>
      </c>
      <c r="C1730" t="n">
        <v>1</v>
      </c>
      <c r="D1730" t="n">
        <v>0</v>
      </c>
      <c r="E1730" t="s">
        <v>1739</v>
      </c>
      <c r="F1730" t="s"/>
      <c r="G1730" t="s"/>
      <c r="H1730" t="s"/>
      <c r="I1730" t="s"/>
      <c r="J1730" t="n">
        <v>0.3612</v>
      </c>
      <c r="K1730" t="n">
        <v>0</v>
      </c>
      <c r="L1730" t="n">
        <v>0.872</v>
      </c>
      <c r="M1730" t="n">
        <v>0.128</v>
      </c>
    </row>
    <row r="1731" spans="1:13">
      <c r="A1731" s="1">
        <f>HYPERLINK("http://www.twitter.com/NathanBLawrence/status/988938213074132992", "988938213074132992")</f>
        <v/>
      </c>
      <c r="B1731" s="2" t="n">
        <v>43215.02104166667</v>
      </c>
      <c r="C1731" t="n">
        <v>8</v>
      </c>
      <c r="D1731" t="n">
        <v>6</v>
      </c>
      <c r="E1731" t="s">
        <v>1740</v>
      </c>
      <c r="F1731" t="s"/>
      <c r="G1731" t="s"/>
      <c r="H1731" t="s"/>
      <c r="I1731" t="s"/>
      <c r="J1731" t="n">
        <v>0</v>
      </c>
      <c r="K1731" t="n">
        <v>0</v>
      </c>
      <c r="L1731" t="n">
        <v>1</v>
      </c>
      <c r="M1731" t="n">
        <v>0</v>
      </c>
    </row>
    <row r="1732" spans="1:13">
      <c r="A1732" s="1">
        <f>HYPERLINK("http://www.twitter.com/NathanBLawrence/status/988935301358858245", "988935301358858245")</f>
        <v/>
      </c>
      <c r="B1732" s="2" t="n">
        <v>43215.01300925926</v>
      </c>
      <c r="C1732" t="n">
        <v>0</v>
      </c>
      <c r="D1732" t="n">
        <v>9</v>
      </c>
      <c r="E1732" t="s">
        <v>1741</v>
      </c>
      <c r="F1732" t="s"/>
      <c r="G1732" t="s"/>
      <c r="H1732" t="s"/>
      <c r="I1732" t="s"/>
      <c r="J1732" t="n">
        <v>0</v>
      </c>
      <c r="K1732" t="n">
        <v>0</v>
      </c>
      <c r="L1732" t="n">
        <v>1</v>
      </c>
      <c r="M1732" t="n">
        <v>0</v>
      </c>
    </row>
    <row r="1733" spans="1:13">
      <c r="A1733" s="1">
        <f>HYPERLINK("http://www.twitter.com/NathanBLawrence/status/988935262154653696", "988935262154653696")</f>
        <v/>
      </c>
      <c r="B1733" s="2" t="n">
        <v>43215.01289351852</v>
      </c>
      <c r="C1733" t="n">
        <v>3</v>
      </c>
      <c r="D1733" t="n">
        <v>0</v>
      </c>
      <c r="E1733" t="s">
        <v>1742</v>
      </c>
      <c r="F1733" t="s"/>
      <c r="G1733" t="s"/>
      <c r="H1733" t="s"/>
      <c r="I1733" t="s"/>
      <c r="J1733" t="n">
        <v>0.2006</v>
      </c>
      <c r="K1733" t="n">
        <v>0</v>
      </c>
      <c r="L1733" t="n">
        <v>0.965</v>
      </c>
      <c r="M1733" t="n">
        <v>0.035</v>
      </c>
    </row>
    <row r="1734" spans="1:13">
      <c r="A1734" s="1">
        <f>HYPERLINK("http://www.twitter.com/NathanBLawrence/status/988929380767424512", "988929380767424512")</f>
        <v/>
      </c>
      <c r="B1734" s="2" t="n">
        <v>43214.99666666667</v>
      </c>
      <c r="C1734" t="n">
        <v>0</v>
      </c>
      <c r="D1734" t="n">
        <v>7</v>
      </c>
      <c r="E1734" t="s">
        <v>1743</v>
      </c>
      <c r="F1734" t="s"/>
      <c r="G1734" t="s"/>
      <c r="H1734" t="s"/>
      <c r="I1734" t="s"/>
      <c r="J1734" t="n">
        <v>0.25</v>
      </c>
      <c r="K1734" t="n">
        <v>0</v>
      </c>
      <c r="L1734" t="n">
        <v>0.905</v>
      </c>
      <c r="M1734" t="n">
        <v>0.095</v>
      </c>
    </row>
    <row r="1735" spans="1:13">
      <c r="A1735" s="1">
        <f>HYPERLINK("http://www.twitter.com/NathanBLawrence/status/988897468359331840", "988897468359331840")</f>
        <v/>
      </c>
      <c r="B1735" s="2" t="n">
        <v>43214.90859953704</v>
      </c>
      <c r="C1735" t="n">
        <v>0</v>
      </c>
      <c r="D1735" t="n">
        <v>0</v>
      </c>
      <c r="E1735" t="s">
        <v>1744</v>
      </c>
      <c r="F1735" t="s"/>
      <c r="G1735" t="s"/>
      <c r="H1735" t="s"/>
      <c r="I1735" t="s"/>
      <c r="J1735" t="n">
        <v>0</v>
      </c>
      <c r="K1735" t="n">
        <v>0</v>
      </c>
      <c r="L1735" t="n">
        <v>1</v>
      </c>
      <c r="M1735" t="n">
        <v>0</v>
      </c>
    </row>
    <row r="1736" spans="1:13">
      <c r="A1736" s="1">
        <f>HYPERLINK("http://www.twitter.com/NathanBLawrence/status/988897243754266625", "988897243754266625")</f>
        <v/>
      </c>
      <c r="B1736" s="2" t="n">
        <v>43214.90798611111</v>
      </c>
      <c r="C1736" t="n">
        <v>0</v>
      </c>
      <c r="D1736" t="n">
        <v>1</v>
      </c>
      <c r="E1736" t="s">
        <v>1745</v>
      </c>
      <c r="F1736" t="s"/>
      <c r="G1736" t="s"/>
      <c r="H1736" t="s"/>
      <c r="I1736" t="s"/>
      <c r="J1736" t="n">
        <v>0</v>
      </c>
      <c r="K1736" t="n">
        <v>0</v>
      </c>
      <c r="L1736" t="n">
        <v>1</v>
      </c>
      <c r="M1736" t="n">
        <v>0</v>
      </c>
    </row>
    <row r="1737" spans="1:13">
      <c r="A1737" s="1">
        <f>HYPERLINK("http://www.twitter.com/NathanBLawrence/status/988896935602982913", "988896935602982913")</f>
        <v/>
      </c>
      <c r="B1737" s="2" t="n">
        <v>43214.90712962963</v>
      </c>
      <c r="C1737" t="n">
        <v>2</v>
      </c>
      <c r="D1737" t="n">
        <v>0</v>
      </c>
      <c r="E1737" t="s">
        <v>1746</v>
      </c>
      <c r="F1737" t="s"/>
      <c r="G1737" t="s"/>
      <c r="H1737" t="s"/>
      <c r="I1737" t="s"/>
      <c r="J1737" t="n">
        <v>0.3612</v>
      </c>
      <c r="K1737" t="n">
        <v>0</v>
      </c>
      <c r="L1737" t="n">
        <v>0.884</v>
      </c>
      <c r="M1737" t="n">
        <v>0.116</v>
      </c>
    </row>
    <row r="1738" spans="1:13">
      <c r="A1738" s="1">
        <f>HYPERLINK("http://www.twitter.com/NathanBLawrence/status/988895419815088135", "988895419815088135")</f>
        <v/>
      </c>
      <c r="B1738" s="2" t="n">
        <v>43214.90295138889</v>
      </c>
      <c r="C1738" t="n">
        <v>0</v>
      </c>
      <c r="D1738" t="n">
        <v>0</v>
      </c>
      <c r="E1738" t="s">
        <v>1747</v>
      </c>
      <c r="F1738" t="s"/>
      <c r="G1738" t="s"/>
      <c r="H1738" t="s"/>
      <c r="I1738" t="s"/>
      <c r="J1738" t="n">
        <v>-0.7351</v>
      </c>
      <c r="K1738" t="n">
        <v>0.243</v>
      </c>
      <c r="L1738" t="n">
        <v>0.709</v>
      </c>
      <c r="M1738" t="n">
        <v>0.049</v>
      </c>
    </row>
    <row r="1739" spans="1:13">
      <c r="A1739" s="1">
        <f>HYPERLINK("http://www.twitter.com/NathanBLawrence/status/988893005468848129", "988893005468848129")</f>
        <v/>
      </c>
      <c r="B1739" s="2" t="n">
        <v>43214.89628472222</v>
      </c>
      <c r="C1739" t="n">
        <v>0</v>
      </c>
      <c r="D1739" t="n">
        <v>38</v>
      </c>
      <c r="E1739" t="s">
        <v>1748</v>
      </c>
      <c r="F1739">
        <f>HYPERLINK("http://pbs.twimg.com/media/Dbk7dbWWsAAxU0n.jpg", "http://pbs.twimg.com/media/Dbk7dbWWsAAxU0n.jpg")</f>
        <v/>
      </c>
      <c r="G1739" t="s"/>
      <c r="H1739" t="s"/>
      <c r="I1739" t="s"/>
      <c r="J1739" t="n">
        <v>0</v>
      </c>
      <c r="K1739" t="n">
        <v>0</v>
      </c>
      <c r="L1739" t="n">
        <v>1</v>
      </c>
      <c r="M1739" t="n">
        <v>0</v>
      </c>
    </row>
    <row r="1740" spans="1:13">
      <c r="A1740" s="1">
        <f>HYPERLINK("http://www.twitter.com/NathanBLawrence/status/988892915790417921", "988892915790417921")</f>
        <v/>
      </c>
      <c r="B1740" s="2" t="n">
        <v>43214.89604166667</v>
      </c>
      <c r="C1740" t="n">
        <v>1</v>
      </c>
      <c r="D1740" t="n">
        <v>0</v>
      </c>
      <c r="E1740" t="s">
        <v>1749</v>
      </c>
      <c r="F1740" t="s"/>
      <c r="G1740" t="s"/>
      <c r="H1740" t="s"/>
      <c r="I1740" t="s"/>
      <c r="J1740" t="n">
        <v>0</v>
      </c>
      <c r="K1740" t="n">
        <v>0</v>
      </c>
      <c r="L1740" t="n">
        <v>1</v>
      </c>
      <c r="M1740" t="n">
        <v>0</v>
      </c>
    </row>
    <row r="1741" spans="1:13">
      <c r="A1741" s="1">
        <f>HYPERLINK("http://www.twitter.com/NathanBLawrence/status/988892085066653696", "988892085066653696")</f>
        <v/>
      </c>
      <c r="B1741" s="2" t="n">
        <v>43214.89375</v>
      </c>
      <c r="C1741" t="n">
        <v>2</v>
      </c>
      <c r="D1741" t="n">
        <v>1</v>
      </c>
      <c r="E1741" t="s">
        <v>1750</v>
      </c>
      <c r="F1741" t="s"/>
      <c r="G1741" t="s"/>
      <c r="H1741" t="s"/>
      <c r="I1741" t="s"/>
      <c r="J1741" t="n">
        <v>-0.7506</v>
      </c>
      <c r="K1741" t="n">
        <v>0.158</v>
      </c>
      <c r="L1741" t="n">
        <v>0.842</v>
      </c>
      <c r="M1741" t="n">
        <v>0</v>
      </c>
    </row>
    <row r="1742" spans="1:13">
      <c r="A1742" s="1">
        <f>HYPERLINK("http://www.twitter.com/NathanBLawrence/status/988891297590202370", "988891297590202370")</f>
        <v/>
      </c>
      <c r="B1742" s="2" t="n">
        <v>43214.89157407408</v>
      </c>
      <c r="C1742" t="n">
        <v>0</v>
      </c>
      <c r="D1742" t="n">
        <v>4</v>
      </c>
      <c r="E1742" t="s">
        <v>1751</v>
      </c>
      <c r="F1742" t="s"/>
      <c r="G1742" t="s"/>
      <c r="H1742" t="s"/>
      <c r="I1742" t="s"/>
      <c r="J1742" t="n">
        <v>0.5266999999999999</v>
      </c>
      <c r="K1742" t="n">
        <v>0.068</v>
      </c>
      <c r="L1742" t="n">
        <v>0.737</v>
      </c>
      <c r="M1742" t="n">
        <v>0.195</v>
      </c>
    </row>
    <row r="1743" spans="1:13">
      <c r="A1743" s="1">
        <f>HYPERLINK("http://www.twitter.com/NathanBLawrence/status/988890026644779009", "988890026644779009")</f>
        <v/>
      </c>
      <c r="B1743" s="2" t="n">
        <v>43214.88806712963</v>
      </c>
      <c r="C1743" t="n">
        <v>0</v>
      </c>
      <c r="D1743" t="n">
        <v>7</v>
      </c>
      <c r="E1743" t="s">
        <v>1752</v>
      </c>
      <c r="F1743" t="s"/>
      <c r="G1743" t="s"/>
      <c r="H1743" t="s"/>
      <c r="I1743" t="s"/>
      <c r="J1743" t="n">
        <v>-0.1316</v>
      </c>
      <c r="K1743" t="n">
        <v>0.07000000000000001</v>
      </c>
      <c r="L1743" t="n">
        <v>0.93</v>
      </c>
      <c r="M1743" t="n">
        <v>0</v>
      </c>
    </row>
    <row r="1744" spans="1:13">
      <c r="A1744" s="1">
        <f>HYPERLINK("http://www.twitter.com/NathanBLawrence/status/988888461368348680", "988888461368348680")</f>
        <v/>
      </c>
      <c r="B1744" s="2" t="n">
        <v>43214.88375</v>
      </c>
      <c r="C1744" t="n">
        <v>0</v>
      </c>
      <c r="D1744" t="n">
        <v>17</v>
      </c>
      <c r="E1744" t="s">
        <v>1753</v>
      </c>
      <c r="F1744" t="s"/>
      <c r="G1744" t="s"/>
      <c r="H1744" t="s"/>
      <c r="I1744" t="s"/>
      <c r="J1744" t="n">
        <v>-0.296</v>
      </c>
      <c r="K1744" t="n">
        <v>0.212</v>
      </c>
      <c r="L1744" t="n">
        <v>0.616</v>
      </c>
      <c r="M1744" t="n">
        <v>0.171</v>
      </c>
    </row>
    <row r="1745" spans="1:13">
      <c r="A1745" s="1">
        <f>HYPERLINK("http://www.twitter.com/NathanBLawrence/status/988888362315632640", "988888362315632640")</f>
        <v/>
      </c>
      <c r="B1745" s="2" t="n">
        <v>43214.88347222222</v>
      </c>
      <c r="C1745" t="n">
        <v>0</v>
      </c>
      <c r="D1745" t="n">
        <v>14</v>
      </c>
      <c r="E1745" t="s">
        <v>1754</v>
      </c>
      <c r="F1745" t="s"/>
      <c r="G1745" t="s"/>
      <c r="H1745" t="s"/>
      <c r="I1745" t="s"/>
      <c r="J1745" t="n">
        <v>0.538</v>
      </c>
      <c r="K1745" t="n">
        <v>0.095</v>
      </c>
      <c r="L1745" t="n">
        <v>0.6850000000000001</v>
      </c>
      <c r="M1745" t="n">
        <v>0.22</v>
      </c>
    </row>
    <row r="1746" spans="1:13">
      <c r="A1746" s="1">
        <f>HYPERLINK("http://www.twitter.com/NathanBLawrence/status/988887987344891904", "988887987344891904")</f>
        <v/>
      </c>
      <c r="B1746" s="2" t="n">
        <v>43214.88244212963</v>
      </c>
      <c r="C1746" t="n">
        <v>0</v>
      </c>
      <c r="D1746" t="n">
        <v>11</v>
      </c>
      <c r="E1746" t="s">
        <v>1755</v>
      </c>
      <c r="F1746" t="s"/>
      <c r="G1746" t="s"/>
      <c r="H1746" t="s"/>
      <c r="I1746" t="s"/>
      <c r="J1746" t="n">
        <v>0.6588000000000001</v>
      </c>
      <c r="K1746" t="n">
        <v>0</v>
      </c>
      <c r="L1746" t="n">
        <v>0.747</v>
      </c>
      <c r="M1746" t="n">
        <v>0.253</v>
      </c>
    </row>
    <row r="1747" spans="1:13">
      <c r="A1747" s="1">
        <f>HYPERLINK("http://www.twitter.com/NathanBLawrence/status/988887873196908546", "988887873196908546")</f>
        <v/>
      </c>
      <c r="B1747" s="2" t="n">
        <v>43214.88212962963</v>
      </c>
      <c r="C1747" t="n">
        <v>1</v>
      </c>
      <c r="D1747" t="n">
        <v>0</v>
      </c>
      <c r="E1747" t="s">
        <v>1756</v>
      </c>
      <c r="F1747" t="s"/>
      <c r="G1747" t="s"/>
      <c r="H1747" t="s"/>
      <c r="I1747" t="s"/>
      <c r="J1747" t="n">
        <v>0.34</v>
      </c>
      <c r="K1747" t="n">
        <v>0.082</v>
      </c>
      <c r="L1747" t="n">
        <v>0.742</v>
      </c>
      <c r="M1747" t="n">
        <v>0.176</v>
      </c>
    </row>
    <row r="1748" spans="1:13">
      <c r="A1748" s="1">
        <f>HYPERLINK("http://www.twitter.com/NathanBLawrence/status/988886871651610625", "988886871651610625")</f>
        <v/>
      </c>
      <c r="B1748" s="2" t="n">
        <v>43214.87936342593</v>
      </c>
      <c r="C1748" t="n">
        <v>1</v>
      </c>
      <c r="D1748" t="n">
        <v>0</v>
      </c>
      <c r="E1748" t="s">
        <v>1757</v>
      </c>
      <c r="F1748" t="s"/>
      <c r="G1748" t="s"/>
      <c r="H1748" t="s"/>
      <c r="I1748" t="s"/>
      <c r="J1748" t="n">
        <v>0</v>
      </c>
      <c r="K1748" t="n">
        <v>0</v>
      </c>
      <c r="L1748" t="n">
        <v>1</v>
      </c>
      <c r="M1748" t="n">
        <v>0</v>
      </c>
    </row>
    <row r="1749" spans="1:13">
      <c r="A1749" s="1">
        <f>HYPERLINK("http://www.twitter.com/NathanBLawrence/status/988885181430935552", "988885181430935552")</f>
        <v/>
      </c>
      <c r="B1749" s="2" t="n">
        <v>43214.87469907408</v>
      </c>
      <c r="C1749" t="n">
        <v>0</v>
      </c>
      <c r="D1749" t="n">
        <v>9</v>
      </c>
      <c r="E1749" t="s">
        <v>1758</v>
      </c>
      <c r="F1749" t="s"/>
      <c r="G1749" t="s"/>
      <c r="H1749" t="s"/>
      <c r="I1749" t="s"/>
      <c r="J1749" t="n">
        <v>-0.3182</v>
      </c>
      <c r="K1749" t="n">
        <v>0.113</v>
      </c>
      <c r="L1749" t="n">
        <v>0.887</v>
      </c>
      <c r="M1749" t="n">
        <v>0</v>
      </c>
    </row>
    <row r="1750" spans="1:13">
      <c r="A1750" s="1">
        <f>HYPERLINK("http://www.twitter.com/NathanBLawrence/status/988885167224836096", "988885167224836096")</f>
        <v/>
      </c>
      <c r="B1750" s="2" t="n">
        <v>43214.87466435185</v>
      </c>
      <c r="C1750" t="n">
        <v>1</v>
      </c>
      <c r="D1750" t="n">
        <v>0</v>
      </c>
      <c r="E1750" t="s">
        <v>1759</v>
      </c>
      <c r="F1750" t="s"/>
      <c r="G1750" t="s"/>
      <c r="H1750" t="s"/>
      <c r="I1750" t="s"/>
      <c r="J1750" t="n">
        <v>0</v>
      </c>
      <c r="K1750" t="n">
        <v>0</v>
      </c>
      <c r="L1750" t="n">
        <v>1</v>
      </c>
      <c r="M1750" t="n">
        <v>0</v>
      </c>
    </row>
    <row r="1751" spans="1:13">
      <c r="A1751" s="1">
        <f>HYPERLINK("http://www.twitter.com/NathanBLawrence/status/988884788693041152", "988884788693041152")</f>
        <v/>
      </c>
      <c r="B1751" s="2" t="n">
        <v>43214.87361111111</v>
      </c>
      <c r="C1751" t="n">
        <v>3</v>
      </c>
      <c r="D1751" t="n">
        <v>3</v>
      </c>
      <c r="E1751" t="s">
        <v>1760</v>
      </c>
      <c r="F1751" t="s"/>
      <c r="G1751" t="s"/>
      <c r="H1751" t="s"/>
      <c r="I1751" t="s"/>
      <c r="J1751" t="n">
        <v>-0.2481</v>
      </c>
      <c r="K1751" t="n">
        <v>0.07000000000000001</v>
      </c>
      <c r="L1751" t="n">
        <v>0.881</v>
      </c>
      <c r="M1751" t="n">
        <v>0.049</v>
      </c>
    </row>
    <row r="1752" spans="1:13">
      <c r="A1752" s="1">
        <f>HYPERLINK("http://www.twitter.com/NathanBLawrence/status/988882630056775680", "988882630056775680")</f>
        <v/>
      </c>
      <c r="B1752" s="2" t="n">
        <v>43214.86766203704</v>
      </c>
      <c r="C1752" t="n">
        <v>2</v>
      </c>
      <c r="D1752" t="n">
        <v>1</v>
      </c>
      <c r="E1752" t="s">
        <v>1761</v>
      </c>
      <c r="F1752">
        <f>HYPERLINK("http://pbs.twimg.com/media/Dbk3gORU0AAnnY1.jpg", "http://pbs.twimg.com/media/Dbk3gORU0AAnnY1.jpg")</f>
        <v/>
      </c>
      <c r="G1752" t="s"/>
      <c r="H1752" t="s"/>
      <c r="I1752" t="s"/>
      <c r="J1752" t="n">
        <v>-0.3612</v>
      </c>
      <c r="K1752" t="n">
        <v>0.172</v>
      </c>
      <c r="L1752" t="n">
        <v>0.828</v>
      </c>
      <c r="M1752" t="n">
        <v>0</v>
      </c>
    </row>
    <row r="1753" spans="1:13">
      <c r="A1753" s="1">
        <f>HYPERLINK("http://www.twitter.com/NathanBLawrence/status/988882048977956864", "988882048977956864")</f>
        <v/>
      </c>
      <c r="B1753" s="2" t="n">
        <v>43214.86605324074</v>
      </c>
      <c r="C1753" t="n">
        <v>5</v>
      </c>
      <c r="D1753" t="n">
        <v>4</v>
      </c>
      <c r="E1753" t="s">
        <v>1762</v>
      </c>
      <c r="F1753" t="s"/>
      <c r="G1753" t="s"/>
      <c r="H1753" t="s"/>
      <c r="I1753" t="s"/>
      <c r="J1753" t="n">
        <v>-0.7669</v>
      </c>
      <c r="K1753" t="n">
        <v>0.171</v>
      </c>
      <c r="L1753" t="n">
        <v>0.792</v>
      </c>
      <c r="M1753" t="n">
        <v>0.037</v>
      </c>
    </row>
    <row r="1754" spans="1:13">
      <c r="A1754" s="1">
        <f>HYPERLINK("http://www.twitter.com/NathanBLawrence/status/988880717378654208", "988880717378654208")</f>
        <v/>
      </c>
      <c r="B1754" s="2" t="n">
        <v>43214.86238425926</v>
      </c>
      <c r="C1754" t="n">
        <v>0</v>
      </c>
      <c r="D1754" t="n">
        <v>0</v>
      </c>
      <c r="E1754" t="s">
        <v>1763</v>
      </c>
      <c r="F1754" t="s"/>
      <c r="G1754" t="s"/>
      <c r="H1754" t="s"/>
      <c r="I1754" t="s"/>
      <c r="J1754" t="n">
        <v>0.1531</v>
      </c>
      <c r="K1754" t="n">
        <v>0.203</v>
      </c>
      <c r="L1754" t="n">
        <v>0.469</v>
      </c>
      <c r="M1754" t="n">
        <v>0.328</v>
      </c>
    </row>
    <row r="1755" spans="1:13">
      <c r="A1755" s="1">
        <f>HYPERLINK("http://www.twitter.com/NathanBLawrence/status/988878118722199557", "988878118722199557")</f>
        <v/>
      </c>
      <c r="B1755" s="2" t="n">
        <v>43214.85520833333</v>
      </c>
      <c r="C1755" t="n">
        <v>0</v>
      </c>
      <c r="D1755" t="n">
        <v>40</v>
      </c>
      <c r="E1755" t="s">
        <v>1764</v>
      </c>
      <c r="F1755">
        <f>HYPERLINK("http://pbs.twimg.com/media/DbkvezMU8AAbM9l.jpg", "http://pbs.twimg.com/media/DbkvezMU8AAbM9l.jpg")</f>
        <v/>
      </c>
      <c r="G1755">
        <f>HYPERLINK("http://pbs.twimg.com/media/DbkveOIVwAA_3HZ.jpg", "http://pbs.twimg.com/media/DbkveOIVwAA_3HZ.jpg")</f>
        <v/>
      </c>
      <c r="H1755">
        <f>HYPERLINK("http://pbs.twimg.com/media/DbkveOLV4AE_Hhi.jpg", "http://pbs.twimg.com/media/DbkveOLV4AE_Hhi.jpg")</f>
        <v/>
      </c>
      <c r="I1755" t="s"/>
      <c r="J1755" t="n">
        <v>0.8399</v>
      </c>
      <c r="K1755" t="n">
        <v>0</v>
      </c>
      <c r="L1755" t="n">
        <v>0.6919999999999999</v>
      </c>
      <c r="M1755" t="n">
        <v>0.308</v>
      </c>
    </row>
    <row r="1756" spans="1:13">
      <c r="A1756" s="1">
        <f>HYPERLINK("http://www.twitter.com/NathanBLawrence/status/988870810592075778", "988870810592075778")</f>
        <v/>
      </c>
      <c r="B1756" s="2" t="n">
        <v>43214.8350462963</v>
      </c>
      <c r="C1756" t="n">
        <v>0</v>
      </c>
      <c r="D1756" t="n">
        <v>13</v>
      </c>
      <c r="E1756" t="s">
        <v>1765</v>
      </c>
      <c r="F1756">
        <f>HYPERLINK("https://video.twimg.com/ext_tw_video/988867887837392896/pu/vid/1280x720/dUmudyaNvVHSLU8N.mp4?tag=3", "https://video.twimg.com/ext_tw_video/988867887837392896/pu/vid/1280x720/dUmudyaNvVHSLU8N.mp4?tag=3")</f>
        <v/>
      </c>
      <c r="G1756" t="s"/>
      <c r="H1756" t="s"/>
      <c r="I1756" t="s"/>
      <c r="J1756" t="n">
        <v>0.4263</v>
      </c>
      <c r="K1756" t="n">
        <v>0</v>
      </c>
      <c r="L1756" t="n">
        <v>0.871</v>
      </c>
      <c r="M1756" t="n">
        <v>0.129</v>
      </c>
    </row>
    <row r="1757" spans="1:13">
      <c r="A1757" s="1">
        <f>HYPERLINK("http://www.twitter.com/NathanBLawrence/status/988869665916153856", "988869665916153856")</f>
        <v/>
      </c>
      <c r="B1757" s="2" t="n">
        <v>43214.83188657407</v>
      </c>
      <c r="C1757" t="n">
        <v>0</v>
      </c>
      <c r="D1757" t="n">
        <v>2</v>
      </c>
      <c r="E1757" t="s">
        <v>1766</v>
      </c>
      <c r="F1757">
        <f>HYPERLINK("http://pbs.twimg.com/media/DbkJxeZXkAI4llC.jpg", "http://pbs.twimg.com/media/DbkJxeZXkAI4llC.jpg")</f>
        <v/>
      </c>
      <c r="G1757" t="s"/>
      <c r="H1757" t="s"/>
      <c r="I1757" t="s"/>
      <c r="J1757" t="n">
        <v>0</v>
      </c>
      <c r="K1757" t="n">
        <v>0</v>
      </c>
      <c r="L1757" t="n">
        <v>1</v>
      </c>
      <c r="M1757" t="n">
        <v>0</v>
      </c>
    </row>
    <row r="1758" spans="1:13">
      <c r="A1758" s="1">
        <f>HYPERLINK("http://www.twitter.com/NathanBLawrence/status/988869419874078721", "988869419874078721")</f>
        <v/>
      </c>
      <c r="B1758" s="2" t="n">
        <v>43214.8312037037</v>
      </c>
      <c r="C1758" t="n">
        <v>0</v>
      </c>
      <c r="D1758" t="n">
        <v>12</v>
      </c>
      <c r="E1758" t="s">
        <v>1767</v>
      </c>
      <c r="F1758">
        <f>HYPERLINK("http://pbs.twimg.com/media/DbklY4nWkAACgWt.jpg", "http://pbs.twimg.com/media/DbklY4nWkAACgWt.jpg")</f>
        <v/>
      </c>
      <c r="G1758" t="s"/>
      <c r="H1758" t="s"/>
      <c r="I1758" t="s"/>
      <c r="J1758" t="n">
        <v>0</v>
      </c>
      <c r="K1758" t="n">
        <v>0</v>
      </c>
      <c r="L1758" t="n">
        <v>1</v>
      </c>
      <c r="M1758" t="n">
        <v>0</v>
      </c>
    </row>
    <row r="1759" spans="1:13">
      <c r="A1759" s="1">
        <f>HYPERLINK("http://www.twitter.com/NathanBLawrence/status/988869236389969926", "988869236389969926")</f>
        <v/>
      </c>
      <c r="B1759" s="2" t="n">
        <v>43214.83069444444</v>
      </c>
      <c r="C1759" t="n">
        <v>1</v>
      </c>
      <c r="D1759" t="n">
        <v>0</v>
      </c>
      <c r="E1759" t="s">
        <v>1768</v>
      </c>
      <c r="F1759" t="s"/>
      <c r="G1759" t="s"/>
      <c r="H1759" t="s"/>
      <c r="I1759" t="s"/>
      <c r="J1759" t="n">
        <v>0</v>
      </c>
      <c r="K1759" t="n">
        <v>0</v>
      </c>
      <c r="L1759" t="n">
        <v>1</v>
      </c>
      <c r="M1759" t="n">
        <v>0</v>
      </c>
    </row>
    <row r="1760" spans="1:13">
      <c r="A1760" s="1">
        <f>HYPERLINK("http://www.twitter.com/NathanBLawrence/status/988867774024966144", "988867774024966144")</f>
        <v/>
      </c>
      <c r="B1760" s="2" t="n">
        <v>43214.82666666667</v>
      </c>
      <c r="C1760" t="n">
        <v>0</v>
      </c>
      <c r="D1760" t="n">
        <v>0</v>
      </c>
      <c r="E1760" t="s">
        <v>1769</v>
      </c>
      <c r="F1760" t="s"/>
      <c r="G1760" t="s"/>
      <c r="H1760" t="s"/>
      <c r="I1760" t="s"/>
      <c r="J1760" t="n">
        <v>-0.5719</v>
      </c>
      <c r="K1760" t="n">
        <v>0.164</v>
      </c>
      <c r="L1760" t="n">
        <v>0.769</v>
      </c>
      <c r="M1760" t="n">
        <v>0.066</v>
      </c>
    </row>
    <row r="1761" spans="1:13">
      <c r="A1761" s="1">
        <f>HYPERLINK("http://www.twitter.com/NathanBLawrence/status/988862398193913857", "988862398193913857")</f>
        <v/>
      </c>
      <c r="B1761" s="2" t="n">
        <v>43214.81182870371</v>
      </c>
      <c r="C1761" t="n">
        <v>0</v>
      </c>
      <c r="D1761" t="n">
        <v>0</v>
      </c>
      <c r="E1761" t="s">
        <v>1770</v>
      </c>
      <c r="F1761" t="s"/>
      <c r="G1761" t="s"/>
      <c r="H1761" t="s"/>
      <c r="I1761" t="s"/>
      <c r="J1761" t="n">
        <v>0.0516</v>
      </c>
      <c r="K1761" t="n">
        <v>0.155</v>
      </c>
      <c r="L1761" t="n">
        <v>0.6850000000000001</v>
      </c>
      <c r="M1761" t="n">
        <v>0.16</v>
      </c>
    </row>
    <row r="1762" spans="1:13">
      <c r="A1762" s="1">
        <f>HYPERLINK("http://www.twitter.com/NathanBLawrence/status/988858751062069248", "988858751062069248")</f>
        <v/>
      </c>
      <c r="B1762" s="2" t="n">
        <v>43214.80177083334</v>
      </c>
      <c r="C1762" t="n">
        <v>4</v>
      </c>
      <c r="D1762" t="n">
        <v>3</v>
      </c>
      <c r="E1762" t="s">
        <v>1771</v>
      </c>
      <c r="F1762">
        <f>HYPERLINK("http://pbs.twimg.com/media/DbkhykfV0AE_X_z.jpg", "http://pbs.twimg.com/media/DbkhykfV0AE_X_z.jpg")</f>
        <v/>
      </c>
      <c r="G1762" t="s"/>
      <c r="H1762" t="s"/>
      <c r="I1762" t="s"/>
      <c r="J1762" t="n">
        <v>0.3182</v>
      </c>
      <c r="K1762" t="n">
        <v>0.053</v>
      </c>
      <c r="L1762" t="n">
        <v>0.839</v>
      </c>
      <c r="M1762" t="n">
        <v>0.108</v>
      </c>
    </row>
    <row r="1763" spans="1:13">
      <c r="A1763" s="1">
        <f>HYPERLINK("http://www.twitter.com/NathanBLawrence/status/988856740497313794", "988856740497313794")</f>
        <v/>
      </c>
      <c r="B1763" s="2" t="n">
        <v>43214.79621527778</v>
      </c>
      <c r="C1763" t="n">
        <v>3</v>
      </c>
      <c r="D1763" t="n">
        <v>2</v>
      </c>
      <c r="E1763" t="s">
        <v>1772</v>
      </c>
      <c r="F1763" t="s"/>
      <c r="G1763" t="s"/>
      <c r="H1763" t="s"/>
      <c r="I1763" t="s"/>
      <c r="J1763" t="n">
        <v>0.5849</v>
      </c>
      <c r="K1763" t="n">
        <v>0.078</v>
      </c>
      <c r="L1763" t="n">
        <v>0.777</v>
      </c>
      <c r="M1763" t="n">
        <v>0.145</v>
      </c>
    </row>
    <row r="1764" spans="1:13">
      <c r="A1764" s="1">
        <f>HYPERLINK("http://www.twitter.com/NathanBLawrence/status/988806115529027584", "988806115529027584")</f>
        <v/>
      </c>
      <c r="B1764" s="2" t="n">
        <v>43214.6565162037</v>
      </c>
      <c r="C1764" t="n">
        <v>11</v>
      </c>
      <c r="D1764" t="n">
        <v>8</v>
      </c>
      <c r="E1764" t="s">
        <v>1773</v>
      </c>
      <c r="F1764" t="s"/>
      <c r="G1764" t="s"/>
      <c r="H1764" t="s"/>
      <c r="I1764" t="s"/>
      <c r="J1764" t="n">
        <v>-0.0516</v>
      </c>
      <c r="K1764" t="n">
        <v>0.051</v>
      </c>
      <c r="L1764" t="n">
        <v>0.902</v>
      </c>
      <c r="M1764" t="n">
        <v>0.047</v>
      </c>
    </row>
    <row r="1765" spans="1:13">
      <c r="A1765" s="1">
        <f>HYPERLINK("http://www.twitter.com/NathanBLawrence/status/988792920785543168", "988792920785543168")</f>
        <v/>
      </c>
      <c r="B1765" s="2" t="n">
        <v>43214.62010416666</v>
      </c>
      <c r="C1765" t="n">
        <v>0</v>
      </c>
      <c r="D1765" t="n">
        <v>0</v>
      </c>
      <c r="E1765" t="s">
        <v>1774</v>
      </c>
      <c r="F1765" t="s"/>
      <c r="G1765" t="s"/>
      <c r="H1765" t="s"/>
      <c r="I1765" t="s"/>
      <c r="J1765" t="n">
        <v>0</v>
      </c>
      <c r="K1765" t="n">
        <v>0</v>
      </c>
      <c r="L1765" t="n">
        <v>1</v>
      </c>
      <c r="M1765" t="n">
        <v>0</v>
      </c>
    </row>
    <row r="1766" spans="1:13">
      <c r="A1766" s="1">
        <f>HYPERLINK("http://www.twitter.com/NathanBLawrence/status/988790784924282880", "988790784924282880")</f>
        <v/>
      </c>
      <c r="B1766" s="2" t="n">
        <v>43214.61421296297</v>
      </c>
      <c r="C1766" t="n">
        <v>0</v>
      </c>
      <c r="D1766" t="n">
        <v>1</v>
      </c>
      <c r="E1766" t="s">
        <v>1775</v>
      </c>
      <c r="F1766" t="s"/>
      <c r="G1766" t="s"/>
      <c r="H1766" t="s"/>
      <c r="I1766" t="s"/>
      <c r="J1766" t="n">
        <v>-0.5423</v>
      </c>
      <c r="K1766" t="n">
        <v>0.241</v>
      </c>
      <c r="L1766" t="n">
        <v>0.651</v>
      </c>
      <c r="M1766" t="n">
        <v>0.107</v>
      </c>
    </row>
    <row r="1767" spans="1:13">
      <c r="A1767" s="1">
        <f>HYPERLINK("http://www.twitter.com/NathanBLawrence/status/988790770328010753", "988790770328010753")</f>
        <v/>
      </c>
      <c r="B1767" s="2" t="n">
        <v>43214.61417824074</v>
      </c>
      <c r="C1767" t="n">
        <v>1</v>
      </c>
      <c r="D1767" t="n">
        <v>0</v>
      </c>
      <c r="E1767" t="s">
        <v>1776</v>
      </c>
      <c r="F1767" t="s"/>
      <c r="G1767" t="s"/>
      <c r="H1767" t="s"/>
      <c r="I1767" t="s"/>
      <c r="J1767" t="n">
        <v>-0.4019</v>
      </c>
      <c r="K1767" t="n">
        <v>0.194</v>
      </c>
      <c r="L1767" t="n">
        <v>0.702</v>
      </c>
      <c r="M1767" t="n">
        <v>0.104</v>
      </c>
    </row>
    <row r="1768" spans="1:13">
      <c r="A1768" s="1">
        <f>HYPERLINK("http://www.twitter.com/NathanBLawrence/status/988790098291494912", "988790098291494912")</f>
        <v/>
      </c>
      <c r="B1768" s="2" t="n">
        <v>43214.61231481482</v>
      </c>
      <c r="C1768" t="n">
        <v>0</v>
      </c>
      <c r="D1768" t="n">
        <v>0</v>
      </c>
      <c r="E1768" t="s">
        <v>1777</v>
      </c>
      <c r="F1768" t="s"/>
      <c r="G1768" t="s"/>
      <c r="H1768" t="s"/>
      <c r="I1768" t="s"/>
      <c r="J1768" t="n">
        <v>-0.802</v>
      </c>
      <c r="K1768" t="n">
        <v>0.186</v>
      </c>
      <c r="L1768" t="n">
        <v>0.8139999999999999</v>
      </c>
      <c r="M1768" t="n">
        <v>0</v>
      </c>
    </row>
    <row r="1769" spans="1:13">
      <c r="A1769" s="1">
        <f>HYPERLINK("http://www.twitter.com/NathanBLawrence/status/988789687748833280", "988789687748833280")</f>
        <v/>
      </c>
      <c r="B1769" s="2" t="n">
        <v>43214.61119212963</v>
      </c>
      <c r="C1769" t="n">
        <v>1</v>
      </c>
      <c r="D1769" t="n">
        <v>0</v>
      </c>
      <c r="E1769" t="s">
        <v>1778</v>
      </c>
      <c r="F1769" t="s"/>
      <c r="G1769" t="s"/>
      <c r="H1769" t="s"/>
      <c r="I1769" t="s"/>
      <c r="J1769" t="n">
        <v>-0.802</v>
      </c>
      <c r="K1769" t="n">
        <v>0.204</v>
      </c>
      <c r="L1769" t="n">
        <v>0.796</v>
      </c>
      <c r="M1769" t="n">
        <v>0</v>
      </c>
    </row>
    <row r="1770" spans="1:13">
      <c r="A1770" s="1">
        <f>HYPERLINK("http://www.twitter.com/NathanBLawrence/status/988786597612138501", "988786597612138501")</f>
        <v/>
      </c>
      <c r="B1770" s="2" t="n">
        <v>43214.60266203704</v>
      </c>
      <c r="C1770" t="n">
        <v>0</v>
      </c>
      <c r="D1770" t="n">
        <v>20</v>
      </c>
      <c r="E1770" t="s">
        <v>1779</v>
      </c>
      <c r="F1770" t="s"/>
      <c r="G1770" t="s"/>
      <c r="H1770" t="s"/>
      <c r="I1770" t="s"/>
      <c r="J1770" t="n">
        <v>0</v>
      </c>
      <c r="K1770" t="n">
        <v>0</v>
      </c>
      <c r="L1770" t="n">
        <v>1</v>
      </c>
      <c r="M1770" t="n">
        <v>0</v>
      </c>
    </row>
    <row r="1771" spans="1:13">
      <c r="A1771" s="1">
        <f>HYPERLINK("http://www.twitter.com/NathanBLawrence/status/988786572568027136", "988786572568027136")</f>
        <v/>
      </c>
      <c r="B1771" s="2" t="n">
        <v>43214.60259259259</v>
      </c>
      <c r="C1771" t="n">
        <v>0</v>
      </c>
      <c r="D1771" t="n">
        <v>55</v>
      </c>
      <c r="E1771" t="s">
        <v>1780</v>
      </c>
      <c r="F1771" t="s"/>
      <c r="G1771" t="s"/>
      <c r="H1771" t="s"/>
      <c r="I1771" t="s"/>
      <c r="J1771" t="n">
        <v>-0.5859</v>
      </c>
      <c r="K1771" t="n">
        <v>0.194</v>
      </c>
      <c r="L1771" t="n">
        <v>0.806</v>
      </c>
      <c r="M1771" t="n">
        <v>0</v>
      </c>
    </row>
    <row r="1772" spans="1:13">
      <c r="A1772" s="1">
        <f>HYPERLINK("http://www.twitter.com/NathanBLawrence/status/988786519740768256", "988786519740768256")</f>
        <v/>
      </c>
      <c r="B1772" s="2" t="n">
        <v>43214.60244212963</v>
      </c>
      <c r="C1772" t="n">
        <v>0</v>
      </c>
      <c r="D1772" t="n">
        <v>38</v>
      </c>
      <c r="E1772" t="s">
        <v>1781</v>
      </c>
      <c r="F1772" t="s"/>
      <c r="G1772" t="s"/>
      <c r="H1772" t="s"/>
      <c r="I1772" t="s"/>
      <c r="J1772" t="n">
        <v>-0.3612</v>
      </c>
      <c r="K1772" t="n">
        <v>0.111</v>
      </c>
      <c r="L1772" t="n">
        <v>0.889</v>
      </c>
      <c r="M1772" t="n">
        <v>0</v>
      </c>
    </row>
    <row r="1773" spans="1:13">
      <c r="A1773" s="1">
        <f>HYPERLINK("http://www.twitter.com/NathanBLawrence/status/988786186931064833", "988786186931064833")</f>
        <v/>
      </c>
      <c r="B1773" s="2" t="n">
        <v>43214.60152777778</v>
      </c>
      <c r="C1773" t="n">
        <v>0</v>
      </c>
      <c r="D1773" t="n">
        <v>78</v>
      </c>
      <c r="E1773" t="s">
        <v>1782</v>
      </c>
      <c r="F1773" t="s"/>
      <c r="G1773" t="s"/>
      <c r="H1773" t="s"/>
      <c r="I1773" t="s"/>
      <c r="J1773" t="n">
        <v>0.3612</v>
      </c>
      <c r="K1773" t="n">
        <v>0</v>
      </c>
      <c r="L1773" t="n">
        <v>0.898</v>
      </c>
      <c r="M1773" t="n">
        <v>0.102</v>
      </c>
    </row>
    <row r="1774" spans="1:13">
      <c r="A1774" s="1">
        <f>HYPERLINK("http://www.twitter.com/NathanBLawrence/status/988783398662615040", "988783398662615040")</f>
        <v/>
      </c>
      <c r="B1774" s="2" t="n">
        <v>43214.59383101852</v>
      </c>
      <c r="C1774" t="n">
        <v>0</v>
      </c>
      <c r="D1774" t="n">
        <v>1</v>
      </c>
      <c r="E1774" t="s">
        <v>1783</v>
      </c>
      <c r="F1774" t="s"/>
      <c r="G1774" t="s"/>
      <c r="H1774" t="s"/>
      <c r="I1774" t="s"/>
      <c r="J1774" t="n">
        <v>0</v>
      </c>
      <c r="K1774" t="n">
        <v>0</v>
      </c>
      <c r="L1774" t="n">
        <v>1</v>
      </c>
      <c r="M1774" t="n">
        <v>0</v>
      </c>
    </row>
    <row r="1775" spans="1:13">
      <c r="A1775" s="1">
        <f>HYPERLINK("http://www.twitter.com/NathanBLawrence/status/988777475449806848", "988777475449806848")</f>
        <v/>
      </c>
      <c r="B1775" s="2" t="n">
        <v>43214.57748842592</v>
      </c>
      <c r="C1775" t="n">
        <v>0</v>
      </c>
      <c r="D1775" t="n">
        <v>1</v>
      </c>
      <c r="E1775" t="s">
        <v>1784</v>
      </c>
      <c r="F1775" t="s"/>
      <c r="G1775" t="s"/>
      <c r="H1775" t="s"/>
      <c r="I1775" t="s"/>
      <c r="J1775" t="n">
        <v>0.2023</v>
      </c>
      <c r="K1775" t="n">
        <v>0.081</v>
      </c>
      <c r="L1775" t="n">
        <v>0.8090000000000001</v>
      </c>
      <c r="M1775" t="n">
        <v>0.11</v>
      </c>
    </row>
    <row r="1776" spans="1:13">
      <c r="A1776" s="1">
        <f>HYPERLINK("http://www.twitter.com/NathanBLawrence/status/988772714407190530", "988772714407190530")</f>
        <v/>
      </c>
      <c r="B1776" s="2" t="n">
        <v>43214.56435185186</v>
      </c>
      <c r="C1776" t="n">
        <v>0</v>
      </c>
      <c r="D1776" t="n">
        <v>7</v>
      </c>
      <c r="E1776" t="s">
        <v>1785</v>
      </c>
      <c r="F1776" t="s"/>
      <c r="G1776" t="s"/>
      <c r="H1776" t="s"/>
      <c r="I1776" t="s"/>
      <c r="J1776" t="n">
        <v>0</v>
      </c>
      <c r="K1776" t="n">
        <v>0</v>
      </c>
      <c r="L1776" t="n">
        <v>1</v>
      </c>
      <c r="M1776" t="n">
        <v>0</v>
      </c>
    </row>
    <row r="1777" spans="1:13">
      <c r="A1777" s="1">
        <f>HYPERLINK("http://www.twitter.com/NathanBLawrence/status/988772472442015746", "988772472442015746")</f>
        <v/>
      </c>
      <c r="B1777" s="2" t="n">
        <v>43214.56368055556</v>
      </c>
      <c r="C1777" t="n">
        <v>2</v>
      </c>
      <c r="D1777" t="n">
        <v>0</v>
      </c>
      <c r="E1777" t="s">
        <v>1786</v>
      </c>
      <c r="F1777" t="s"/>
      <c r="G1777" t="s"/>
      <c r="H1777" t="s"/>
      <c r="I1777" t="s"/>
      <c r="J1777" t="n">
        <v>-0.9052</v>
      </c>
      <c r="K1777" t="n">
        <v>0.287</v>
      </c>
      <c r="L1777" t="n">
        <v>0.713</v>
      </c>
      <c r="M1777" t="n">
        <v>0</v>
      </c>
    </row>
    <row r="1778" spans="1:13">
      <c r="A1778" s="1">
        <f>HYPERLINK("http://www.twitter.com/NathanBLawrence/status/988771969146523648", "988771969146523648")</f>
        <v/>
      </c>
      <c r="B1778" s="2" t="n">
        <v>43214.56229166667</v>
      </c>
      <c r="C1778" t="n">
        <v>0</v>
      </c>
      <c r="D1778" t="n">
        <v>1</v>
      </c>
      <c r="E1778" t="s">
        <v>1787</v>
      </c>
      <c r="F1778" t="s"/>
      <c r="G1778" t="s"/>
      <c r="H1778" t="s"/>
      <c r="I1778" t="s"/>
      <c r="J1778" t="n">
        <v>0.3612</v>
      </c>
      <c r="K1778" t="n">
        <v>0</v>
      </c>
      <c r="L1778" t="n">
        <v>0.8</v>
      </c>
      <c r="M1778" t="n">
        <v>0.2</v>
      </c>
    </row>
    <row r="1779" spans="1:13">
      <c r="A1779" s="1">
        <f>HYPERLINK("http://www.twitter.com/NathanBLawrence/status/988771833754374144", "988771833754374144")</f>
        <v/>
      </c>
      <c r="B1779" s="2" t="n">
        <v>43214.5619212963</v>
      </c>
      <c r="C1779" t="n">
        <v>22</v>
      </c>
      <c r="D1779" t="n">
        <v>14</v>
      </c>
      <c r="E1779" t="s">
        <v>1788</v>
      </c>
      <c r="F1779">
        <f>HYPERLINK("http://pbs.twimg.com/media/DbjSvMRVQAEvz_u.jpg", "http://pbs.twimg.com/media/DbjSvMRVQAEvz_u.jpg")</f>
        <v/>
      </c>
      <c r="G1779" t="s"/>
      <c r="H1779" t="s"/>
      <c r="I1779" t="s"/>
      <c r="J1779" t="n">
        <v>0.3612</v>
      </c>
      <c r="K1779" t="n">
        <v>0.126</v>
      </c>
      <c r="L1779" t="n">
        <v>0.738</v>
      </c>
      <c r="M1779" t="n">
        <v>0.136</v>
      </c>
    </row>
    <row r="1780" spans="1:13">
      <c r="A1780" s="1">
        <f>HYPERLINK("http://www.twitter.com/NathanBLawrence/status/988768678727553025", "988768678727553025")</f>
        <v/>
      </c>
      <c r="B1780" s="2" t="n">
        <v>43214.55321759259</v>
      </c>
      <c r="C1780" t="n">
        <v>0</v>
      </c>
      <c r="D1780" t="n">
        <v>14</v>
      </c>
      <c r="E1780" t="s">
        <v>1789</v>
      </c>
      <c r="F1780" t="s"/>
      <c r="G1780" t="s"/>
      <c r="H1780" t="s"/>
      <c r="I1780" t="s"/>
      <c r="J1780" t="n">
        <v>0</v>
      </c>
      <c r="K1780" t="n">
        <v>0</v>
      </c>
      <c r="L1780" t="n">
        <v>1</v>
      </c>
      <c r="M1780" t="n">
        <v>0</v>
      </c>
    </row>
    <row r="1781" spans="1:13">
      <c r="A1781" s="1">
        <f>HYPERLINK("http://www.twitter.com/NathanBLawrence/status/988767028654854145", "988767028654854145")</f>
        <v/>
      </c>
      <c r="B1781" s="2" t="n">
        <v>43214.54865740741</v>
      </c>
      <c r="C1781" t="n">
        <v>1</v>
      </c>
      <c r="D1781" t="n">
        <v>0</v>
      </c>
      <c r="E1781" t="s">
        <v>1790</v>
      </c>
      <c r="F1781" t="s"/>
      <c r="G1781" t="s"/>
      <c r="H1781" t="s"/>
      <c r="I1781" t="s"/>
      <c r="J1781" t="n">
        <v>-0.3182</v>
      </c>
      <c r="K1781" t="n">
        <v>0.061</v>
      </c>
      <c r="L1781" t="n">
        <v>0.9389999999999999</v>
      </c>
      <c r="M1781" t="n">
        <v>0</v>
      </c>
    </row>
    <row r="1782" spans="1:13">
      <c r="A1782" s="1">
        <f>HYPERLINK("http://www.twitter.com/NathanBLawrence/status/988765598225256448", "988765598225256448")</f>
        <v/>
      </c>
      <c r="B1782" s="2" t="n">
        <v>43214.54471064815</v>
      </c>
      <c r="C1782" t="n">
        <v>4</v>
      </c>
      <c r="D1782" t="n">
        <v>1</v>
      </c>
      <c r="E1782" t="s">
        <v>1791</v>
      </c>
      <c r="F1782" t="s"/>
      <c r="G1782" t="s"/>
      <c r="H1782" t="s"/>
      <c r="I1782" t="s"/>
      <c r="J1782" t="n">
        <v>-0.4357</v>
      </c>
      <c r="K1782" t="n">
        <v>0.12</v>
      </c>
      <c r="L1782" t="n">
        <v>0.88</v>
      </c>
      <c r="M1782" t="n">
        <v>0</v>
      </c>
    </row>
    <row r="1783" spans="1:13">
      <c r="A1783" s="1">
        <f>HYPERLINK("http://www.twitter.com/NathanBLawrence/status/988764819229638657", "988764819229638657")</f>
        <v/>
      </c>
      <c r="B1783" s="2" t="n">
        <v>43214.54255787037</v>
      </c>
      <c r="C1783" t="n">
        <v>17</v>
      </c>
      <c r="D1783" t="n">
        <v>13</v>
      </c>
      <c r="E1783" t="s">
        <v>1792</v>
      </c>
      <c r="F1783" t="s"/>
      <c r="G1783" t="s"/>
      <c r="H1783" t="s"/>
      <c r="I1783" t="s"/>
      <c r="J1783" t="n">
        <v>0.5859</v>
      </c>
      <c r="K1783" t="n">
        <v>0</v>
      </c>
      <c r="L1783" t="n">
        <v>0.872</v>
      </c>
      <c r="M1783" t="n">
        <v>0.128</v>
      </c>
    </row>
    <row r="1784" spans="1:13">
      <c r="A1784" s="1">
        <f>HYPERLINK("http://www.twitter.com/NathanBLawrence/status/988761977760698368", "988761977760698368")</f>
        <v/>
      </c>
      <c r="B1784" s="2" t="n">
        <v>43214.53472222222</v>
      </c>
      <c r="C1784" t="n">
        <v>0</v>
      </c>
      <c r="D1784" t="n">
        <v>1</v>
      </c>
      <c r="E1784" t="s">
        <v>1793</v>
      </c>
      <c r="F1784" t="s"/>
      <c r="G1784" t="s"/>
      <c r="H1784" t="s"/>
      <c r="I1784" t="s"/>
      <c r="J1784" t="n">
        <v>-0.6486</v>
      </c>
      <c r="K1784" t="n">
        <v>0.325</v>
      </c>
      <c r="L1784" t="n">
        <v>0.675</v>
      </c>
      <c r="M1784" t="n">
        <v>0</v>
      </c>
    </row>
    <row r="1785" spans="1:13">
      <c r="A1785" s="1">
        <f>HYPERLINK("http://www.twitter.com/NathanBLawrence/status/988754870781071367", "988754870781071367")</f>
        <v/>
      </c>
      <c r="B1785" s="2" t="n">
        <v>43214.51511574074</v>
      </c>
      <c r="C1785" t="n">
        <v>0</v>
      </c>
      <c r="D1785" t="n">
        <v>15</v>
      </c>
      <c r="E1785" t="s">
        <v>1794</v>
      </c>
      <c r="F1785" t="s"/>
      <c r="G1785" t="s"/>
      <c r="H1785" t="s"/>
      <c r="I1785" t="s"/>
      <c r="J1785" t="n">
        <v>0</v>
      </c>
      <c r="K1785" t="n">
        <v>0</v>
      </c>
      <c r="L1785" t="n">
        <v>1</v>
      </c>
      <c r="M1785" t="n">
        <v>0</v>
      </c>
    </row>
    <row r="1786" spans="1:13">
      <c r="A1786" s="1">
        <f>HYPERLINK("http://www.twitter.com/NathanBLawrence/status/988753561113722880", "988753561113722880")</f>
        <v/>
      </c>
      <c r="B1786" s="2" t="n">
        <v>43214.51149305556</v>
      </c>
      <c r="C1786" t="n">
        <v>1</v>
      </c>
      <c r="D1786" t="n">
        <v>0</v>
      </c>
      <c r="E1786" t="s">
        <v>1795</v>
      </c>
      <c r="F1786" t="s"/>
      <c r="G1786" t="s"/>
      <c r="H1786" t="s"/>
      <c r="I1786" t="s"/>
      <c r="J1786" t="n">
        <v>0</v>
      </c>
      <c r="K1786" t="n">
        <v>0.089</v>
      </c>
      <c r="L1786" t="n">
        <v>0.845</v>
      </c>
      <c r="M1786" t="n">
        <v>0.066</v>
      </c>
    </row>
    <row r="1787" spans="1:13">
      <c r="A1787" s="1">
        <f>HYPERLINK("http://www.twitter.com/NathanBLawrence/status/988752790666252288", "988752790666252288")</f>
        <v/>
      </c>
      <c r="B1787" s="2" t="n">
        <v>43214.509375</v>
      </c>
      <c r="C1787" t="n">
        <v>1</v>
      </c>
      <c r="D1787" t="n">
        <v>0</v>
      </c>
      <c r="E1787" t="s">
        <v>1796</v>
      </c>
      <c r="F1787" t="s"/>
      <c r="G1787" t="s"/>
      <c r="H1787" t="s"/>
      <c r="I1787" t="s"/>
      <c r="J1787" t="n">
        <v>0.1326</v>
      </c>
      <c r="K1787" t="n">
        <v>0</v>
      </c>
      <c r="L1787" t="n">
        <v>0.9379999999999999</v>
      </c>
      <c r="M1787" t="n">
        <v>0.062</v>
      </c>
    </row>
    <row r="1788" spans="1:13">
      <c r="A1788" s="1">
        <f>HYPERLINK("http://www.twitter.com/NathanBLawrence/status/988751303076704256", "988751303076704256")</f>
        <v/>
      </c>
      <c r="B1788" s="2" t="n">
        <v>43214.50526620371</v>
      </c>
      <c r="C1788" t="n">
        <v>0</v>
      </c>
      <c r="D1788" t="n">
        <v>0</v>
      </c>
      <c r="E1788" t="s">
        <v>1797</v>
      </c>
      <c r="F1788" t="s"/>
      <c r="G1788" t="s"/>
      <c r="H1788" t="s"/>
      <c r="I1788" t="s"/>
      <c r="J1788" t="n">
        <v>0.3818</v>
      </c>
      <c r="K1788" t="n">
        <v>0.159</v>
      </c>
      <c r="L1788" t="n">
        <v>0.652</v>
      </c>
      <c r="M1788" t="n">
        <v>0.188</v>
      </c>
    </row>
    <row r="1789" spans="1:13">
      <c r="A1789" s="1">
        <f>HYPERLINK("http://www.twitter.com/NathanBLawrence/status/988749843660267520", "988749843660267520")</f>
        <v/>
      </c>
      <c r="B1789" s="2" t="n">
        <v>43214.50123842592</v>
      </c>
      <c r="C1789" t="n">
        <v>2</v>
      </c>
      <c r="D1789" t="n">
        <v>0</v>
      </c>
      <c r="E1789" t="s">
        <v>1798</v>
      </c>
      <c r="F1789" t="s"/>
      <c r="G1789" t="s"/>
      <c r="H1789" t="s"/>
      <c r="I1789" t="s"/>
      <c r="J1789" t="n">
        <v>-0.7351</v>
      </c>
      <c r="K1789" t="n">
        <v>0.383</v>
      </c>
      <c r="L1789" t="n">
        <v>0.617</v>
      </c>
      <c r="M1789" t="n">
        <v>0</v>
      </c>
    </row>
    <row r="1790" spans="1:13">
      <c r="A1790" s="1">
        <f>HYPERLINK("http://www.twitter.com/NathanBLawrence/status/988748500044271616", "988748500044271616")</f>
        <v/>
      </c>
      <c r="B1790" s="2" t="n">
        <v>43214.49753472222</v>
      </c>
      <c r="C1790" t="n">
        <v>0</v>
      </c>
      <c r="D1790" t="n">
        <v>0</v>
      </c>
      <c r="E1790" t="s">
        <v>1799</v>
      </c>
      <c r="F1790" t="s"/>
      <c r="G1790" t="s"/>
      <c r="H1790" t="s"/>
      <c r="I1790" t="s"/>
      <c r="J1790" t="n">
        <v>-0.7322</v>
      </c>
      <c r="K1790" t="n">
        <v>0.166</v>
      </c>
      <c r="L1790" t="n">
        <v>0.834</v>
      </c>
      <c r="M1790" t="n">
        <v>0</v>
      </c>
    </row>
    <row r="1791" spans="1:13">
      <c r="A1791" s="1">
        <f>HYPERLINK("http://www.twitter.com/NathanBLawrence/status/988744239503826945", "988744239503826945")</f>
        <v/>
      </c>
      <c r="B1791" s="2" t="n">
        <v>43214.48577546296</v>
      </c>
      <c r="C1791" t="n">
        <v>0</v>
      </c>
      <c r="D1791" t="n">
        <v>0</v>
      </c>
      <c r="E1791" t="s">
        <v>1800</v>
      </c>
      <c r="F1791" t="s"/>
      <c r="G1791" t="s"/>
      <c r="H1791" t="s"/>
      <c r="I1791" t="s"/>
      <c r="J1791" t="n">
        <v>-0.1341</v>
      </c>
      <c r="K1791" t="n">
        <v>0.197</v>
      </c>
      <c r="L1791" t="n">
        <v>0.589</v>
      </c>
      <c r="M1791" t="n">
        <v>0.214</v>
      </c>
    </row>
    <row r="1792" spans="1:13">
      <c r="A1792" s="1">
        <f>HYPERLINK("http://www.twitter.com/NathanBLawrence/status/988743783939485697", "988743783939485697")</f>
        <v/>
      </c>
      <c r="B1792" s="2" t="n">
        <v>43214.48451388889</v>
      </c>
      <c r="C1792" t="n">
        <v>0</v>
      </c>
      <c r="D1792" t="n">
        <v>4</v>
      </c>
      <c r="E1792" t="s">
        <v>1801</v>
      </c>
      <c r="F1792" t="s"/>
      <c r="G1792" t="s"/>
      <c r="H1792" t="s"/>
      <c r="I1792" t="s"/>
      <c r="J1792" t="n">
        <v>0.7964</v>
      </c>
      <c r="K1792" t="n">
        <v>0</v>
      </c>
      <c r="L1792" t="n">
        <v>0.712</v>
      </c>
      <c r="M1792" t="n">
        <v>0.288</v>
      </c>
    </row>
    <row r="1793" spans="1:13">
      <c r="A1793" s="1">
        <f>HYPERLINK("http://www.twitter.com/NathanBLawrence/status/988743564602601474", "988743564602601474")</f>
        <v/>
      </c>
      <c r="B1793" s="2" t="n">
        <v>43214.48391203704</v>
      </c>
      <c r="C1793" t="n">
        <v>6</v>
      </c>
      <c r="D1793" t="n">
        <v>3</v>
      </c>
      <c r="E1793" t="s">
        <v>1802</v>
      </c>
      <c r="F1793" t="s"/>
      <c r="G1793" t="s"/>
      <c r="H1793" t="s"/>
      <c r="I1793" t="s"/>
      <c r="J1793" t="n">
        <v>0</v>
      </c>
      <c r="K1793" t="n">
        <v>0</v>
      </c>
      <c r="L1793" t="n">
        <v>1</v>
      </c>
      <c r="M1793" t="n">
        <v>0</v>
      </c>
    </row>
    <row r="1794" spans="1:13">
      <c r="A1794" s="1">
        <f>HYPERLINK("http://www.twitter.com/NathanBLawrence/status/988743049915363328", "988743049915363328")</f>
        <v/>
      </c>
      <c r="B1794" s="2" t="n">
        <v>43214.48248842593</v>
      </c>
      <c r="C1794" t="n">
        <v>1</v>
      </c>
      <c r="D1794" t="n">
        <v>1</v>
      </c>
      <c r="E1794" t="s">
        <v>1803</v>
      </c>
      <c r="F1794" t="s"/>
      <c r="G1794" t="s"/>
      <c r="H1794" t="s"/>
      <c r="I1794" t="s"/>
      <c r="J1794" t="n">
        <v>-0.9268</v>
      </c>
      <c r="K1794" t="n">
        <v>0.306</v>
      </c>
      <c r="L1794" t="n">
        <v>0.641</v>
      </c>
      <c r="M1794" t="n">
        <v>0.054</v>
      </c>
    </row>
    <row r="1795" spans="1:13">
      <c r="A1795" s="1">
        <f>HYPERLINK("http://www.twitter.com/NathanBLawrence/status/988739542789345281", "988739542789345281")</f>
        <v/>
      </c>
      <c r="B1795" s="2" t="n">
        <v>43214.4728125</v>
      </c>
      <c r="C1795" t="n">
        <v>0</v>
      </c>
      <c r="D1795" t="n">
        <v>0</v>
      </c>
      <c r="E1795" t="s">
        <v>1804</v>
      </c>
      <c r="F1795" t="s"/>
      <c r="G1795" t="s"/>
      <c r="H1795" t="s"/>
      <c r="I1795" t="s"/>
      <c r="J1795" t="n">
        <v>0</v>
      </c>
      <c r="K1795" t="n">
        <v>0</v>
      </c>
      <c r="L1795" t="n">
        <v>1</v>
      </c>
      <c r="M1795" t="n">
        <v>0</v>
      </c>
    </row>
    <row r="1796" spans="1:13">
      <c r="A1796" s="1">
        <f>HYPERLINK("http://www.twitter.com/NathanBLawrence/status/988739200852819968", "988739200852819968")</f>
        <v/>
      </c>
      <c r="B1796" s="2" t="n">
        <v>43214.471875</v>
      </c>
      <c r="C1796" t="n">
        <v>0</v>
      </c>
      <c r="D1796" t="n">
        <v>7</v>
      </c>
      <c r="E1796" t="s">
        <v>1805</v>
      </c>
      <c r="F1796" t="s"/>
      <c r="G1796" t="s"/>
      <c r="H1796" t="s"/>
      <c r="I1796" t="s"/>
      <c r="J1796" t="n">
        <v>0</v>
      </c>
      <c r="K1796" t="n">
        <v>0</v>
      </c>
      <c r="L1796" t="n">
        <v>1</v>
      </c>
      <c r="M1796" t="n">
        <v>0</v>
      </c>
    </row>
    <row r="1797" spans="1:13">
      <c r="A1797" s="1">
        <f>HYPERLINK("http://www.twitter.com/NathanBLawrence/status/988738974113034240", "988738974113034240")</f>
        <v/>
      </c>
      <c r="B1797" s="2" t="n">
        <v>43214.47123842593</v>
      </c>
      <c r="C1797" t="n">
        <v>0</v>
      </c>
      <c r="D1797" t="n">
        <v>0</v>
      </c>
      <c r="E1797" t="s">
        <v>1806</v>
      </c>
      <c r="F1797" t="s"/>
      <c r="G1797" t="s"/>
      <c r="H1797" t="s"/>
      <c r="I1797" t="s"/>
      <c r="J1797" t="n">
        <v>0.128</v>
      </c>
      <c r="K1797" t="n">
        <v>0</v>
      </c>
      <c r="L1797" t="n">
        <v>0.909</v>
      </c>
      <c r="M1797" t="n">
        <v>0.091</v>
      </c>
    </row>
    <row r="1798" spans="1:13">
      <c r="A1798" s="1">
        <f>HYPERLINK("http://www.twitter.com/NathanBLawrence/status/988738658537787392", "988738658537787392")</f>
        <v/>
      </c>
      <c r="B1798" s="2" t="n">
        <v>43214.47037037037</v>
      </c>
      <c r="C1798" t="n">
        <v>0</v>
      </c>
      <c r="D1798" t="n">
        <v>5</v>
      </c>
      <c r="E1798" t="s">
        <v>1807</v>
      </c>
      <c r="F1798" t="s"/>
      <c r="G1798" t="s"/>
      <c r="H1798" t="s"/>
      <c r="I1798" t="s"/>
      <c r="J1798" t="n">
        <v>-0.3818</v>
      </c>
      <c r="K1798" t="n">
        <v>0.126</v>
      </c>
      <c r="L1798" t="n">
        <v>0.874</v>
      </c>
      <c r="M1798" t="n">
        <v>0</v>
      </c>
    </row>
    <row r="1799" spans="1:13">
      <c r="A1799" s="1">
        <f>HYPERLINK("http://www.twitter.com/NathanBLawrence/status/988738560596602880", "988738560596602880")</f>
        <v/>
      </c>
      <c r="B1799" s="2" t="n">
        <v>43214.47010416666</v>
      </c>
      <c r="C1799" t="n">
        <v>0</v>
      </c>
      <c r="D1799" t="n">
        <v>16</v>
      </c>
      <c r="E1799" t="s">
        <v>1808</v>
      </c>
      <c r="F1799" t="s"/>
      <c r="G1799" t="s"/>
      <c r="H1799" t="s"/>
      <c r="I1799" t="s"/>
      <c r="J1799" t="n">
        <v>0</v>
      </c>
      <c r="K1799" t="n">
        <v>0</v>
      </c>
      <c r="L1799" t="n">
        <v>1</v>
      </c>
      <c r="M1799" t="n">
        <v>0</v>
      </c>
    </row>
    <row r="1800" spans="1:13">
      <c r="A1800" s="1">
        <f>HYPERLINK("http://www.twitter.com/NathanBLawrence/status/988737958709735424", "988737958709735424")</f>
        <v/>
      </c>
      <c r="B1800" s="2" t="n">
        <v>43214.4684375</v>
      </c>
      <c r="C1800" t="n">
        <v>0</v>
      </c>
      <c r="D1800" t="n">
        <v>35</v>
      </c>
      <c r="E1800" t="s">
        <v>1809</v>
      </c>
      <c r="F1800">
        <f>HYPERLINK("http://pbs.twimg.com/media/DbfTwIMV4AAMGgC.jpg", "http://pbs.twimg.com/media/DbfTwIMV4AAMGgC.jpg")</f>
        <v/>
      </c>
      <c r="G1800">
        <f>HYPERLINK("http://pbs.twimg.com/media/DbfTwIKV0AAGhFI.jpg", "http://pbs.twimg.com/media/DbfTwIKV0AAGhFI.jpg")</f>
        <v/>
      </c>
      <c r="H1800">
        <f>HYPERLINK("http://pbs.twimg.com/media/DbfTwILU8AAl-w_.jpg", "http://pbs.twimg.com/media/DbfTwILU8AAl-w_.jpg")</f>
        <v/>
      </c>
      <c r="I1800">
        <f>HYPERLINK("http://pbs.twimg.com/media/DbfTwIKV4AAA63q.jpg", "http://pbs.twimg.com/media/DbfTwIKV4AAA63q.jpg")</f>
        <v/>
      </c>
      <c r="J1800" t="n">
        <v>0.3182</v>
      </c>
      <c r="K1800" t="n">
        <v>0.096</v>
      </c>
      <c r="L1800" t="n">
        <v>0.753</v>
      </c>
      <c r="M1800" t="n">
        <v>0.151</v>
      </c>
    </row>
    <row r="1801" spans="1:13">
      <c r="A1801" s="1">
        <f>HYPERLINK("http://www.twitter.com/NathanBLawrence/status/988737933543866369", "988737933543866369")</f>
        <v/>
      </c>
      <c r="B1801" s="2" t="n">
        <v>43214.46836805555</v>
      </c>
      <c r="C1801" t="n">
        <v>1</v>
      </c>
      <c r="D1801" t="n">
        <v>0</v>
      </c>
      <c r="E1801" t="s">
        <v>1810</v>
      </c>
      <c r="F1801" t="s"/>
      <c r="G1801" t="s"/>
      <c r="H1801" t="s"/>
      <c r="I1801" t="s"/>
      <c r="J1801" t="n">
        <v>0.1779</v>
      </c>
      <c r="K1801" t="n">
        <v>0.213</v>
      </c>
      <c r="L1801" t="n">
        <v>0.544</v>
      </c>
      <c r="M1801" t="n">
        <v>0.243</v>
      </c>
    </row>
    <row r="1802" spans="1:13">
      <c r="A1802" s="1">
        <f>HYPERLINK("http://www.twitter.com/NathanBLawrence/status/988731085315084288", "988731085315084288")</f>
        <v/>
      </c>
      <c r="B1802" s="2" t="n">
        <v>43214.44947916667</v>
      </c>
      <c r="C1802" t="n">
        <v>8</v>
      </c>
      <c r="D1802" t="n">
        <v>7</v>
      </c>
      <c r="E1802" t="s">
        <v>1811</v>
      </c>
      <c r="F1802" t="s"/>
      <c r="G1802" t="s"/>
      <c r="H1802" t="s"/>
      <c r="I1802" t="s"/>
      <c r="J1802" t="n">
        <v>-0.4329</v>
      </c>
      <c r="K1802" t="n">
        <v>0.068</v>
      </c>
      <c r="L1802" t="n">
        <v>0.9320000000000001</v>
      </c>
      <c r="M1802" t="n">
        <v>0</v>
      </c>
    </row>
    <row r="1803" spans="1:13">
      <c r="A1803" s="1">
        <f>HYPERLINK("http://www.twitter.com/NathanBLawrence/status/988728705684996096", "988728705684996096")</f>
        <v/>
      </c>
      <c r="B1803" s="2" t="n">
        <v>43214.44290509259</v>
      </c>
      <c r="C1803" t="n">
        <v>5</v>
      </c>
      <c r="D1803" t="n">
        <v>5</v>
      </c>
      <c r="E1803" t="s">
        <v>1812</v>
      </c>
      <c r="F1803" t="s"/>
      <c r="G1803" t="s"/>
      <c r="H1803" t="s"/>
      <c r="I1803" t="s"/>
      <c r="J1803" t="n">
        <v>-0.3612</v>
      </c>
      <c r="K1803" t="n">
        <v>0.094</v>
      </c>
      <c r="L1803" t="n">
        <v>0.906</v>
      </c>
      <c r="M1803" t="n">
        <v>0</v>
      </c>
    </row>
    <row r="1804" spans="1:13">
      <c r="A1804" s="1">
        <f>HYPERLINK("http://www.twitter.com/NathanBLawrence/status/988473943525863425", "988473943525863425")</f>
        <v/>
      </c>
      <c r="B1804" s="2" t="n">
        <v>43213.73989583334</v>
      </c>
      <c r="C1804" t="n">
        <v>0</v>
      </c>
      <c r="D1804" t="n">
        <v>11</v>
      </c>
      <c r="E1804" t="s">
        <v>1813</v>
      </c>
      <c r="F1804">
        <f>HYPERLINK("http://pbs.twimg.com/media/DbdzlBhUQAAX0Gz.jpg", "http://pbs.twimg.com/media/DbdzlBhUQAAX0Gz.jpg")</f>
        <v/>
      </c>
      <c r="G1804" t="s"/>
      <c r="H1804" t="s"/>
      <c r="I1804" t="s"/>
      <c r="J1804" t="n">
        <v>0.25</v>
      </c>
      <c r="K1804" t="n">
        <v>0.08699999999999999</v>
      </c>
      <c r="L1804" t="n">
        <v>0.748</v>
      </c>
      <c r="M1804" t="n">
        <v>0.165</v>
      </c>
    </row>
    <row r="1805" spans="1:13">
      <c r="A1805" s="1">
        <f>HYPERLINK("http://www.twitter.com/NathanBLawrence/status/988473728089710592", "988473728089710592")</f>
        <v/>
      </c>
      <c r="B1805" s="2" t="n">
        <v>43213.73930555556</v>
      </c>
      <c r="C1805" t="n">
        <v>0</v>
      </c>
      <c r="D1805" t="n">
        <v>6</v>
      </c>
      <c r="E1805" t="s">
        <v>1814</v>
      </c>
      <c r="F1805" t="s"/>
      <c r="G1805" t="s"/>
      <c r="H1805" t="s"/>
      <c r="I1805" t="s"/>
      <c r="J1805" t="n">
        <v>0</v>
      </c>
      <c r="K1805" t="n">
        <v>0</v>
      </c>
      <c r="L1805" t="n">
        <v>1</v>
      </c>
      <c r="M1805" t="n">
        <v>0</v>
      </c>
    </row>
    <row r="1806" spans="1:13">
      <c r="A1806" s="1">
        <f>HYPERLINK("http://www.twitter.com/NathanBLawrence/status/988472489318731776", "988472489318731776")</f>
        <v/>
      </c>
      <c r="B1806" s="2" t="n">
        <v>43213.7358912037</v>
      </c>
      <c r="C1806" t="n">
        <v>0</v>
      </c>
      <c r="D1806" t="n">
        <v>6</v>
      </c>
      <c r="E1806" t="s">
        <v>1815</v>
      </c>
      <c r="F1806" t="s"/>
      <c r="G1806" t="s"/>
      <c r="H1806" t="s"/>
      <c r="I1806" t="s"/>
      <c r="J1806" t="n">
        <v>-0.4724</v>
      </c>
      <c r="K1806" t="n">
        <v>0.123</v>
      </c>
      <c r="L1806" t="n">
        <v>0.877</v>
      </c>
      <c r="M1806" t="n">
        <v>0</v>
      </c>
    </row>
    <row r="1807" spans="1:13">
      <c r="A1807" s="1">
        <f>HYPERLINK("http://www.twitter.com/NathanBLawrence/status/988472242995679232", "988472242995679232")</f>
        <v/>
      </c>
      <c r="B1807" s="2" t="n">
        <v>43213.73520833333</v>
      </c>
      <c r="C1807" t="n">
        <v>0</v>
      </c>
      <c r="D1807" t="n">
        <v>0</v>
      </c>
      <c r="E1807" t="s">
        <v>1816</v>
      </c>
      <c r="F1807" t="s"/>
      <c r="G1807" t="s"/>
      <c r="H1807" t="s"/>
      <c r="I1807" t="s"/>
      <c r="J1807" t="n">
        <v>-0.6124000000000001</v>
      </c>
      <c r="K1807" t="n">
        <v>0.357</v>
      </c>
      <c r="L1807" t="n">
        <v>0.643</v>
      </c>
      <c r="M1807" t="n">
        <v>0</v>
      </c>
    </row>
    <row r="1808" spans="1:13">
      <c r="A1808" s="1">
        <f>HYPERLINK("http://www.twitter.com/NathanBLawrence/status/988463175803777025", "988463175803777025")</f>
        <v/>
      </c>
      <c r="B1808" s="2" t="n">
        <v>43213.71018518518</v>
      </c>
      <c r="C1808" t="n">
        <v>0</v>
      </c>
      <c r="D1808" t="n">
        <v>5</v>
      </c>
      <c r="E1808" t="s">
        <v>1817</v>
      </c>
      <c r="F1808" t="s"/>
      <c r="G1808" t="s"/>
      <c r="H1808" t="s"/>
      <c r="I1808" t="s"/>
      <c r="J1808" t="n">
        <v>-0.7096</v>
      </c>
      <c r="K1808" t="n">
        <v>0.211</v>
      </c>
      <c r="L1808" t="n">
        <v>0.789</v>
      </c>
      <c r="M1808" t="n">
        <v>0</v>
      </c>
    </row>
    <row r="1809" spans="1:13">
      <c r="A1809" s="1">
        <f>HYPERLINK("http://www.twitter.com/NathanBLawrence/status/988463052038254592", "988463052038254592")</f>
        <v/>
      </c>
      <c r="B1809" s="2" t="n">
        <v>43213.70984953704</v>
      </c>
      <c r="C1809" t="n">
        <v>0</v>
      </c>
      <c r="D1809" t="n">
        <v>8</v>
      </c>
      <c r="E1809" t="s">
        <v>1818</v>
      </c>
      <c r="F1809" t="s"/>
      <c r="G1809" t="s"/>
      <c r="H1809" t="s"/>
      <c r="I1809" t="s"/>
      <c r="J1809" t="n">
        <v>0</v>
      </c>
      <c r="K1809" t="n">
        <v>0</v>
      </c>
      <c r="L1809" t="n">
        <v>1</v>
      </c>
      <c r="M1809" t="n">
        <v>0</v>
      </c>
    </row>
    <row r="1810" spans="1:13">
      <c r="A1810" s="1">
        <f>HYPERLINK("http://www.twitter.com/NathanBLawrence/status/988462916654522369", "988462916654522369")</f>
        <v/>
      </c>
      <c r="B1810" s="2" t="n">
        <v>43213.70946759259</v>
      </c>
      <c r="C1810" t="n">
        <v>0</v>
      </c>
      <c r="D1810" t="n">
        <v>23</v>
      </c>
      <c r="E1810" t="s">
        <v>1819</v>
      </c>
      <c r="F1810">
        <f>HYPERLINK("http://pbs.twimg.com/media/DbeelY-XUAEDaDB.jpg", "http://pbs.twimg.com/media/DbeelY-XUAEDaDB.jpg")</f>
        <v/>
      </c>
      <c r="G1810" t="s"/>
      <c r="H1810" t="s"/>
      <c r="I1810" t="s"/>
      <c r="J1810" t="n">
        <v>-0.1323</v>
      </c>
      <c r="K1810" t="n">
        <v>0.13</v>
      </c>
      <c r="L1810" t="n">
        <v>0.76</v>
      </c>
      <c r="M1810" t="n">
        <v>0.11</v>
      </c>
    </row>
    <row r="1811" spans="1:13">
      <c r="A1811" s="1">
        <f>HYPERLINK("http://www.twitter.com/NathanBLawrence/status/988462749196980224", "988462749196980224")</f>
        <v/>
      </c>
      <c r="B1811" s="2" t="n">
        <v>43213.70900462963</v>
      </c>
      <c r="C1811" t="n">
        <v>0</v>
      </c>
      <c r="D1811" t="n">
        <v>3</v>
      </c>
      <c r="E1811" t="s">
        <v>1820</v>
      </c>
      <c r="F1811" t="s"/>
      <c r="G1811" t="s"/>
      <c r="H1811" t="s"/>
      <c r="I1811" t="s"/>
      <c r="J1811" t="n">
        <v>-0.4767</v>
      </c>
      <c r="K1811" t="n">
        <v>0.124</v>
      </c>
      <c r="L1811" t="n">
        <v>0.876</v>
      </c>
      <c r="M1811" t="n">
        <v>0</v>
      </c>
    </row>
    <row r="1812" spans="1:13">
      <c r="A1812" s="1">
        <f>HYPERLINK("http://www.twitter.com/NathanBLawrence/status/988461824780664832", "988461824780664832")</f>
        <v/>
      </c>
      <c r="B1812" s="2" t="n">
        <v>43213.70645833333</v>
      </c>
      <c r="C1812" t="n">
        <v>0</v>
      </c>
      <c r="D1812" t="n">
        <v>2</v>
      </c>
      <c r="E1812" t="s">
        <v>1821</v>
      </c>
      <c r="F1812" t="s"/>
      <c r="G1812" t="s"/>
      <c r="H1812" t="s"/>
      <c r="I1812" t="s"/>
      <c r="J1812" t="n">
        <v>0.3612</v>
      </c>
      <c r="K1812" t="n">
        <v>0</v>
      </c>
      <c r="L1812" t="n">
        <v>0.8</v>
      </c>
      <c r="M1812" t="n">
        <v>0.2</v>
      </c>
    </row>
    <row r="1813" spans="1:13">
      <c r="A1813" s="1">
        <f>HYPERLINK("http://www.twitter.com/NathanBLawrence/status/988461501383172097", "988461501383172097")</f>
        <v/>
      </c>
      <c r="B1813" s="2" t="n">
        <v>43213.70556712963</v>
      </c>
      <c r="C1813" t="n">
        <v>0</v>
      </c>
      <c r="D1813" t="n">
        <v>0</v>
      </c>
      <c r="E1813" t="s">
        <v>1822</v>
      </c>
      <c r="F1813" t="s"/>
      <c r="G1813" t="s"/>
      <c r="H1813" t="s"/>
      <c r="I1813" t="s"/>
      <c r="J1813" t="n">
        <v>-0.1111</v>
      </c>
      <c r="K1813" t="n">
        <v>0.217</v>
      </c>
      <c r="L1813" t="n">
        <v>0.538</v>
      </c>
      <c r="M1813" t="n">
        <v>0.245</v>
      </c>
    </row>
    <row r="1814" spans="1:13">
      <c r="A1814" s="1">
        <f>HYPERLINK("http://www.twitter.com/NathanBLawrence/status/988461255500419072", "988461255500419072")</f>
        <v/>
      </c>
      <c r="B1814" s="2" t="n">
        <v>43213.70488425926</v>
      </c>
      <c r="C1814" t="n">
        <v>0</v>
      </c>
      <c r="D1814" t="n">
        <v>0</v>
      </c>
      <c r="E1814" t="s">
        <v>1823</v>
      </c>
      <c r="F1814" t="s"/>
      <c r="G1814" t="s"/>
      <c r="H1814" t="s"/>
      <c r="I1814" t="s"/>
      <c r="J1814" t="n">
        <v>0</v>
      </c>
      <c r="K1814" t="n">
        <v>0</v>
      </c>
      <c r="L1814" t="n">
        <v>1</v>
      </c>
      <c r="M1814" t="n">
        <v>0</v>
      </c>
    </row>
    <row r="1815" spans="1:13">
      <c r="A1815" s="1">
        <f>HYPERLINK("http://www.twitter.com/NathanBLawrence/status/988461106967535617", "988461106967535617")</f>
        <v/>
      </c>
      <c r="B1815" s="2" t="n">
        <v>43213.70447916666</v>
      </c>
      <c r="C1815" t="n">
        <v>14</v>
      </c>
      <c r="D1815" t="n">
        <v>4</v>
      </c>
      <c r="E1815" t="s">
        <v>1824</v>
      </c>
      <c r="F1815" t="s"/>
      <c r="G1815" t="s"/>
      <c r="H1815" t="s"/>
      <c r="I1815" t="s"/>
      <c r="J1815" t="n">
        <v>-0.7776999999999999</v>
      </c>
      <c r="K1815" t="n">
        <v>0.155</v>
      </c>
      <c r="L1815" t="n">
        <v>0.845</v>
      </c>
      <c r="M1815" t="n">
        <v>0</v>
      </c>
    </row>
    <row r="1816" spans="1:13">
      <c r="A1816" s="1">
        <f>HYPERLINK("http://www.twitter.com/NathanBLawrence/status/988454776970072067", "988454776970072067")</f>
        <v/>
      </c>
      <c r="B1816" s="2" t="n">
        <v>43213.68701388889</v>
      </c>
      <c r="C1816" t="n">
        <v>0</v>
      </c>
      <c r="D1816" t="n">
        <v>1</v>
      </c>
      <c r="E1816" t="s">
        <v>1825</v>
      </c>
      <c r="F1816" t="s"/>
      <c r="G1816" t="s"/>
      <c r="H1816" t="s"/>
      <c r="I1816" t="s"/>
      <c r="J1816" t="n">
        <v>-0.6124000000000001</v>
      </c>
      <c r="K1816" t="n">
        <v>0.258</v>
      </c>
      <c r="L1816" t="n">
        <v>0.645</v>
      </c>
      <c r="M1816" t="n">
        <v>0.097</v>
      </c>
    </row>
    <row r="1817" spans="1:13">
      <c r="A1817" s="1">
        <f>HYPERLINK("http://www.twitter.com/NathanBLawrence/status/988442761513889792", "988442761513889792")</f>
        <v/>
      </c>
      <c r="B1817" s="2" t="n">
        <v>43213.65385416667</v>
      </c>
      <c r="C1817" t="n">
        <v>0</v>
      </c>
      <c r="D1817" t="n">
        <v>0</v>
      </c>
      <c r="E1817" t="s">
        <v>1826</v>
      </c>
      <c r="F1817" t="s"/>
      <c r="G1817" t="s"/>
      <c r="H1817" t="s"/>
      <c r="I1817" t="s"/>
      <c r="J1817" t="n">
        <v>-0.1838</v>
      </c>
      <c r="K1817" t="n">
        <v>0.203</v>
      </c>
      <c r="L1817" t="n">
        <v>0.637</v>
      </c>
      <c r="M1817" t="n">
        <v>0.161</v>
      </c>
    </row>
    <row r="1818" spans="1:13">
      <c r="A1818" s="1">
        <f>HYPERLINK("http://www.twitter.com/NathanBLawrence/status/988441962675101696", "988441962675101696")</f>
        <v/>
      </c>
      <c r="B1818" s="2" t="n">
        <v>43213.65164351852</v>
      </c>
      <c r="C1818" t="n">
        <v>2</v>
      </c>
      <c r="D1818" t="n">
        <v>0</v>
      </c>
      <c r="E1818" t="s">
        <v>1827</v>
      </c>
      <c r="F1818" t="s"/>
      <c r="G1818" t="s"/>
      <c r="H1818" t="s"/>
      <c r="I1818" t="s"/>
      <c r="J1818" t="n">
        <v>0</v>
      </c>
      <c r="K1818" t="n">
        <v>0</v>
      </c>
      <c r="L1818" t="n">
        <v>1</v>
      </c>
      <c r="M1818" t="n">
        <v>0</v>
      </c>
    </row>
    <row r="1819" spans="1:13">
      <c r="A1819" s="1">
        <f>HYPERLINK("http://www.twitter.com/NathanBLawrence/status/988439493349920768", "988439493349920768")</f>
        <v/>
      </c>
      <c r="B1819" s="2" t="n">
        <v>43213.64483796297</v>
      </c>
      <c r="C1819" t="n">
        <v>0</v>
      </c>
      <c r="D1819" t="n">
        <v>191</v>
      </c>
      <c r="E1819" t="s">
        <v>1828</v>
      </c>
      <c r="F1819" t="s"/>
      <c r="G1819" t="s"/>
      <c r="H1819" t="s"/>
      <c r="I1819" t="s"/>
      <c r="J1819" t="n">
        <v>-0.7941</v>
      </c>
      <c r="K1819" t="n">
        <v>0.334</v>
      </c>
      <c r="L1819" t="n">
        <v>0.547</v>
      </c>
      <c r="M1819" t="n">
        <v>0.119</v>
      </c>
    </row>
    <row r="1820" spans="1:13">
      <c r="A1820" s="1">
        <f>HYPERLINK("http://www.twitter.com/NathanBLawrence/status/988436370573156357", "988436370573156357")</f>
        <v/>
      </c>
      <c r="B1820" s="2" t="n">
        <v>43213.63621527778</v>
      </c>
      <c r="C1820" t="n">
        <v>0</v>
      </c>
      <c r="D1820" t="n">
        <v>167</v>
      </c>
      <c r="E1820" t="s">
        <v>1829</v>
      </c>
      <c r="F1820" t="s"/>
      <c r="G1820" t="s"/>
      <c r="H1820" t="s"/>
      <c r="I1820" t="s"/>
      <c r="J1820" t="n">
        <v>0.25</v>
      </c>
      <c r="K1820" t="n">
        <v>0</v>
      </c>
      <c r="L1820" t="n">
        <v>0.882</v>
      </c>
      <c r="M1820" t="n">
        <v>0.118</v>
      </c>
    </row>
    <row r="1821" spans="1:13">
      <c r="A1821" s="1">
        <f>HYPERLINK("http://www.twitter.com/NathanBLawrence/status/988436083250692097", "988436083250692097")</f>
        <v/>
      </c>
      <c r="B1821" s="2" t="n">
        <v>43213.63542824074</v>
      </c>
      <c r="C1821" t="n">
        <v>2</v>
      </c>
      <c r="D1821" t="n">
        <v>0</v>
      </c>
      <c r="E1821" t="s">
        <v>1830</v>
      </c>
      <c r="F1821" t="s"/>
      <c r="G1821" t="s"/>
      <c r="H1821" t="s"/>
      <c r="I1821" t="s"/>
      <c r="J1821" t="n">
        <v>0.32</v>
      </c>
      <c r="K1821" t="n">
        <v>0.115</v>
      </c>
      <c r="L1821" t="n">
        <v>0.6860000000000001</v>
      </c>
      <c r="M1821" t="n">
        <v>0.199</v>
      </c>
    </row>
    <row r="1822" spans="1:13">
      <c r="A1822" s="1">
        <f>HYPERLINK("http://www.twitter.com/NathanBLawrence/status/988435731835244544", "988435731835244544")</f>
        <v/>
      </c>
      <c r="B1822" s="2" t="n">
        <v>43213.63445601852</v>
      </c>
      <c r="C1822" t="n">
        <v>0</v>
      </c>
      <c r="D1822" t="n">
        <v>1</v>
      </c>
      <c r="E1822" t="s">
        <v>1831</v>
      </c>
      <c r="F1822" t="s"/>
      <c r="G1822" t="s"/>
      <c r="H1822" t="s"/>
      <c r="I1822" t="s"/>
      <c r="J1822" t="n">
        <v>0</v>
      </c>
      <c r="K1822" t="n">
        <v>0</v>
      </c>
      <c r="L1822" t="n">
        <v>1</v>
      </c>
      <c r="M1822" t="n">
        <v>0</v>
      </c>
    </row>
    <row r="1823" spans="1:13">
      <c r="A1823" s="1">
        <f>HYPERLINK("http://www.twitter.com/NathanBLawrence/status/988435485457600514", "988435485457600514")</f>
        <v/>
      </c>
      <c r="B1823" s="2" t="n">
        <v>43213.63377314815</v>
      </c>
      <c r="C1823" t="n">
        <v>0</v>
      </c>
      <c r="D1823" t="n">
        <v>7</v>
      </c>
      <c r="E1823" t="s">
        <v>1832</v>
      </c>
      <c r="F1823" t="s"/>
      <c r="G1823" t="s"/>
      <c r="H1823" t="s"/>
      <c r="I1823" t="s"/>
      <c r="J1823" t="n">
        <v>0.128</v>
      </c>
      <c r="K1823" t="n">
        <v>0</v>
      </c>
      <c r="L1823" t="n">
        <v>0.93</v>
      </c>
      <c r="M1823" t="n">
        <v>0.07000000000000001</v>
      </c>
    </row>
    <row r="1824" spans="1:13">
      <c r="A1824" s="1">
        <f>HYPERLINK("http://www.twitter.com/NathanBLawrence/status/988434241619980289", "988434241619980289")</f>
        <v/>
      </c>
      <c r="B1824" s="2" t="n">
        <v>43213.63034722222</v>
      </c>
      <c r="C1824" t="n">
        <v>8</v>
      </c>
      <c r="D1824" t="n">
        <v>5</v>
      </c>
      <c r="E1824" t="s">
        <v>1833</v>
      </c>
      <c r="F1824" t="s"/>
      <c r="G1824" t="s"/>
      <c r="H1824" t="s"/>
      <c r="I1824" t="s"/>
      <c r="J1824" t="n">
        <v>0.2263</v>
      </c>
      <c r="K1824" t="n">
        <v>0.073</v>
      </c>
      <c r="L1824" t="n">
        <v>0.826</v>
      </c>
      <c r="M1824" t="n">
        <v>0.101</v>
      </c>
    </row>
    <row r="1825" spans="1:13">
      <c r="A1825" s="1">
        <f>HYPERLINK("http://www.twitter.com/NathanBLawrence/status/988433467707920384", "988433467707920384")</f>
        <v/>
      </c>
      <c r="B1825" s="2" t="n">
        <v>43213.62820601852</v>
      </c>
      <c r="C1825" t="n">
        <v>4</v>
      </c>
      <c r="D1825" t="n">
        <v>0</v>
      </c>
      <c r="E1825" t="s">
        <v>1834</v>
      </c>
      <c r="F1825" t="s"/>
      <c r="G1825" t="s"/>
      <c r="H1825" t="s"/>
      <c r="I1825" t="s"/>
      <c r="J1825" t="n">
        <v>-0.34</v>
      </c>
      <c r="K1825" t="n">
        <v>0.146</v>
      </c>
      <c r="L1825" t="n">
        <v>0.854</v>
      </c>
      <c r="M1825" t="n">
        <v>0</v>
      </c>
    </row>
    <row r="1826" spans="1:13">
      <c r="A1826" s="1">
        <f>HYPERLINK("http://www.twitter.com/NathanBLawrence/status/988432961283543040", "988432961283543040")</f>
        <v/>
      </c>
      <c r="B1826" s="2" t="n">
        <v>43213.62680555556</v>
      </c>
      <c r="C1826" t="n">
        <v>8</v>
      </c>
      <c r="D1826" t="n">
        <v>1</v>
      </c>
      <c r="E1826" t="s">
        <v>1835</v>
      </c>
      <c r="F1826" t="s"/>
      <c r="G1826" t="s"/>
      <c r="H1826" t="s"/>
      <c r="I1826" t="s"/>
      <c r="J1826" t="n">
        <v>-0.7506</v>
      </c>
      <c r="K1826" t="n">
        <v>0.263</v>
      </c>
      <c r="L1826" t="n">
        <v>0.672</v>
      </c>
      <c r="M1826" t="n">
        <v>0.065</v>
      </c>
    </row>
    <row r="1827" spans="1:13">
      <c r="A1827" s="1">
        <f>HYPERLINK("http://www.twitter.com/NathanBLawrence/status/988432523049959426", "988432523049959426")</f>
        <v/>
      </c>
      <c r="B1827" s="2" t="n">
        <v>43213.62560185185</v>
      </c>
      <c r="C1827" t="n">
        <v>1</v>
      </c>
      <c r="D1827" t="n">
        <v>0</v>
      </c>
      <c r="E1827" t="s">
        <v>1836</v>
      </c>
      <c r="F1827" t="s"/>
      <c r="G1827" t="s"/>
      <c r="H1827" t="s"/>
      <c r="I1827" t="s"/>
      <c r="J1827" t="n">
        <v>-0.2263</v>
      </c>
      <c r="K1827" t="n">
        <v>0.101</v>
      </c>
      <c r="L1827" t="n">
        <v>0.826</v>
      </c>
      <c r="M1827" t="n">
        <v>0.073</v>
      </c>
    </row>
    <row r="1828" spans="1:13">
      <c r="A1828" s="1">
        <f>HYPERLINK("http://www.twitter.com/NathanBLawrence/status/988431368010035200", "988431368010035200")</f>
        <v/>
      </c>
      <c r="B1828" s="2" t="n">
        <v>43213.62240740741</v>
      </c>
      <c r="C1828" t="n">
        <v>0</v>
      </c>
      <c r="D1828" t="n">
        <v>9</v>
      </c>
      <c r="E1828" t="s">
        <v>1837</v>
      </c>
      <c r="F1828" t="s"/>
      <c r="G1828" t="s"/>
      <c r="H1828" t="s"/>
      <c r="I1828" t="s"/>
      <c r="J1828" t="n">
        <v>0</v>
      </c>
      <c r="K1828" t="n">
        <v>0</v>
      </c>
      <c r="L1828" t="n">
        <v>1</v>
      </c>
      <c r="M1828" t="n">
        <v>0</v>
      </c>
    </row>
    <row r="1829" spans="1:13">
      <c r="A1829" s="1">
        <f>HYPERLINK("http://www.twitter.com/NathanBLawrence/status/988430107378421761", "988430107378421761")</f>
        <v/>
      </c>
      <c r="B1829" s="2" t="n">
        <v>43213.61893518519</v>
      </c>
      <c r="C1829" t="n">
        <v>0</v>
      </c>
      <c r="D1829" t="n">
        <v>7</v>
      </c>
      <c r="E1829" t="s">
        <v>1838</v>
      </c>
      <c r="F1829">
        <f>HYPERLINK("http://pbs.twimg.com/media/DbeYEW2V4AESOpI.jpg", "http://pbs.twimg.com/media/DbeYEW2V4AESOpI.jpg")</f>
        <v/>
      </c>
      <c r="G1829" t="s"/>
      <c r="H1829" t="s"/>
      <c r="I1829" t="s"/>
      <c r="J1829" t="n">
        <v>-0.6705</v>
      </c>
      <c r="K1829" t="n">
        <v>0.234</v>
      </c>
      <c r="L1829" t="n">
        <v>0.766</v>
      </c>
      <c r="M1829" t="n">
        <v>0</v>
      </c>
    </row>
    <row r="1830" spans="1:13">
      <c r="A1830" s="1">
        <f>HYPERLINK("http://www.twitter.com/NathanBLawrence/status/988430060087627776", "988430060087627776")</f>
        <v/>
      </c>
      <c r="B1830" s="2" t="n">
        <v>43213.61880787037</v>
      </c>
      <c r="C1830" t="n">
        <v>0</v>
      </c>
      <c r="D1830" t="n">
        <v>0</v>
      </c>
      <c r="E1830" t="s">
        <v>1839</v>
      </c>
      <c r="F1830" t="s"/>
      <c r="G1830" t="s"/>
      <c r="H1830" t="s"/>
      <c r="I1830" t="s"/>
      <c r="J1830" t="n">
        <v>-0.4215</v>
      </c>
      <c r="K1830" t="n">
        <v>0.118</v>
      </c>
      <c r="L1830" t="n">
        <v>0.882</v>
      </c>
      <c r="M1830" t="n">
        <v>0</v>
      </c>
    </row>
    <row r="1831" spans="1:13">
      <c r="A1831" s="1">
        <f>HYPERLINK("http://www.twitter.com/NathanBLawrence/status/988429745892323330", "988429745892323330")</f>
        <v/>
      </c>
      <c r="B1831" s="2" t="n">
        <v>43213.61793981482</v>
      </c>
      <c r="C1831" t="n">
        <v>0</v>
      </c>
      <c r="D1831" t="n">
        <v>1</v>
      </c>
      <c r="E1831" t="s">
        <v>1840</v>
      </c>
      <c r="F1831" t="s"/>
      <c r="G1831" t="s"/>
      <c r="H1831" t="s"/>
      <c r="I1831" t="s"/>
      <c r="J1831" t="n">
        <v>0</v>
      </c>
      <c r="K1831" t="n">
        <v>0</v>
      </c>
      <c r="L1831" t="n">
        <v>1</v>
      </c>
      <c r="M1831" t="n">
        <v>0</v>
      </c>
    </row>
    <row r="1832" spans="1:13">
      <c r="A1832" s="1">
        <f>HYPERLINK("http://www.twitter.com/NathanBLawrence/status/988429566451515392", "988429566451515392")</f>
        <v/>
      </c>
      <c r="B1832" s="2" t="n">
        <v>43213.61744212963</v>
      </c>
      <c r="C1832" t="n">
        <v>2</v>
      </c>
      <c r="D1832" t="n">
        <v>0</v>
      </c>
      <c r="E1832" t="s">
        <v>1841</v>
      </c>
      <c r="F1832" t="s"/>
      <c r="G1832" t="s"/>
      <c r="H1832" t="s"/>
      <c r="I1832" t="s"/>
      <c r="J1832" t="n">
        <v>0.264</v>
      </c>
      <c r="K1832" t="n">
        <v>0.093</v>
      </c>
      <c r="L1832" t="n">
        <v>0.77</v>
      </c>
      <c r="M1832" t="n">
        <v>0.136</v>
      </c>
    </row>
    <row r="1833" spans="1:13">
      <c r="A1833" s="1">
        <f>HYPERLINK("http://www.twitter.com/NathanBLawrence/status/988429130269167617", "988429130269167617")</f>
        <v/>
      </c>
      <c r="B1833" s="2" t="n">
        <v>43213.61623842592</v>
      </c>
      <c r="C1833" t="n">
        <v>0</v>
      </c>
      <c r="D1833" t="n">
        <v>2</v>
      </c>
      <c r="E1833" t="s">
        <v>1842</v>
      </c>
      <c r="F1833" t="s"/>
      <c r="G1833" t="s"/>
      <c r="H1833" t="s"/>
      <c r="I1833" t="s"/>
      <c r="J1833" t="n">
        <v>0</v>
      </c>
      <c r="K1833" t="n">
        <v>0</v>
      </c>
      <c r="L1833" t="n">
        <v>1</v>
      </c>
      <c r="M1833" t="n">
        <v>0</v>
      </c>
    </row>
    <row r="1834" spans="1:13">
      <c r="A1834" s="1">
        <f>HYPERLINK("http://www.twitter.com/NathanBLawrence/status/988429114821562368", "988429114821562368")</f>
        <v/>
      </c>
      <c r="B1834" s="2" t="n">
        <v>43213.61619212963</v>
      </c>
      <c r="C1834" t="n">
        <v>0</v>
      </c>
      <c r="D1834" t="n">
        <v>1</v>
      </c>
      <c r="E1834" t="s">
        <v>1843</v>
      </c>
      <c r="F1834" t="s"/>
      <c r="G1834" t="s"/>
      <c r="H1834" t="s"/>
      <c r="I1834" t="s"/>
      <c r="J1834" t="n">
        <v>-0.5106000000000001</v>
      </c>
      <c r="K1834" t="n">
        <v>0.148</v>
      </c>
      <c r="L1834" t="n">
        <v>0.852</v>
      </c>
      <c r="M1834" t="n">
        <v>0</v>
      </c>
    </row>
    <row r="1835" spans="1:13">
      <c r="A1835" s="1">
        <f>HYPERLINK("http://www.twitter.com/NathanBLawrence/status/988429095888449538", "988429095888449538")</f>
        <v/>
      </c>
      <c r="B1835" s="2" t="n">
        <v>43213.61614583333</v>
      </c>
      <c r="C1835" t="n">
        <v>0</v>
      </c>
      <c r="D1835" t="n">
        <v>2</v>
      </c>
      <c r="E1835" t="s">
        <v>1844</v>
      </c>
      <c r="F1835" t="s"/>
      <c r="G1835" t="s"/>
      <c r="H1835" t="s"/>
      <c r="I1835" t="s"/>
      <c r="J1835" t="n">
        <v>0.4019</v>
      </c>
      <c r="K1835" t="n">
        <v>0</v>
      </c>
      <c r="L1835" t="n">
        <v>0.87</v>
      </c>
      <c r="M1835" t="n">
        <v>0.13</v>
      </c>
    </row>
    <row r="1836" spans="1:13">
      <c r="A1836" s="1">
        <f>HYPERLINK("http://www.twitter.com/NathanBLawrence/status/988428905261518848", "988428905261518848")</f>
        <v/>
      </c>
      <c r="B1836" s="2" t="n">
        <v>43213.61561342593</v>
      </c>
      <c r="C1836" t="n">
        <v>0</v>
      </c>
      <c r="D1836" t="n">
        <v>6</v>
      </c>
      <c r="E1836" t="s">
        <v>1845</v>
      </c>
      <c r="F1836" t="s"/>
      <c r="G1836" t="s"/>
      <c r="H1836" t="s"/>
      <c r="I1836" t="s"/>
      <c r="J1836" t="n">
        <v>0</v>
      </c>
      <c r="K1836" t="n">
        <v>0</v>
      </c>
      <c r="L1836" t="n">
        <v>1</v>
      </c>
      <c r="M1836" t="n">
        <v>0</v>
      </c>
    </row>
    <row r="1837" spans="1:13">
      <c r="A1837" s="1">
        <f>HYPERLINK("http://www.twitter.com/NathanBLawrence/status/988427340454813697", "988427340454813697")</f>
        <v/>
      </c>
      <c r="B1837" s="2" t="n">
        <v>43213.61129629629</v>
      </c>
      <c r="C1837" t="n">
        <v>1</v>
      </c>
      <c r="D1837" t="n">
        <v>0</v>
      </c>
      <c r="E1837" t="s">
        <v>1846</v>
      </c>
      <c r="F1837" t="s"/>
      <c r="G1837" t="s"/>
      <c r="H1837" t="s"/>
      <c r="I1837" t="s"/>
      <c r="J1837" t="n">
        <v>0.7845</v>
      </c>
      <c r="K1837" t="n">
        <v>0</v>
      </c>
      <c r="L1837" t="n">
        <v>0.603</v>
      </c>
      <c r="M1837" t="n">
        <v>0.397</v>
      </c>
    </row>
    <row r="1838" spans="1:13">
      <c r="A1838" s="1">
        <f>HYPERLINK("http://www.twitter.com/NathanBLawrence/status/988426664374874112", "988426664374874112")</f>
        <v/>
      </c>
      <c r="B1838" s="2" t="n">
        <v>43213.60943287037</v>
      </c>
      <c r="C1838" t="n">
        <v>3</v>
      </c>
      <c r="D1838" t="n">
        <v>2</v>
      </c>
      <c r="E1838" t="s">
        <v>1847</v>
      </c>
      <c r="F1838" t="s"/>
      <c r="G1838" t="s"/>
      <c r="H1838" t="s"/>
      <c r="I1838" t="s"/>
      <c r="J1838" t="n">
        <v>0.8625</v>
      </c>
      <c r="K1838" t="n">
        <v>0</v>
      </c>
      <c r="L1838" t="n">
        <v>0.773</v>
      </c>
      <c r="M1838" t="n">
        <v>0.227</v>
      </c>
    </row>
    <row r="1839" spans="1:13">
      <c r="A1839" s="1">
        <f>HYPERLINK("http://www.twitter.com/NathanBLawrence/status/988423322550534145", "988423322550534145")</f>
        <v/>
      </c>
      <c r="B1839" s="2" t="n">
        <v>43213.60020833334</v>
      </c>
      <c r="C1839" t="n">
        <v>0</v>
      </c>
      <c r="D1839" t="n">
        <v>8</v>
      </c>
      <c r="E1839" t="s">
        <v>1848</v>
      </c>
      <c r="F1839" t="s"/>
      <c r="G1839" t="s"/>
      <c r="H1839" t="s"/>
      <c r="I1839" t="s"/>
      <c r="J1839" t="n">
        <v>0.4404</v>
      </c>
      <c r="K1839" t="n">
        <v>0</v>
      </c>
      <c r="L1839" t="n">
        <v>0.868</v>
      </c>
      <c r="M1839" t="n">
        <v>0.132</v>
      </c>
    </row>
    <row r="1840" spans="1:13">
      <c r="A1840" s="1">
        <f>HYPERLINK("http://www.twitter.com/NathanBLawrence/status/988423015154233344", "988423015154233344")</f>
        <v/>
      </c>
      <c r="B1840" s="2" t="n">
        <v>43213.59936342593</v>
      </c>
      <c r="C1840" t="n">
        <v>10</v>
      </c>
      <c r="D1840" t="n">
        <v>5</v>
      </c>
      <c r="E1840" t="s">
        <v>1849</v>
      </c>
      <c r="F1840" t="s"/>
      <c r="G1840" t="s"/>
      <c r="H1840" t="s"/>
      <c r="I1840" t="s"/>
      <c r="J1840" t="n">
        <v>0.7269</v>
      </c>
      <c r="K1840" t="n">
        <v>0</v>
      </c>
      <c r="L1840" t="n">
        <v>0.766</v>
      </c>
      <c r="M1840" t="n">
        <v>0.234</v>
      </c>
    </row>
    <row r="1841" spans="1:13">
      <c r="A1841" s="1">
        <f>HYPERLINK("http://www.twitter.com/NathanBLawrence/status/988419757014700034", "988419757014700034")</f>
        <v/>
      </c>
      <c r="B1841" s="2" t="n">
        <v>43213.59037037037</v>
      </c>
      <c r="C1841" t="n">
        <v>0</v>
      </c>
      <c r="D1841" t="n">
        <v>7</v>
      </c>
      <c r="E1841" t="s">
        <v>1850</v>
      </c>
      <c r="F1841" t="s"/>
      <c r="G1841" t="s"/>
      <c r="H1841" t="s"/>
      <c r="I1841" t="s"/>
      <c r="J1841" t="n">
        <v>0</v>
      </c>
      <c r="K1841" t="n">
        <v>0</v>
      </c>
      <c r="L1841" t="n">
        <v>1</v>
      </c>
      <c r="M1841" t="n">
        <v>0</v>
      </c>
    </row>
    <row r="1842" spans="1:13">
      <c r="A1842" s="1">
        <f>HYPERLINK("http://www.twitter.com/NathanBLawrence/status/988414867752325121", "988414867752325121")</f>
        <v/>
      </c>
      <c r="B1842" s="2" t="n">
        <v>43213.576875</v>
      </c>
      <c r="C1842" t="n">
        <v>0</v>
      </c>
      <c r="D1842" t="n">
        <v>3</v>
      </c>
      <c r="E1842" t="s">
        <v>1851</v>
      </c>
      <c r="F1842" t="s"/>
      <c r="G1842" t="s"/>
      <c r="H1842" t="s"/>
      <c r="I1842" t="s"/>
      <c r="J1842" t="n">
        <v>0</v>
      </c>
      <c r="K1842" t="n">
        <v>0</v>
      </c>
      <c r="L1842" t="n">
        <v>1</v>
      </c>
      <c r="M1842" t="n">
        <v>0</v>
      </c>
    </row>
    <row r="1843" spans="1:13">
      <c r="A1843" s="1">
        <f>HYPERLINK("http://www.twitter.com/NathanBLawrence/status/988414389547163656", "988414389547163656")</f>
        <v/>
      </c>
      <c r="B1843" s="2" t="n">
        <v>43213.57555555556</v>
      </c>
      <c r="C1843" t="n">
        <v>0</v>
      </c>
      <c r="D1843" t="n">
        <v>29</v>
      </c>
      <c r="E1843" t="s">
        <v>1852</v>
      </c>
      <c r="F1843">
        <f>HYPERLINK("http://pbs.twimg.com/media/DbeI4d5V0AAEKlg.jpg", "http://pbs.twimg.com/media/DbeI4d5V0AAEKlg.jpg")</f>
        <v/>
      </c>
      <c r="G1843" t="s"/>
      <c r="H1843" t="s"/>
      <c r="I1843" t="s"/>
      <c r="J1843" t="n">
        <v>-0.8070000000000001</v>
      </c>
      <c r="K1843" t="n">
        <v>0.328</v>
      </c>
      <c r="L1843" t="n">
        <v>0.672</v>
      </c>
      <c r="M1843" t="n">
        <v>0</v>
      </c>
    </row>
    <row r="1844" spans="1:13">
      <c r="A1844" s="1">
        <f>HYPERLINK("http://www.twitter.com/NathanBLawrence/status/988412738341953536", "988412738341953536")</f>
        <v/>
      </c>
      <c r="B1844" s="2" t="n">
        <v>43213.57100694445</v>
      </c>
      <c r="C1844" t="n">
        <v>7</v>
      </c>
      <c r="D1844" t="n">
        <v>6</v>
      </c>
      <c r="E1844" t="s">
        <v>1853</v>
      </c>
      <c r="F1844" t="s"/>
      <c r="G1844" t="s"/>
      <c r="H1844" t="s"/>
      <c r="I1844" t="s"/>
      <c r="J1844" t="n">
        <v>0.0772</v>
      </c>
      <c r="K1844" t="n">
        <v>0.139</v>
      </c>
      <c r="L1844" t="n">
        <v>0.735</v>
      </c>
      <c r="M1844" t="n">
        <v>0.126</v>
      </c>
    </row>
    <row r="1845" spans="1:13">
      <c r="A1845" s="1">
        <f>HYPERLINK("http://www.twitter.com/NathanBLawrence/status/988410542745321474", "988410542745321474")</f>
        <v/>
      </c>
      <c r="B1845" s="2" t="n">
        <v>43213.56494212963</v>
      </c>
      <c r="C1845" t="n">
        <v>0</v>
      </c>
      <c r="D1845" t="n">
        <v>0</v>
      </c>
      <c r="E1845" t="s">
        <v>1854</v>
      </c>
      <c r="F1845" t="s"/>
      <c r="G1845" t="s"/>
      <c r="H1845" t="s"/>
      <c r="I1845" t="s"/>
      <c r="J1845" t="n">
        <v>-0.3861</v>
      </c>
      <c r="K1845" t="n">
        <v>0.124</v>
      </c>
      <c r="L1845" t="n">
        <v>0.783</v>
      </c>
      <c r="M1845" t="n">
        <v>0.093</v>
      </c>
    </row>
    <row r="1846" spans="1:13">
      <c r="A1846" s="1">
        <f>HYPERLINK("http://www.twitter.com/NathanBLawrence/status/988409543032963075", "988409543032963075")</f>
        <v/>
      </c>
      <c r="B1846" s="2" t="n">
        <v>43213.5621875</v>
      </c>
      <c r="C1846" t="n">
        <v>1</v>
      </c>
      <c r="D1846" t="n">
        <v>1</v>
      </c>
      <c r="E1846" t="s">
        <v>1855</v>
      </c>
      <c r="F1846" t="s"/>
      <c r="G1846" t="s"/>
      <c r="H1846" t="s"/>
      <c r="I1846" t="s"/>
      <c r="J1846" t="n">
        <v>-0.0258</v>
      </c>
      <c r="K1846" t="n">
        <v>0.068</v>
      </c>
      <c r="L1846" t="n">
        <v>0.9320000000000001</v>
      </c>
      <c r="M1846" t="n">
        <v>0</v>
      </c>
    </row>
    <row r="1847" spans="1:13">
      <c r="A1847" s="1">
        <f>HYPERLINK("http://www.twitter.com/NathanBLawrence/status/988407866775220224", "988407866775220224")</f>
        <v/>
      </c>
      <c r="B1847" s="2" t="n">
        <v>43213.55755787037</v>
      </c>
      <c r="C1847" t="n">
        <v>10</v>
      </c>
      <c r="D1847" t="n">
        <v>1</v>
      </c>
      <c r="E1847" t="s">
        <v>1856</v>
      </c>
      <c r="F1847">
        <f>HYPERLINK("http://pbs.twimg.com/media/DbeHtYDVQAETJWy.jpg", "http://pbs.twimg.com/media/DbeHtYDVQAETJWy.jpg")</f>
        <v/>
      </c>
      <c r="G1847" t="s"/>
      <c r="H1847" t="s"/>
      <c r="I1847" t="s"/>
      <c r="J1847" t="n">
        <v>0.8666</v>
      </c>
      <c r="K1847" t="n">
        <v>0.13</v>
      </c>
      <c r="L1847" t="n">
        <v>0.601</v>
      </c>
      <c r="M1847" t="n">
        <v>0.269</v>
      </c>
    </row>
    <row r="1848" spans="1:13">
      <c r="A1848" s="1">
        <f>HYPERLINK("http://www.twitter.com/NathanBLawrence/status/988406435330576384", "988406435330576384")</f>
        <v/>
      </c>
      <c r="B1848" s="2" t="n">
        <v>43213.55361111111</v>
      </c>
      <c r="C1848" t="n">
        <v>0</v>
      </c>
      <c r="D1848" t="n">
        <v>3</v>
      </c>
      <c r="E1848" t="s">
        <v>1857</v>
      </c>
      <c r="F1848" t="s"/>
      <c r="G1848" t="s"/>
      <c r="H1848" t="s"/>
      <c r="I1848" t="s"/>
      <c r="J1848" t="n">
        <v>-0.3818</v>
      </c>
      <c r="K1848" t="n">
        <v>0.224</v>
      </c>
      <c r="L1848" t="n">
        <v>0.776</v>
      </c>
      <c r="M1848" t="n">
        <v>0</v>
      </c>
    </row>
    <row r="1849" spans="1:13">
      <c r="A1849" s="1">
        <f>HYPERLINK("http://www.twitter.com/NathanBLawrence/status/988406386362142720", "988406386362142720")</f>
        <v/>
      </c>
      <c r="B1849" s="2" t="n">
        <v>43213.55347222222</v>
      </c>
      <c r="C1849" t="n">
        <v>0</v>
      </c>
      <c r="D1849" t="n">
        <v>20</v>
      </c>
      <c r="E1849" t="s">
        <v>1858</v>
      </c>
      <c r="F1849" t="s"/>
      <c r="G1849" t="s"/>
      <c r="H1849" t="s"/>
      <c r="I1849" t="s"/>
      <c r="J1849" t="n">
        <v>-0.5994</v>
      </c>
      <c r="K1849" t="n">
        <v>0.197</v>
      </c>
      <c r="L1849" t="n">
        <v>0.803</v>
      </c>
      <c r="M1849" t="n">
        <v>0</v>
      </c>
    </row>
    <row r="1850" spans="1:13">
      <c r="A1850" s="1">
        <f>HYPERLINK("http://www.twitter.com/NathanBLawrence/status/988405473278873600", "988405473278873600")</f>
        <v/>
      </c>
      <c r="B1850" s="2" t="n">
        <v>43213.55096064815</v>
      </c>
      <c r="C1850" t="n">
        <v>0</v>
      </c>
      <c r="D1850" t="n">
        <v>0</v>
      </c>
      <c r="E1850" t="s">
        <v>1859</v>
      </c>
      <c r="F1850" t="s"/>
      <c r="G1850" t="s"/>
      <c r="H1850" t="s"/>
      <c r="I1850" t="s"/>
      <c r="J1850" t="n">
        <v>-0.8270999999999999</v>
      </c>
      <c r="K1850" t="n">
        <v>0.184</v>
      </c>
      <c r="L1850" t="n">
        <v>0.8159999999999999</v>
      </c>
      <c r="M1850" t="n">
        <v>0</v>
      </c>
    </row>
    <row r="1851" spans="1:13">
      <c r="A1851" s="1">
        <f>HYPERLINK("http://www.twitter.com/NathanBLawrence/status/988403353968357378", "988403353968357378")</f>
        <v/>
      </c>
      <c r="B1851" s="2" t="n">
        <v>43213.54510416667</v>
      </c>
      <c r="C1851" t="n">
        <v>0</v>
      </c>
      <c r="D1851" t="n">
        <v>0</v>
      </c>
      <c r="E1851" t="s">
        <v>1860</v>
      </c>
      <c r="F1851" t="s"/>
      <c r="G1851" t="s"/>
      <c r="H1851" t="s"/>
      <c r="I1851" t="s"/>
      <c r="J1851" t="n">
        <v>0.6369</v>
      </c>
      <c r="K1851" t="n">
        <v>0</v>
      </c>
      <c r="L1851" t="n">
        <v>0.704</v>
      </c>
      <c r="M1851" t="n">
        <v>0.296</v>
      </c>
    </row>
    <row r="1852" spans="1:13">
      <c r="A1852" s="1">
        <f>HYPERLINK("http://www.twitter.com/NathanBLawrence/status/988402927151837184", "988402927151837184")</f>
        <v/>
      </c>
      <c r="B1852" s="2" t="n">
        <v>43213.54393518518</v>
      </c>
      <c r="C1852" t="n">
        <v>0</v>
      </c>
      <c r="D1852" t="n">
        <v>5</v>
      </c>
      <c r="E1852" t="s">
        <v>1861</v>
      </c>
      <c r="F1852" t="s"/>
      <c r="G1852" t="s"/>
      <c r="H1852" t="s"/>
      <c r="I1852" t="s"/>
      <c r="J1852" t="n">
        <v>-0.5266999999999999</v>
      </c>
      <c r="K1852" t="n">
        <v>0.167</v>
      </c>
      <c r="L1852" t="n">
        <v>0.833</v>
      </c>
      <c r="M1852" t="n">
        <v>0</v>
      </c>
    </row>
    <row r="1853" spans="1:13">
      <c r="A1853" s="1">
        <f>HYPERLINK("http://www.twitter.com/NathanBLawrence/status/988401954752786432", "988401954752786432")</f>
        <v/>
      </c>
      <c r="B1853" s="2" t="n">
        <v>43213.54125</v>
      </c>
      <c r="C1853" t="n">
        <v>11</v>
      </c>
      <c r="D1853" t="n">
        <v>6</v>
      </c>
      <c r="E1853" t="s">
        <v>1862</v>
      </c>
      <c r="F1853" t="s"/>
      <c r="G1853" t="s"/>
      <c r="H1853" t="s"/>
      <c r="I1853" t="s"/>
      <c r="J1853" t="n">
        <v>-0.6402</v>
      </c>
      <c r="K1853" t="n">
        <v>0.133</v>
      </c>
      <c r="L1853" t="n">
        <v>0.843</v>
      </c>
      <c r="M1853" t="n">
        <v>0.023</v>
      </c>
    </row>
    <row r="1854" spans="1:13">
      <c r="A1854" s="1">
        <f>HYPERLINK("http://www.twitter.com/NathanBLawrence/status/988399400400621570", "988399400400621570")</f>
        <v/>
      </c>
      <c r="B1854" s="2" t="n">
        <v>43213.53420138889</v>
      </c>
      <c r="C1854" t="n">
        <v>0</v>
      </c>
      <c r="D1854" t="n">
        <v>3</v>
      </c>
      <c r="E1854" t="s">
        <v>1863</v>
      </c>
      <c r="F1854" t="s"/>
      <c r="G1854" t="s"/>
      <c r="H1854" t="s"/>
      <c r="I1854" t="s"/>
      <c r="J1854" t="n">
        <v>0.4767</v>
      </c>
      <c r="K1854" t="n">
        <v>0</v>
      </c>
      <c r="L1854" t="n">
        <v>0.871</v>
      </c>
      <c r="M1854" t="n">
        <v>0.129</v>
      </c>
    </row>
    <row r="1855" spans="1:13">
      <c r="A1855" s="1">
        <f>HYPERLINK("http://www.twitter.com/NathanBLawrence/status/988398961672286208", "988398961672286208")</f>
        <v/>
      </c>
      <c r="B1855" s="2" t="n">
        <v>43213.53298611111</v>
      </c>
      <c r="C1855" t="n">
        <v>0</v>
      </c>
      <c r="D1855" t="n">
        <v>13</v>
      </c>
      <c r="E1855" t="s">
        <v>1864</v>
      </c>
      <c r="F1855" t="s"/>
      <c r="G1855" t="s"/>
      <c r="H1855" t="s"/>
      <c r="I1855" t="s"/>
      <c r="J1855" t="n">
        <v>0.68</v>
      </c>
      <c r="K1855" t="n">
        <v>0</v>
      </c>
      <c r="L1855" t="n">
        <v>0.763</v>
      </c>
      <c r="M1855" t="n">
        <v>0.237</v>
      </c>
    </row>
    <row r="1856" spans="1:13">
      <c r="A1856" s="1">
        <f>HYPERLINK("http://www.twitter.com/NathanBLawrence/status/988398843095060480", "988398843095060480")</f>
        <v/>
      </c>
      <c r="B1856" s="2" t="n">
        <v>43213.53266203704</v>
      </c>
      <c r="C1856" t="n">
        <v>0</v>
      </c>
      <c r="D1856" t="n">
        <v>4</v>
      </c>
      <c r="E1856" t="s">
        <v>1865</v>
      </c>
      <c r="F1856" t="s"/>
      <c r="G1856" t="s"/>
      <c r="H1856" t="s"/>
      <c r="I1856" t="s"/>
      <c r="J1856" t="n">
        <v>-0.0258</v>
      </c>
      <c r="K1856" t="n">
        <v>0.106</v>
      </c>
      <c r="L1856" t="n">
        <v>0.793</v>
      </c>
      <c r="M1856" t="n">
        <v>0.101</v>
      </c>
    </row>
    <row r="1857" spans="1:13">
      <c r="A1857" s="1">
        <f>HYPERLINK("http://www.twitter.com/NathanBLawrence/status/988398282517942272", "988398282517942272")</f>
        <v/>
      </c>
      <c r="B1857" s="2" t="n">
        <v>43213.53111111111</v>
      </c>
      <c r="C1857" t="n">
        <v>0</v>
      </c>
      <c r="D1857" t="n">
        <v>10350</v>
      </c>
      <c r="E1857" t="s">
        <v>1866</v>
      </c>
      <c r="F1857" t="s"/>
      <c r="G1857" t="s"/>
      <c r="H1857" t="s"/>
      <c r="I1857" t="s"/>
      <c r="J1857" t="n">
        <v>0.1027</v>
      </c>
      <c r="K1857" t="n">
        <v>0</v>
      </c>
      <c r="L1857" t="n">
        <v>0.896</v>
      </c>
      <c r="M1857" t="n">
        <v>0.104</v>
      </c>
    </row>
    <row r="1858" spans="1:13">
      <c r="A1858" s="1">
        <f>HYPERLINK("http://www.twitter.com/NathanBLawrence/status/988398186753679360", "988398186753679360")</f>
        <v/>
      </c>
      <c r="B1858" s="2" t="n">
        <v>43213.53084490741</v>
      </c>
      <c r="C1858" t="n">
        <v>0</v>
      </c>
      <c r="D1858" t="n">
        <v>908</v>
      </c>
      <c r="E1858" t="s">
        <v>1867</v>
      </c>
      <c r="F1858">
        <f>HYPERLINK("http://pbs.twimg.com/media/DbaVETmVAAAFCtF.jpg", "http://pbs.twimg.com/media/DbaVETmVAAAFCtF.jpg")</f>
        <v/>
      </c>
      <c r="G1858">
        <f>HYPERLINK("http://pbs.twimg.com/media/DbaVEpIUQAA7_Bh.jpg", "http://pbs.twimg.com/media/DbaVEpIUQAA7_Bh.jpg")</f>
        <v/>
      </c>
      <c r="H1858" t="s"/>
      <c r="I1858" t="s"/>
      <c r="J1858" t="n">
        <v>0.7184</v>
      </c>
      <c r="K1858" t="n">
        <v>0.099</v>
      </c>
      <c r="L1858" t="n">
        <v>0.577</v>
      </c>
      <c r="M1858" t="n">
        <v>0.324</v>
      </c>
    </row>
    <row r="1859" spans="1:13">
      <c r="A1859" s="1">
        <f>HYPERLINK("http://www.twitter.com/NathanBLawrence/status/988398149361459200", "988398149361459200")</f>
        <v/>
      </c>
      <c r="B1859" s="2" t="n">
        <v>43213.53075231481</v>
      </c>
      <c r="C1859" t="n">
        <v>0</v>
      </c>
      <c r="D1859" t="n">
        <v>1503</v>
      </c>
      <c r="E1859" t="s">
        <v>1868</v>
      </c>
      <c r="F1859">
        <f>HYPERLINK("http://pbs.twimg.com/media/DbaLTRFU0AAkgVx.jpg", "http://pbs.twimg.com/media/DbaLTRFU0AAkgVx.jpg")</f>
        <v/>
      </c>
      <c r="G1859">
        <f>HYPERLINK("http://pbs.twimg.com/media/DbaLURbV4AA9RaU.jpg", "http://pbs.twimg.com/media/DbaLURbV4AA9RaU.jpg")</f>
        <v/>
      </c>
      <c r="H1859" t="s"/>
      <c r="I1859" t="s"/>
      <c r="J1859" t="n">
        <v>0.5994</v>
      </c>
      <c r="K1859" t="n">
        <v>0</v>
      </c>
      <c r="L1859" t="n">
        <v>0.804</v>
      </c>
      <c r="M1859" t="n">
        <v>0.196</v>
      </c>
    </row>
    <row r="1860" spans="1:13">
      <c r="A1860" s="1">
        <f>HYPERLINK("http://www.twitter.com/NathanBLawrence/status/988397954670178305", "988397954670178305")</f>
        <v/>
      </c>
      <c r="B1860" s="2" t="n">
        <v>43213.53020833333</v>
      </c>
      <c r="C1860" t="n">
        <v>0</v>
      </c>
      <c r="D1860" t="n">
        <v>62</v>
      </c>
      <c r="E1860" t="s">
        <v>1869</v>
      </c>
      <c r="F1860" t="s"/>
      <c r="G1860" t="s"/>
      <c r="H1860" t="s"/>
      <c r="I1860" t="s"/>
      <c r="J1860" t="n">
        <v>0</v>
      </c>
      <c r="K1860" t="n">
        <v>0</v>
      </c>
      <c r="L1860" t="n">
        <v>1</v>
      </c>
      <c r="M1860" t="n">
        <v>0</v>
      </c>
    </row>
    <row r="1861" spans="1:13">
      <c r="A1861" s="1">
        <f>HYPERLINK("http://www.twitter.com/NathanBLawrence/status/988397900572037120", "988397900572037120")</f>
        <v/>
      </c>
      <c r="B1861" s="2" t="n">
        <v>43213.53005787037</v>
      </c>
      <c r="C1861" t="n">
        <v>0</v>
      </c>
      <c r="D1861" t="n">
        <v>8</v>
      </c>
      <c r="E1861" t="s">
        <v>1870</v>
      </c>
      <c r="F1861" t="s"/>
      <c r="G1861" t="s"/>
      <c r="H1861" t="s"/>
      <c r="I1861" t="s"/>
      <c r="J1861" t="n">
        <v>0.128</v>
      </c>
      <c r="K1861" t="n">
        <v>0.097</v>
      </c>
      <c r="L1861" t="n">
        <v>0.753</v>
      </c>
      <c r="M1861" t="n">
        <v>0.151</v>
      </c>
    </row>
    <row r="1862" spans="1:13">
      <c r="A1862" s="1">
        <f>HYPERLINK("http://www.twitter.com/NathanBLawrence/status/988397857995706368", "988397857995706368")</f>
        <v/>
      </c>
      <c r="B1862" s="2" t="n">
        <v>43213.52994212963</v>
      </c>
      <c r="C1862" t="n">
        <v>0</v>
      </c>
      <c r="D1862" t="n">
        <v>1</v>
      </c>
      <c r="E1862" t="s">
        <v>1871</v>
      </c>
      <c r="F1862" t="s"/>
      <c r="G1862" t="s"/>
      <c r="H1862" t="s"/>
      <c r="I1862" t="s"/>
      <c r="J1862" t="n">
        <v>0.4588</v>
      </c>
      <c r="K1862" t="n">
        <v>0</v>
      </c>
      <c r="L1862" t="n">
        <v>0.733</v>
      </c>
      <c r="M1862" t="n">
        <v>0.267</v>
      </c>
    </row>
    <row r="1863" spans="1:13">
      <c r="A1863" s="1">
        <f>HYPERLINK("http://www.twitter.com/NathanBLawrence/status/988397763749666817", "988397763749666817")</f>
        <v/>
      </c>
      <c r="B1863" s="2" t="n">
        <v>43213.5296875</v>
      </c>
      <c r="C1863" t="n">
        <v>0</v>
      </c>
      <c r="D1863" t="n">
        <v>4</v>
      </c>
      <c r="E1863" t="s">
        <v>1872</v>
      </c>
      <c r="F1863" t="s"/>
      <c r="G1863" t="s"/>
      <c r="H1863" t="s"/>
      <c r="I1863" t="s"/>
      <c r="J1863" t="n">
        <v>-0.8705000000000001</v>
      </c>
      <c r="K1863" t="n">
        <v>0.354</v>
      </c>
      <c r="L1863" t="n">
        <v>0.646</v>
      </c>
      <c r="M1863" t="n">
        <v>0</v>
      </c>
    </row>
    <row r="1864" spans="1:13">
      <c r="A1864" s="1">
        <f>HYPERLINK("http://www.twitter.com/NathanBLawrence/status/988397724314849280", "988397724314849280")</f>
        <v/>
      </c>
      <c r="B1864" s="2" t="n">
        <v>43213.52957175926</v>
      </c>
      <c r="C1864" t="n">
        <v>0</v>
      </c>
      <c r="D1864" t="n">
        <v>2</v>
      </c>
      <c r="E1864" t="s">
        <v>1873</v>
      </c>
      <c r="F1864" t="s"/>
      <c r="G1864" t="s"/>
      <c r="H1864" t="s"/>
      <c r="I1864" t="s"/>
      <c r="J1864" t="n">
        <v>0</v>
      </c>
      <c r="K1864" t="n">
        <v>0</v>
      </c>
      <c r="L1864" t="n">
        <v>1</v>
      </c>
      <c r="M1864" t="n">
        <v>0</v>
      </c>
    </row>
    <row r="1865" spans="1:13">
      <c r="A1865" s="1">
        <f>HYPERLINK("http://www.twitter.com/NathanBLawrence/status/988397354742177799", "988397354742177799")</f>
        <v/>
      </c>
      <c r="B1865" s="2" t="n">
        <v>43213.52855324074</v>
      </c>
      <c r="C1865" t="n">
        <v>2</v>
      </c>
      <c r="D1865" t="n">
        <v>1</v>
      </c>
      <c r="E1865" t="s">
        <v>1874</v>
      </c>
      <c r="F1865" t="s"/>
      <c r="G1865" t="s"/>
      <c r="H1865" t="s"/>
      <c r="I1865" t="s"/>
      <c r="J1865" t="n">
        <v>0</v>
      </c>
      <c r="K1865" t="n">
        <v>0</v>
      </c>
      <c r="L1865" t="n">
        <v>1</v>
      </c>
      <c r="M1865" t="n">
        <v>0</v>
      </c>
    </row>
    <row r="1866" spans="1:13">
      <c r="A1866" s="1">
        <f>HYPERLINK("http://www.twitter.com/NathanBLawrence/status/988396839832563712", "988396839832563712")</f>
        <v/>
      </c>
      <c r="B1866" s="2" t="n">
        <v>43213.52712962963</v>
      </c>
      <c r="C1866" t="n">
        <v>0</v>
      </c>
      <c r="D1866" t="n">
        <v>1</v>
      </c>
      <c r="E1866" t="s">
        <v>1875</v>
      </c>
      <c r="F1866" t="s"/>
      <c r="G1866" t="s"/>
      <c r="H1866" t="s"/>
      <c r="I1866" t="s"/>
      <c r="J1866" t="n">
        <v>-0.608</v>
      </c>
      <c r="K1866" t="n">
        <v>0.199</v>
      </c>
      <c r="L1866" t="n">
        <v>0.801</v>
      </c>
      <c r="M1866" t="n">
        <v>0</v>
      </c>
    </row>
    <row r="1867" spans="1:13">
      <c r="A1867" s="1">
        <f>HYPERLINK("http://www.twitter.com/NathanBLawrence/status/988396333932470273", "988396333932470273")</f>
        <v/>
      </c>
      <c r="B1867" s="2" t="n">
        <v>43213.52574074074</v>
      </c>
      <c r="C1867" t="n">
        <v>0</v>
      </c>
      <c r="D1867" t="n">
        <v>0</v>
      </c>
      <c r="E1867" t="s">
        <v>1876</v>
      </c>
      <c r="F1867" t="s"/>
      <c r="G1867" t="s"/>
      <c r="H1867" t="s"/>
      <c r="I1867" t="s"/>
      <c r="J1867" t="n">
        <v>0</v>
      </c>
      <c r="K1867" t="n">
        <v>0</v>
      </c>
      <c r="L1867" t="n">
        <v>1</v>
      </c>
      <c r="M1867" t="n">
        <v>0</v>
      </c>
    </row>
    <row r="1868" spans="1:13">
      <c r="A1868" s="1">
        <f>HYPERLINK("http://www.twitter.com/NathanBLawrence/status/988383154523303936", "988383154523303936")</f>
        <v/>
      </c>
      <c r="B1868" s="2" t="n">
        <v>43213.48936342593</v>
      </c>
      <c r="C1868" t="n">
        <v>0</v>
      </c>
      <c r="D1868" t="n">
        <v>1</v>
      </c>
      <c r="E1868" t="s">
        <v>1877</v>
      </c>
      <c r="F1868">
        <f>HYPERLINK("http://pbs.twimg.com/media/DbbIG0eV4AA2HJ5.jpg", "http://pbs.twimg.com/media/DbbIG0eV4AA2HJ5.jpg")</f>
        <v/>
      </c>
      <c r="G1868" t="s"/>
      <c r="H1868" t="s"/>
      <c r="I1868" t="s"/>
      <c r="J1868" t="n">
        <v>0</v>
      </c>
      <c r="K1868" t="n">
        <v>0</v>
      </c>
      <c r="L1868" t="n">
        <v>1</v>
      </c>
      <c r="M1868" t="n">
        <v>0</v>
      </c>
    </row>
    <row r="1869" spans="1:13">
      <c r="A1869" s="1">
        <f>HYPERLINK("http://www.twitter.com/NathanBLawrence/status/988382455668330496", "988382455668330496")</f>
        <v/>
      </c>
      <c r="B1869" s="2" t="n">
        <v>43213.48744212963</v>
      </c>
      <c r="C1869" t="n">
        <v>0</v>
      </c>
      <c r="D1869" t="n">
        <v>0</v>
      </c>
      <c r="E1869" t="s">
        <v>1878</v>
      </c>
      <c r="F1869" t="s"/>
      <c r="G1869" t="s"/>
      <c r="H1869" t="s"/>
      <c r="I1869" t="s"/>
      <c r="J1869" t="n">
        <v>-0.3182</v>
      </c>
      <c r="K1869" t="n">
        <v>0.212</v>
      </c>
      <c r="L1869" t="n">
        <v>0.624</v>
      </c>
      <c r="M1869" t="n">
        <v>0.164</v>
      </c>
    </row>
    <row r="1870" spans="1:13">
      <c r="A1870" s="1">
        <f>HYPERLINK("http://www.twitter.com/NathanBLawrence/status/988380654017679360", "988380654017679360")</f>
        <v/>
      </c>
      <c r="B1870" s="2" t="n">
        <v>43213.48246527778</v>
      </c>
      <c r="C1870" t="n">
        <v>2</v>
      </c>
      <c r="D1870" t="n">
        <v>0</v>
      </c>
      <c r="E1870" t="s">
        <v>1879</v>
      </c>
      <c r="F1870" t="s"/>
      <c r="G1870" t="s"/>
      <c r="H1870" t="s"/>
      <c r="I1870" t="s"/>
      <c r="J1870" t="n">
        <v>-0.296</v>
      </c>
      <c r="K1870" t="n">
        <v>0.167</v>
      </c>
      <c r="L1870" t="n">
        <v>0.833</v>
      </c>
      <c r="M1870" t="n">
        <v>0</v>
      </c>
    </row>
    <row r="1871" spans="1:13">
      <c r="A1871" s="1">
        <f>HYPERLINK("http://www.twitter.com/NathanBLawrence/status/988380011978723329", "988380011978723329")</f>
        <v/>
      </c>
      <c r="B1871" s="2" t="n">
        <v>43213.48069444444</v>
      </c>
      <c r="C1871" t="n">
        <v>0</v>
      </c>
      <c r="D1871" t="n">
        <v>1</v>
      </c>
      <c r="E1871" t="s">
        <v>1880</v>
      </c>
      <c r="F1871">
        <f>HYPERLINK("http://pbs.twimg.com/media/DbdopavX4AAldqp.jpg", "http://pbs.twimg.com/media/DbdopavX4AAldqp.jpg")</f>
        <v/>
      </c>
      <c r="G1871" t="s"/>
      <c r="H1871" t="s"/>
      <c r="I1871" t="s"/>
      <c r="J1871" t="n">
        <v>-0.3818</v>
      </c>
      <c r="K1871" t="n">
        <v>0.206</v>
      </c>
      <c r="L1871" t="n">
        <v>0.794</v>
      </c>
      <c r="M1871" t="n">
        <v>0</v>
      </c>
    </row>
    <row r="1872" spans="1:13">
      <c r="A1872" s="1">
        <f>HYPERLINK("http://www.twitter.com/NathanBLawrence/status/988377740901584896", "988377740901584896")</f>
        <v/>
      </c>
      <c r="B1872" s="2" t="n">
        <v>43213.47443287037</v>
      </c>
      <c r="C1872" t="n">
        <v>2</v>
      </c>
      <c r="D1872" t="n">
        <v>0</v>
      </c>
      <c r="E1872" t="s">
        <v>1881</v>
      </c>
      <c r="F1872" t="s"/>
      <c r="G1872" t="s"/>
      <c r="H1872" t="s"/>
      <c r="I1872" t="s"/>
      <c r="J1872" t="n">
        <v>-0.296</v>
      </c>
      <c r="K1872" t="n">
        <v>0.196</v>
      </c>
      <c r="L1872" t="n">
        <v>0.804</v>
      </c>
      <c r="M1872" t="n">
        <v>0</v>
      </c>
    </row>
    <row r="1873" spans="1:13">
      <c r="A1873" s="1">
        <f>HYPERLINK("http://www.twitter.com/NathanBLawrence/status/988377612362887169", "988377612362887169")</f>
        <v/>
      </c>
      <c r="B1873" s="2" t="n">
        <v>43213.47407407407</v>
      </c>
      <c r="C1873" t="n">
        <v>0</v>
      </c>
      <c r="D1873" t="n">
        <v>0</v>
      </c>
      <c r="E1873" t="s">
        <v>1882</v>
      </c>
      <c r="F1873" t="s"/>
      <c r="G1873" t="s"/>
      <c r="H1873" t="s"/>
      <c r="I1873" t="s"/>
      <c r="J1873" t="n">
        <v>-0.5266999999999999</v>
      </c>
      <c r="K1873" t="n">
        <v>0.227</v>
      </c>
      <c r="L1873" t="n">
        <v>0.773</v>
      </c>
      <c r="M1873" t="n">
        <v>0</v>
      </c>
    </row>
    <row r="1874" spans="1:13">
      <c r="A1874" s="1">
        <f>HYPERLINK("http://www.twitter.com/NathanBLawrence/status/988377021309956099", "988377021309956099")</f>
        <v/>
      </c>
      <c r="B1874" s="2" t="n">
        <v>43213.47244212963</v>
      </c>
      <c r="C1874" t="n">
        <v>0</v>
      </c>
      <c r="D1874" t="n">
        <v>0</v>
      </c>
      <c r="E1874" t="s">
        <v>1883</v>
      </c>
      <c r="F1874" t="s"/>
      <c r="G1874" t="s"/>
      <c r="H1874" t="s"/>
      <c r="I1874" t="s"/>
      <c r="J1874" t="n">
        <v>0</v>
      </c>
      <c r="K1874" t="n">
        <v>0</v>
      </c>
      <c r="L1874" t="n">
        <v>1</v>
      </c>
      <c r="M1874" t="n">
        <v>0</v>
      </c>
    </row>
    <row r="1875" spans="1:13">
      <c r="A1875" s="1">
        <f>HYPERLINK("http://www.twitter.com/NathanBLawrence/status/988374128775360512", "988374128775360512")</f>
        <v/>
      </c>
      <c r="B1875" s="2" t="n">
        <v>43213.4644675926</v>
      </c>
      <c r="C1875" t="n">
        <v>0</v>
      </c>
      <c r="D1875" t="n">
        <v>2</v>
      </c>
      <c r="E1875" t="s">
        <v>1884</v>
      </c>
      <c r="F1875" t="s"/>
      <c r="G1875" t="s"/>
      <c r="H1875" t="s"/>
      <c r="I1875" t="s"/>
      <c r="J1875" t="n">
        <v>0.0516</v>
      </c>
      <c r="K1875" t="n">
        <v>0.08500000000000001</v>
      </c>
      <c r="L1875" t="n">
        <v>0.82</v>
      </c>
      <c r="M1875" t="n">
        <v>0.096</v>
      </c>
    </row>
    <row r="1876" spans="1:13">
      <c r="A1876" s="1">
        <f>HYPERLINK("http://www.twitter.com/NathanBLawrence/status/988373635290234880", "988373635290234880")</f>
        <v/>
      </c>
      <c r="B1876" s="2" t="n">
        <v>43213.46310185185</v>
      </c>
      <c r="C1876" t="n">
        <v>1</v>
      </c>
      <c r="D1876" t="n">
        <v>1</v>
      </c>
      <c r="E1876" t="s">
        <v>1885</v>
      </c>
      <c r="F1876" t="s"/>
      <c r="G1876" t="s"/>
      <c r="H1876" t="s"/>
      <c r="I1876" t="s"/>
      <c r="J1876" t="n">
        <v>0.9455</v>
      </c>
      <c r="K1876" t="n">
        <v>0</v>
      </c>
      <c r="L1876" t="n">
        <v>0.751</v>
      </c>
      <c r="M1876" t="n">
        <v>0.249</v>
      </c>
    </row>
    <row r="1877" spans="1:13">
      <c r="A1877" s="1">
        <f>HYPERLINK("http://www.twitter.com/NathanBLawrence/status/988372306882957312", "988372306882957312")</f>
        <v/>
      </c>
      <c r="B1877" s="2" t="n">
        <v>43213.45943287037</v>
      </c>
      <c r="C1877" t="n">
        <v>2</v>
      </c>
      <c r="D1877" t="n">
        <v>0</v>
      </c>
      <c r="E1877" t="s">
        <v>1886</v>
      </c>
      <c r="F1877" t="s"/>
      <c r="G1877" t="s"/>
      <c r="H1877" t="s"/>
      <c r="I1877" t="s"/>
      <c r="J1877" t="n">
        <v>-0.2732</v>
      </c>
      <c r="K1877" t="n">
        <v>0.104</v>
      </c>
      <c r="L1877" t="n">
        <v>0.795</v>
      </c>
      <c r="M1877" t="n">
        <v>0.102</v>
      </c>
    </row>
    <row r="1878" spans="1:13">
      <c r="A1878" s="1">
        <f>HYPERLINK("http://www.twitter.com/NathanBLawrence/status/988371093051379712", "988371093051379712")</f>
        <v/>
      </c>
      <c r="B1878" s="2" t="n">
        <v>43213.45608796296</v>
      </c>
      <c r="C1878" t="n">
        <v>4</v>
      </c>
      <c r="D1878" t="n">
        <v>0</v>
      </c>
      <c r="E1878" t="s">
        <v>1887</v>
      </c>
      <c r="F1878" t="s"/>
      <c r="G1878" t="s"/>
      <c r="H1878" t="s"/>
      <c r="I1878" t="s"/>
      <c r="J1878" t="n">
        <v>0.5719</v>
      </c>
      <c r="K1878" t="n">
        <v>0.136</v>
      </c>
      <c r="L1878" t="n">
        <v>0.576</v>
      </c>
      <c r="M1878" t="n">
        <v>0.288</v>
      </c>
    </row>
    <row r="1879" spans="1:13">
      <c r="A1879" s="1">
        <f>HYPERLINK("http://www.twitter.com/NathanBLawrence/status/988370882681765888", "988370882681765888")</f>
        <v/>
      </c>
      <c r="B1879" s="2" t="n">
        <v>43213.45550925926</v>
      </c>
      <c r="C1879" t="n">
        <v>2</v>
      </c>
      <c r="D1879" t="n">
        <v>1</v>
      </c>
      <c r="E1879" t="s">
        <v>1888</v>
      </c>
      <c r="F1879" t="s"/>
      <c r="G1879" t="s"/>
      <c r="H1879" t="s"/>
      <c r="I1879" t="s"/>
      <c r="J1879" t="n">
        <v>-0.296</v>
      </c>
      <c r="K1879" t="n">
        <v>0.08799999999999999</v>
      </c>
      <c r="L1879" t="n">
        <v>0.862</v>
      </c>
      <c r="M1879" t="n">
        <v>0.05</v>
      </c>
    </row>
    <row r="1880" spans="1:13">
      <c r="A1880" s="1">
        <f>HYPERLINK("http://www.twitter.com/NathanBLawrence/status/988366939096584192", "988366939096584192")</f>
        <v/>
      </c>
      <c r="B1880" s="2" t="n">
        <v>43213.44461805555</v>
      </c>
      <c r="C1880" t="n">
        <v>0</v>
      </c>
      <c r="D1880" t="n">
        <v>0</v>
      </c>
      <c r="E1880" t="s">
        <v>1889</v>
      </c>
      <c r="F1880" t="s"/>
      <c r="G1880" t="s"/>
      <c r="H1880" t="s"/>
      <c r="I1880" t="s"/>
      <c r="J1880" t="n">
        <v>-0.8481</v>
      </c>
      <c r="K1880" t="n">
        <v>0.191</v>
      </c>
      <c r="L1880" t="n">
        <v>0.8090000000000001</v>
      </c>
      <c r="M1880" t="n">
        <v>0</v>
      </c>
    </row>
    <row r="1881" spans="1:13">
      <c r="A1881" s="1">
        <f>HYPERLINK("http://www.twitter.com/NathanBLawrence/status/988364547932213250", "988364547932213250")</f>
        <v/>
      </c>
      <c r="B1881" s="2" t="n">
        <v>43213.43802083333</v>
      </c>
      <c r="C1881" t="n">
        <v>3</v>
      </c>
      <c r="D1881" t="n">
        <v>0</v>
      </c>
      <c r="E1881" t="s">
        <v>1890</v>
      </c>
      <c r="F1881" t="s"/>
      <c r="G1881" t="s"/>
      <c r="H1881" t="s"/>
      <c r="I1881" t="s"/>
      <c r="J1881" t="n">
        <v>0.694</v>
      </c>
      <c r="K1881" t="n">
        <v>0</v>
      </c>
      <c r="L1881" t="n">
        <v>0.852</v>
      </c>
      <c r="M1881" t="n">
        <v>0.148</v>
      </c>
    </row>
    <row r="1882" spans="1:13">
      <c r="A1882" s="1">
        <f>HYPERLINK("http://www.twitter.com/NathanBLawrence/status/988272406505586688", "988272406505586688")</f>
        <v/>
      </c>
      <c r="B1882" s="2" t="n">
        <v>43213.18376157407</v>
      </c>
      <c r="C1882" t="n">
        <v>11</v>
      </c>
      <c r="D1882" t="n">
        <v>6</v>
      </c>
      <c r="E1882" t="s">
        <v>1891</v>
      </c>
      <c r="F1882" t="s"/>
      <c r="G1882" t="s"/>
      <c r="H1882" t="s"/>
      <c r="I1882" t="s"/>
      <c r="J1882" t="n">
        <v>0</v>
      </c>
      <c r="K1882" t="n">
        <v>0</v>
      </c>
      <c r="L1882" t="n">
        <v>1</v>
      </c>
      <c r="M1882" t="n">
        <v>0</v>
      </c>
    </row>
    <row r="1883" spans="1:13">
      <c r="A1883" s="1">
        <f>HYPERLINK("http://www.twitter.com/NathanBLawrence/status/988270572323901441", "988270572323901441")</f>
        <v/>
      </c>
      <c r="B1883" s="2" t="n">
        <v>43213.17870370371</v>
      </c>
      <c r="C1883" t="n">
        <v>0</v>
      </c>
      <c r="D1883" t="n">
        <v>6</v>
      </c>
      <c r="E1883" t="s">
        <v>1892</v>
      </c>
      <c r="F1883" t="s"/>
      <c r="G1883" t="s"/>
      <c r="H1883" t="s"/>
      <c r="I1883" t="s"/>
      <c r="J1883" t="n">
        <v>0</v>
      </c>
      <c r="K1883" t="n">
        <v>0</v>
      </c>
      <c r="L1883" t="n">
        <v>1</v>
      </c>
      <c r="M1883" t="n">
        <v>0</v>
      </c>
    </row>
    <row r="1884" spans="1:13">
      <c r="A1884" s="1">
        <f>HYPERLINK("http://www.twitter.com/NathanBLawrence/status/988270081053544448", "988270081053544448")</f>
        <v/>
      </c>
      <c r="B1884" s="2" t="n">
        <v>43213.17734953704</v>
      </c>
      <c r="C1884" t="n">
        <v>0</v>
      </c>
      <c r="D1884" t="n">
        <v>7</v>
      </c>
      <c r="E1884" t="s">
        <v>1893</v>
      </c>
      <c r="F1884" t="s"/>
      <c r="G1884" t="s"/>
      <c r="H1884" t="s"/>
      <c r="I1884" t="s"/>
      <c r="J1884" t="n">
        <v>-0.5106000000000001</v>
      </c>
      <c r="K1884" t="n">
        <v>0.223</v>
      </c>
      <c r="L1884" t="n">
        <v>0.777</v>
      </c>
      <c r="M1884" t="n">
        <v>0</v>
      </c>
    </row>
    <row r="1885" spans="1:13">
      <c r="A1885" s="1">
        <f>HYPERLINK("http://www.twitter.com/NathanBLawrence/status/988270066612555776", "988270066612555776")</f>
        <v/>
      </c>
      <c r="B1885" s="2" t="n">
        <v>43213.17730324074</v>
      </c>
      <c r="C1885" t="n">
        <v>0</v>
      </c>
      <c r="D1885" t="n">
        <v>10</v>
      </c>
      <c r="E1885" t="s">
        <v>1894</v>
      </c>
      <c r="F1885">
        <f>HYPERLINK("http://pbs.twimg.com/media/Dbb-i_xV0AAixwb.jpg", "http://pbs.twimg.com/media/Dbb-i_xV0AAixwb.jpg")</f>
        <v/>
      </c>
      <c r="G1885">
        <f>HYPERLINK("http://pbs.twimg.com/media/Dbb-laTUQAAQtGD.jpg", "http://pbs.twimg.com/media/Dbb-laTUQAAQtGD.jpg")</f>
        <v/>
      </c>
      <c r="H1885" t="s"/>
      <c r="I1885" t="s"/>
      <c r="J1885" t="n">
        <v>0.3182</v>
      </c>
      <c r="K1885" t="n">
        <v>0</v>
      </c>
      <c r="L1885" t="n">
        <v>0.867</v>
      </c>
      <c r="M1885" t="n">
        <v>0.133</v>
      </c>
    </row>
    <row r="1886" spans="1:13">
      <c r="A1886" s="1">
        <f>HYPERLINK("http://www.twitter.com/NathanBLawrence/status/988270051336900609", "988270051336900609")</f>
        <v/>
      </c>
      <c r="B1886" s="2" t="n">
        <v>43213.17726851852</v>
      </c>
      <c r="C1886" t="n">
        <v>0</v>
      </c>
      <c r="D1886" t="n">
        <v>8</v>
      </c>
      <c r="E1886" t="s">
        <v>1895</v>
      </c>
      <c r="F1886">
        <f>HYPERLINK("http://pbs.twimg.com/media/DbcDViRV4AA3QWh.jpg", "http://pbs.twimg.com/media/DbcDViRV4AA3QWh.jpg")</f>
        <v/>
      </c>
      <c r="G1886">
        <f>HYPERLINK("http://pbs.twimg.com/media/DbcDYUOUQAEFsLu.jpg", "http://pbs.twimg.com/media/DbcDYUOUQAEFsLu.jpg")</f>
        <v/>
      </c>
      <c r="H1886" t="s"/>
      <c r="I1886" t="s"/>
      <c r="J1886" t="n">
        <v>0.6705</v>
      </c>
      <c r="K1886" t="n">
        <v>0</v>
      </c>
      <c r="L1886" t="n">
        <v>0.784</v>
      </c>
      <c r="M1886" t="n">
        <v>0.216</v>
      </c>
    </row>
    <row r="1887" spans="1:13">
      <c r="A1887" s="1">
        <f>HYPERLINK("http://www.twitter.com/NathanBLawrence/status/988269978515361792", "988269978515361792")</f>
        <v/>
      </c>
      <c r="B1887" s="2" t="n">
        <v>43213.17706018518</v>
      </c>
      <c r="C1887" t="n">
        <v>0</v>
      </c>
      <c r="D1887" t="n">
        <v>12</v>
      </c>
      <c r="E1887" t="s">
        <v>1896</v>
      </c>
      <c r="F1887">
        <f>HYPERLINK("http://pbs.twimg.com/media/DbcGkHjUQAAQDLa.jpg", "http://pbs.twimg.com/media/DbcGkHjUQAAQDLa.jpg")</f>
        <v/>
      </c>
      <c r="G1887" t="s"/>
      <c r="H1887" t="s"/>
      <c r="I1887" t="s"/>
      <c r="J1887" t="n">
        <v>0</v>
      </c>
      <c r="K1887" t="n">
        <v>0</v>
      </c>
      <c r="L1887" t="n">
        <v>1</v>
      </c>
      <c r="M1887" t="n">
        <v>0</v>
      </c>
    </row>
    <row r="1888" spans="1:13">
      <c r="A1888" s="1">
        <f>HYPERLINK("http://www.twitter.com/NathanBLawrence/status/988269677737586688", "988269677737586688")</f>
        <v/>
      </c>
      <c r="B1888" s="2" t="n">
        <v>43213.17622685185</v>
      </c>
      <c r="C1888" t="n">
        <v>20</v>
      </c>
      <c r="D1888" t="n">
        <v>5</v>
      </c>
      <c r="E1888" t="s">
        <v>1897</v>
      </c>
      <c r="F1888" t="s"/>
      <c r="G1888" t="s"/>
      <c r="H1888" t="s"/>
      <c r="I1888" t="s"/>
      <c r="J1888" t="n">
        <v>-0.296</v>
      </c>
      <c r="K1888" t="n">
        <v>0.081</v>
      </c>
      <c r="L1888" t="n">
        <v>0.919</v>
      </c>
      <c r="M1888" t="n">
        <v>0</v>
      </c>
    </row>
    <row r="1889" spans="1:13">
      <c r="A1889" s="1">
        <f>HYPERLINK("http://www.twitter.com/NathanBLawrence/status/988268051081637888", "988268051081637888")</f>
        <v/>
      </c>
      <c r="B1889" s="2" t="n">
        <v>43213.17174768518</v>
      </c>
      <c r="C1889" t="n">
        <v>0</v>
      </c>
      <c r="D1889" t="n">
        <v>1</v>
      </c>
      <c r="E1889" t="s">
        <v>1898</v>
      </c>
      <c r="F1889" t="s"/>
      <c r="G1889" t="s"/>
      <c r="H1889" t="s"/>
      <c r="I1889" t="s"/>
      <c r="J1889" t="n">
        <v>0.2975</v>
      </c>
      <c r="K1889" t="n">
        <v>0</v>
      </c>
      <c r="L1889" t="n">
        <v>0.885</v>
      </c>
      <c r="M1889" t="n">
        <v>0.115</v>
      </c>
    </row>
    <row r="1890" spans="1:13">
      <c r="A1890" s="1">
        <f>HYPERLINK("http://www.twitter.com/NathanBLawrence/status/988267793438081025", "988267793438081025")</f>
        <v/>
      </c>
      <c r="B1890" s="2" t="n">
        <v>43213.17103009259</v>
      </c>
      <c r="C1890" t="n">
        <v>0</v>
      </c>
      <c r="D1890" t="n">
        <v>2</v>
      </c>
      <c r="E1890" t="s">
        <v>1899</v>
      </c>
      <c r="F1890" t="s"/>
      <c r="G1890" t="s"/>
      <c r="H1890" t="s"/>
      <c r="I1890" t="s"/>
      <c r="J1890" t="n">
        <v>0.9674</v>
      </c>
      <c r="K1890" t="n">
        <v>0</v>
      </c>
      <c r="L1890" t="n">
        <v>0.355</v>
      </c>
      <c r="M1890" t="n">
        <v>0.645</v>
      </c>
    </row>
    <row r="1891" spans="1:13">
      <c r="A1891" s="1">
        <f>HYPERLINK("http://www.twitter.com/NathanBLawrence/status/988256697251778561", "988256697251778561")</f>
        <v/>
      </c>
      <c r="B1891" s="2" t="n">
        <v>43213.14041666667</v>
      </c>
      <c r="C1891" t="n">
        <v>0</v>
      </c>
      <c r="D1891" t="n">
        <v>10</v>
      </c>
      <c r="E1891" t="s">
        <v>1900</v>
      </c>
      <c r="F1891">
        <f>HYPERLINK("http://pbs.twimg.com/media/Dbbu6USV0AAC2pP.jpg", "http://pbs.twimg.com/media/Dbbu6USV0AAC2pP.jpg")</f>
        <v/>
      </c>
      <c r="G1891" t="s"/>
      <c r="H1891" t="s"/>
      <c r="I1891" t="s"/>
      <c r="J1891" t="n">
        <v>-0.4404</v>
      </c>
      <c r="K1891" t="n">
        <v>0.195</v>
      </c>
      <c r="L1891" t="n">
        <v>0.805</v>
      </c>
      <c r="M1891" t="n">
        <v>0</v>
      </c>
    </row>
    <row r="1892" spans="1:13">
      <c r="A1892" s="1">
        <f>HYPERLINK("http://www.twitter.com/NathanBLawrence/status/988255924744802305", "988255924744802305")</f>
        <v/>
      </c>
      <c r="B1892" s="2" t="n">
        <v>43213.13828703704</v>
      </c>
      <c r="C1892" t="n">
        <v>7</v>
      </c>
      <c r="D1892" t="n">
        <v>0</v>
      </c>
      <c r="E1892" t="s">
        <v>1901</v>
      </c>
      <c r="F1892" t="s"/>
      <c r="G1892" t="s"/>
      <c r="H1892" t="s"/>
      <c r="I1892" t="s"/>
      <c r="J1892" t="n">
        <v>0.1027</v>
      </c>
      <c r="K1892" t="n">
        <v>0</v>
      </c>
      <c r="L1892" t="n">
        <v>0.903</v>
      </c>
      <c r="M1892" t="n">
        <v>0.097</v>
      </c>
    </row>
    <row r="1893" spans="1:13">
      <c r="A1893" s="1">
        <f>HYPERLINK("http://www.twitter.com/NathanBLawrence/status/988255196018020352", "988255196018020352")</f>
        <v/>
      </c>
      <c r="B1893" s="2" t="n">
        <v>43213.13627314815</v>
      </c>
      <c r="C1893" t="n">
        <v>0</v>
      </c>
      <c r="D1893" t="n">
        <v>1</v>
      </c>
      <c r="E1893" t="s">
        <v>1902</v>
      </c>
      <c r="F1893" t="s"/>
      <c r="G1893" t="s"/>
      <c r="H1893" t="s"/>
      <c r="I1893" t="s"/>
      <c r="J1893" t="n">
        <v>-0.7783</v>
      </c>
      <c r="K1893" t="n">
        <v>0.279</v>
      </c>
      <c r="L1893" t="n">
        <v>0.638</v>
      </c>
      <c r="M1893" t="n">
        <v>0.08400000000000001</v>
      </c>
    </row>
    <row r="1894" spans="1:13">
      <c r="A1894" s="1">
        <f>HYPERLINK("http://www.twitter.com/NathanBLawrence/status/988253167623254016", "988253167623254016")</f>
        <v/>
      </c>
      <c r="B1894" s="2" t="n">
        <v>43213.1306712963</v>
      </c>
      <c r="C1894" t="n">
        <v>0</v>
      </c>
      <c r="D1894" t="n">
        <v>5</v>
      </c>
      <c r="E1894" t="s">
        <v>1903</v>
      </c>
      <c r="F1894" t="s"/>
      <c r="G1894" t="s"/>
      <c r="H1894" t="s"/>
      <c r="I1894" t="s"/>
      <c r="J1894" t="n">
        <v>-0.296</v>
      </c>
      <c r="K1894" t="n">
        <v>0.128</v>
      </c>
      <c r="L1894" t="n">
        <v>0.872</v>
      </c>
      <c r="M1894" t="n">
        <v>0</v>
      </c>
    </row>
    <row r="1895" spans="1:13">
      <c r="A1895" s="1">
        <f>HYPERLINK("http://www.twitter.com/NathanBLawrence/status/988250413232246784", "988250413232246784")</f>
        <v/>
      </c>
      <c r="B1895" s="2" t="n">
        <v>43213.12306712963</v>
      </c>
      <c r="C1895" t="n">
        <v>0</v>
      </c>
      <c r="D1895" t="n">
        <v>129</v>
      </c>
      <c r="E1895" t="s">
        <v>1904</v>
      </c>
      <c r="F1895" t="s"/>
      <c r="G1895" t="s"/>
      <c r="H1895" t="s"/>
      <c r="I1895" t="s"/>
      <c r="J1895" t="n">
        <v>0.3612</v>
      </c>
      <c r="K1895" t="n">
        <v>0.048</v>
      </c>
      <c r="L1895" t="n">
        <v>0.849</v>
      </c>
      <c r="M1895" t="n">
        <v>0.103</v>
      </c>
    </row>
    <row r="1896" spans="1:13">
      <c r="A1896" s="1">
        <f>HYPERLINK("http://www.twitter.com/NathanBLawrence/status/988248007987646464", "988248007987646464")</f>
        <v/>
      </c>
      <c r="B1896" s="2" t="n">
        <v>43213.11643518518</v>
      </c>
      <c r="C1896" t="n">
        <v>0</v>
      </c>
      <c r="D1896" t="n">
        <v>1</v>
      </c>
      <c r="E1896" t="s">
        <v>1905</v>
      </c>
      <c r="F1896" t="s"/>
      <c r="G1896" t="s"/>
      <c r="H1896" t="s"/>
      <c r="I1896" t="s"/>
      <c r="J1896" t="n">
        <v>0.3182</v>
      </c>
      <c r="K1896" t="n">
        <v>0</v>
      </c>
      <c r="L1896" t="n">
        <v>0.909</v>
      </c>
      <c r="M1896" t="n">
        <v>0.091</v>
      </c>
    </row>
    <row r="1897" spans="1:13">
      <c r="A1897" s="1">
        <f>HYPERLINK("http://www.twitter.com/NathanBLawrence/status/988247727980138496", "988247727980138496")</f>
        <v/>
      </c>
      <c r="B1897" s="2" t="n">
        <v>43213.11565972222</v>
      </c>
      <c r="C1897" t="n">
        <v>0</v>
      </c>
      <c r="D1897" t="n">
        <v>0</v>
      </c>
      <c r="E1897" t="s">
        <v>1906</v>
      </c>
      <c r="F1897" t="s"/>
      <c r="G1897" t="s"/>
      <c r="H1897" t="s"/>
      <c r="I1897" t="s"/>
      <c r="J1897" t="n">
        <v>0</v>
      </c>
      <c r="K1897" t="n">
        <v>0</v>
      </c>
      <c r="L1897" t="n">
        <v>1</v>
      </c>
      <c r="M1897" t="n">
        <v>0</v>
      </c>
    </row>
    <row r="1898" spans="1:13">
      <c r="A1898" s="1">
        <f>HYPERLINK("http://www.twitter.com/NathanBLawrence/status/988246453414965248", "988246453414965248")</f>
        <v/>
      </c>
      <c r="B1898" s="2" t="n">
        <v>43213.1121412037</v>
      </c>
      <c r="C1898" t="n">
        <v>0</v>
      </c>
      <c r="D1898" t="n">
        <v>0</v>
      </c>
      <c r="E1898" t="s">
        <v>1907</v>
      </c>
      <c r="F1898" t="s"/>
      <c r="G1898" t="s"/>
      <c r="H1898" t="s"/>
      <c r="I1898" t="s"/>
      <c r="J1898" t="n">
        <v>-0.5719</v>
      </c>
      <c r="K1898" t="n">
        <v>0.251</v>
      </c>
      <c r="L1898" t="n">
        <v>0.749</v>
      </c>
      <c r="M1898" t="n">
        <v>0</v>
      </c>
    </row>
    <row r="1899" spans="1:13">
      <c r="A1899" s="1">
        <f>HYPERLINK("http://www.twitter.com/NathanBLawrence/status/988242367529578496", "988242367529578496")</f>
        <v/>
      </c>
      <c r="B1899" s="2" t="n">
        <v>43213.10086805555</v>
      </c>
      <c r="C1899" t="n">
        <v>0</v>
      </c>
      <c r="D1899" t="n">
        <v>11</v>
      </c>
      <c r="E1899" t="s">
        <v>1908</v>
      </c>
      <c r="F1899">
        <f>HYPERLINK("http://pbs.twimg.com/media/DbbwoSAW0AU0VLA.jpg", "http://pbs.twimg.com/media/DbbwoSAW0AU0VLA.jpg")</f>
        <v/>
      </c>
      <c r="G1899" t="s"/>
      <c r="H1899" t="s"/>
      <c r="I1899" t="s"/>
      <c r="J1899" t="n">
        <v>0.8201000000000001</v>
      </c>
      <c r="K1899" t="n">
        <v>0</v>
      </c>
      <c r="L1899" t="n">
        <v>0.643</v>
      </c>
      <c r="M1899" t="n">
        <v>0.357</v>
      </c>
    </row>
    <row r="1900" spans="1:13">
      <c r="A1900" s="1">
        <f>HYPERLINK("http://www.twitter.com/NathanBLawrence/status/988241688589230080", "988241688589230080")</f>
        <v/>
      </c>
      <c r="B1900" s="2" t="n">
        <v>43213.09899305556</v>
      </c>
      <c r="C1900" t="n">
        <v>3</v>
      </c>
      <c r="D1900" t="n">
        <v>0</v>
      </c>
      <c r="E1900" t="s">
        <v>1909</v>
      </c>
      <c r="F1900" t="s"/>
      <c r="G1900" t="s"/>
      <c r="H1900" t="s"/>
      <c r="I1900" t="s"/>
      <c r="J1900" t="n">
        <v>-0.5106000000000001</v>
      </c>
      <c r="K1900" t="n">
        <v>0.202</v>
      </c>
      <c r="L1900" t="n">
        <v>0.798</v>
      </c>
      <c r="M1900" t="n">
        <v>0</v>
      </c>
    </row>
    <row r="1901" spans="1:13">
      <c r="A1901" s="1">
        <f>HYPERLINK("http://www.twitter.com/NathanBLawrence/status/988241165748264960", "988241165748264960")</f>
        <v/>
      </c>
      <c r="B1901" s="2" t="n">
        <v>43213.09755787037</v>
      </c>
      <c r="C1901" t="n">
        <v>0</v>
      </c>
      <c r="D1901" t="n">
        <v>4</v>
      </c>
      <c r="E1901" t="s">
        <v>1910</v>
      </c>
      <c r="F1901">
        <f>HYPERLINK("http://pbs.twimg.com/media/DbaT0LbXcAUrepO.jpg", "http://pbs.twimg.com/media/DbaT0LbXcAUrepO.jpg")</f>
        <v/>
      </c>
      <c r="G1901" t="s"/>
      <c r="H1901" t="s"/>
      <c r="I1901" t="s"/>
      <c r="J1901" t="n">
        <v>0.5574</v>
      </c>
      <c r="K1901" t="n">
        <v>0</v>
      </c>
      <c r="L1901" t="n">
        <v>0.796</v>
      </c>
      <c r="M1901" t="n">
        <v>0.204</v>
      </c>
    </row>
    <row r="1902" spans="1:13">
      <c r="A1902" s="1">
        <f>HYPERLINK("http://www.twitter.com/NathanBLawrence/status/988240917474807808", "988240917474807808")</f>
        <v/>
      </c>
      <c r="B1902" s="2" t="n">
        <v>43213.096875</v>
      </c>
      <c r="C1902" t="n">
        <v>3</v>
      </c>
      <c r="D1902" t="n">
        <v>0</v>
      </c>
      <c r="E1902" t="s">
        <v>1911</v>
      </c>
      <c r="F1902" t="s"/>
      <c r="G1902" t="s"/>
      <c r="H1902" t="s"/>
      <c r="I1902" t="s"/>
      <c r="J1902" t="n">
        <v>0</v>
      </c>
      <c r="K1902" t="n">
        <v>0</v>
      </c>
      <c r="L1902" t="n">
        <v>1</v>
      </c>
      <c r="M1902" t="n">
        <v>0</v>
      </c>
    </row>
    <row r="1903" spans="1:13">
      <c r="A1903" s="1">
        <f>HYPERLINK("http://www.twitter.com/NathanBLawrence/status/988237543689916416", "988237543689916416")</f>
        <v/>
      </c>
      <c r="B1903" s="2" t="n">
        <v>43213.08755787037</v>
      </c>
      <c r="C1903" t="n">
        <v>0</v>
      </c>
      <c r="D1903" t="n">
        <v>30</v>
      </c>
      <c r="E1903" t="s">
        <v>1912</v>
      </c>
      <c r="F1903" t="s"/>
      <c r="G1903" t="s"/>
      <c r="H1903" t="s"/>
      <c r="I1903" t="s"/>
      <c r="J1903" t="n">
        <v>0</v>
      </c>
      <c r="K1903" t="n">
        <v>0</v>
      </c>
      <c r="L1903" t="n">
        <v>1</v>
      </c>
      <c r="M1903" t="n">
        <v>0</v>
      </c>
    </row>
    <row r="1904" spans="1:13">
      <c r="A1904" s="1">
        <f>HYPERLINK("http://www.twitter.com/NathanBLawrence/status/988235796116320256", "988235796116320256")</f>
        <v/>
      </c>
      <c r="B1904" s="2" t="n">
        <v>43213.08273148148</v>
      </c>
      <c r="C1904" t="n">
        <v>1</v>
      </c>
      <c r="D1904" t="n">
        <v>1</v>
      </c>
      <c r="E1904" t="s">
        <v>1913</v>
      </c>
      <c r="F1904" t="s"/>
      <c r="G1904" t="s"/>
      <c r="H1904" t="s"/>
      <c r="I1904" t="s"/>
      <c r="J1904" t="n">
        <v>0</v>
      </c>
      <c r="K1904" t="n">
        <v>0</v>
      </c>
      <c r="L1904" t="n">
        <v>1</v>
      </c>
      <c r="M1904" t="n">
        <v>0</v>
      </c>
    </row>
    <row r="1905" spans="1:13">
      <c r="A1905" s="1">
        <f>HYPERLINK("http://www.twitter.com/NathanBLawrence/status/988235059755995136", "988235059755995136")</f>
        <v/>
      </c>
      <c r="B1905" s="2" t="n">
        <v>43213.08070601852</v>
      </c>
      <c r="C1905" t="n">
        <v>0</v>
      </c>
      <c r="D1905" t="n">
        <v>5</v>
      </c>
      <c r="E1905" t="s">
        <v>1914</v>
      </c>
      <c r="F1905" t="s"/>
      <c r="G1905" t="s"/>
      <c r="H1905" t="s"/>
      <c r="I1905" t="s"/>
      <c r="J1905" t="n">
        <v>0.6696</v>
      </c>
      <c r="K1905" t="n">
        <v>0</v>
      </c>
      <c r="L1905" t="n">
        <v>0.6860000000000001</v>
      </c>
      <c r="M1905" t="n">
        <v>0.314</v>
      </c>
    </row>
    <row r="1906" spans="1:13">
      <c r="A1906" s="1">
        <f>HYPERLINK("http://www.twitter.com/NathanBLawrence/status/988234128431681536", "988234128431681536")</f>
        <v/>
      </c>
      <c r="B1906" s="2" t="n">
        <v>43213.07813657408</v>
      </c>
      <c r="C1906" t="n">
        <v>1</v>
      </c>
      <c r="D1906" t="n">
        <v>0</v>
      </c>
      <c r="E1906" t="s">
        <v>1915</v>
      </c>
      <c r="F1906" t="s"/>
      <c r="G1906" t="s"/>
      <c r="H1906" t="s"/>
      <c r="I1906" t="s"/>
      <c r="J1906" t="n">
        <v>-0.802</v>
      </c>
      <c r="K1906" t="n">
        <v>0.298</v>
      </c>
      <c r="L1906" t="n">
        <v>0.702</v>
      </c>
      <c r="M1906" t="n">
        <v>0</v>
      </c>
    </row>
    <row r="1907" spans="1:13">
      <c r="A1907" s="1">
        <f>HYPERLINK("http://www.twitter.com/NathanBLawrence/status/988233765611859968", "988233765611859968")</f>
        <v/>
      </c>
      <c r="B1907" s="2" t="n">
        <v>43213.07712962963</v>
      </c>
      <c r="C1907" t="n">
        <v>0</v>
      </c>
      <c r="D1907" t="n">
        <v>12</v>
      </c>
      <c r="E1907" t="s">
        <v>1916</v>
      </c>
      <c r="F1907">
        <f>HYPERLINK("http://pbs.twimg.com/media/DbbchTIUQAAffBe.jpg", "http://pbs.twimg.com/media/DbbchTIUQAAffBe.jpg")</f>
        <v/>
      </c>
      <c r="G1907" t="s"/>
      <c r="H1907" t="s"/>
      <c r="I1907" t="s"/>
      <c r="J1907" t="n">
        <v>0</v>
      </c>
      <c r="K1907" t="n">
        <v>0</v>
      </c>
      <c r="L1907" t="n">
        <v>1</v>
      </c>
      <c r="M1907" t="n">
        <v>0</v>
      </c>
    </row>
    <row r="1908" spans="1:13">
      <c r="A1908" s="1">
        <f>HYPERLINK("http://www.twitter.com/NathanBLawrence/status/988233065301467136", "988233065301467136")</f>
        <v/>
      </c>
      <c r="B1908" s="2" t="n">
        <v>43213.07519675926</v>
      </c>
      <c r="C1908" t="n">
        <v>2</v>
      </c>
      <c r="D1908" t="n">
        <v>0</v>
      </c>
      <c r="E1908" t="s">
        <v>1917</v>
      </c>
      <c r="F1908" t="s"/>
      <c r="G1908" t="s"/>
      <c r="H1908" t="s"/>
      <c r="I1908" t="s"/>
      <c r="J1908" t="n">
        <v>0.4404</v>
      </c>
      <c r="K1908" t="n">
        <v>0</v>
      </c>
      <c r="L1908" t="n">
        <v>0.674</v>
      </c>
      <c r="M1908" t="n">
        <v>0.326</v>
      </c>
    </row>
    <row r="1909" spans="1:13">
      <c r="A1909" s="1">
        <f>HYPERLINK("http://www.twitter.com/NathanBLawrence/status/988232694415929344", "988232694415929344")</f>
        <v/>
      </c>
      <c r="B1909" s="2" t="n">
        <v>43213.07417824074</v>
      </c>
      <c r="C1909" t="n">
        <v>0</v>
      </c>
      <c r="D1909" t="n">
        <v>10</v>
      </c>
      <c r="E1909" t="s">
        <v>1918</v>
      </c>
      <c r="F1909" t="s"/>
      <c r="G1909" t="s"/>
      <c r="H1909" t="s"/>
      <c r="I1909" t="s"/>
      <c r="J1909" t="n">
        <v>0</v>
      </c>
      <c r="K1909" t="n">
        <v>0</v>
      </c>
      <c r="L1909" t="n">
        <v>1</v>
      </c>
      <c r="M1909" t="n">
        <v>0</v>
      </c>
    </row>
    <row r="1910" spans="1:13">
      <c r="A1910" s="1">
        <f>HYPERLINK("http://www.twitter.com/NathanBLawrence/status/988215048144392193", "988215048144392193")</f>
        <v/>
      </c>
      <c r="B1910" s="2" t="n">
        <v>43213.02548611111</v>
      </c>
      <c r="C1910" t="n">
        <v>2</v>
      </c>
      <c r="D1910" t="n">
        <v>2</v>
      </c>
      <c r="E1910" t="s">
        <v>1919</v>
      </c>
      <c r="F1910" t="s"/>
      <c r="G1910" t="s"/>
      <c r="H1910" t="s"/>
      <c r="I1910" t="s"/>
      <c r="J1910" t="n">
        <v>0.3182</v>
      </c>
      <c r="K1910" t="n">
        <v>0</v>
      </c>
      <c r="L1910" t="n">
        <v>0.827</v>
      </c>
      <c r="M1910" t="n">
        <v>0.173</v>
      </c>
    </row>
    <row r="1911" spans="1:13">
      <c r="A1911" s="1">
        <f>HYPERLINK("http://www.twitter.com/NathanBLawrence/status/988199783847391238", "988199783847391238")</f>
        <v/>
      </c>
      <c r="B1911" s="2" t="n">
        <v>43212.98335648148</v>
      </c>
      <c r="C1911" t="n">
        <v>1</v>
      </c>
      <c r="D1911" t="n">
        <v>0</v>
      </c>
      <c r="E1911" t="s">
        <v>1920</v>
      </c>
      <c r="F1911" t="s"/>
      <c r="G1911" t="s"/>
      <c r="H1911" t="s"/>
      <c r="I1911" t="s"/>
      <c r="J1911" t="n">
        <v>0.5106000000000001</v>
      </c>
      <c r="K1911" t="n">
        <v>0.148</v>
      </c>
      <c r="L1911" t="n">
        <v>0.599</v>
      </c>
      <c r="M1911" t="n">
        <v>0.252</v>
      </c>
    </row>
    <row r="1912" spans="1:13">
      <c r="A1912" s="1">
        <f>HYPERLINK("http://www.twitter.com/NathanBLawrence/status/988199297228443654", "988199297228443654")</f>
        <v/>
      </c>
      <c r="B1912" s="2" t="n">
        <v>43212.98201388889</v>
      </c>
      <c r="C1912" t="n">
        <v>0</v>
      </c>
      <c r="D1912" t="n">
        <v>4</v>
      </c>
      <c r="E1912" t="s">
        <v>1921</v>
      </c>
      <c r="F1912">
        <f>HYPERLINK("http://pbs.twimg.com/media/Dba7i1KVAAAL6MT.jpg", "http://pbs.twimg.com/media/Dba7i1KVAAAL6MT.jpg")</f>
        <v/>
      </c>
      <c r="G1912" t="s"/>
      <c r="H1912" t="s"/>
      <c r="I1912" t="s"/>
      <c r="J1912" t="n">
        <v>0</v>
      </c>
      <c r="K1912" t="n">
        <v>0</v>
      </c>
      <c r="L1912" t="n">
        <v>1</v>
      </c>
      <c r="M1912" t="n">
        <v>0</v>
      </c>
    </row>
    <row r="1913" spans="1:13">
      <c r="A1913" s="1">
        <f>HYPERLINK("http://www.twitter.com/NathanBLawrence/status/988198066934165505", "988198066934165505")</f>
        <v/>
      </c>
      <c r="B1913" s="2" t="n">
        <v>43212.97862268519</v>
      </c>
      <c r="C1913" t="n">
        <v>1</v>
      </c>
      <c r="D1913" t="n">
        <v>0</v>
      </c>
      <c r="E1913" t="s">
        <v>1922</v>
      </c>
      <c r="F1913" t="s"/>
      <c r="G1913" t="s"/>
      <c r="H1913" t="s"/>
      <c r="I1913" t="s"/>
      <c r="J1913" t="n">
        <v>0</v>
      </c>
      <c r="K1913" t="n">
        <v>0</v>
      </c>
      <c r="L1913" t="n">
        <v>1</v>
      </c>
      <c r="M1913" t="n">
        <v>0</v>
      </c>
    </row>
    <row r="1914" spans="1:13">
      <c r="A1914" s="1">
        <f>HYPERLINK("http://www.twitter.com/NathanBLawrence/status/988197213821128704", "988197213821128704")</f>
        <v/>
      </c>
      <c r="B1914" s="2" t="n">
        <v>43212.97627314815</v>
      </c>
      <c r="C1914" t="n">
        <v>0</v>
      </c>
      <c r="D1914" t="n">
        <v>6</v>
      </c>
      <c r="E1914" t="s">
        <v>1923</v>
      </c>
      <c r="F1914">
        <f>HYPERLINK("http://pbs.twimg.com/media/DbbGLTDW4AAXXbF.jpg", "http://pbs.twimg.com/media/DbbGLTDW4AAXXbF.jpg")</f>
        <v/>
      </c>
      <c r="G1914" t="s"/>
      <c r="H1914" t="s"/>
      <c r="I1914" t="s"/>
      <c r="J1914" t="n">
        <v>-0.802</v>
      </c>
      <c r="K1914" t="n">
        <v>0.444</v>
      </c>
      <c r="L1914" t="n">
        <v>0.556</v>
      </c>
      <c r="M1914" t="n">
        <v>0</v>
      </c>
    </row>
    <row r="1915" spans="1:13">
      <c r="A1915" s="1">
        <f>HYPERLINK("http://www.twitter.com/NathanBLawrence/status/988194415129882624", "988194415129882624")</f>
        <v/>
      </c>
      <c r="B1915" s="2" t="n">
        <v>43212.96854166667</v>
      </c>
      <c r="C1915" t="n">
        <v>0</v>
      </c>
      <c r="D1915" t="n">
        <v>23</v>
      </c>
      <c r="E1915" t="s">
        <v>1924</v>
      </c>
      <c r="F1915">
        <f>HYPERLINK("http://pbs.twimg.com/media/DbbCsqXV4AANQMU.jpg", "http://pbs.twimg.com/media/DbbCsqXV4AANQMU.jpg")</f>
        <v/>
      </c>
      <c r="G1915">
        <f>HYPERLINK("http://pbs.twimg.com/media/DbbCtMOVMAADgaj.jpg", "http://pbs.twimg.com/media/DbbCtMOVMAADgaj.jpg")</f>
        <v/>
      </c>
      <c r="H1915" t="s"/>
      <c r="I1915" t="s"/>
      <c r="J1915" t="n">
        <v>-0.8126</v>
      </c>
      <c r="K1915" t="n">
        <v>0.28</v>
      </c>
      <c r="L1915" t="n">
        <v>0.72</v>
      </c>
      <c r="M1915" t="n">
        <v>0</v>
      </c>
    </row>
    <row r="1916" spans="1:13">
      <c r="A1916" s="1">
        <f>HYPERLINK("http://www.twitter.com/NathanBLawrence/status/988183441077407745", "988183441077407745")</f>
        <v/>
      </c>
      <c r="B1916" s="2" t="n">
        <v>43212.93826388889</v>
      </c>
      <c r="C1916" t="n">
        <v>1</v>
      </c>
      <c r="D1916" t="n">
        <v>0</v>
      </c>
      <c r="E1916" t="s">
        <v>1925</v>
      </c>
      <c r="F1916" t="s"/>
      <c r="G1916" t="s"/>
      <c r="H1916" t="s"/>
      <c r="I1916" t="s"/>
      <c r="J1916" t="n">
        <v>0.4939</v>
      </c>
      <c r="K1916" t="n">
        <v>0</v>
      </c>
      <c r="L1916" t="n">
        <v>0.61</v>
      </c>
      <c r="M1916" t="n">
        <v>0.39</v>
      </c>
    </row>
    <row r="1917" spans="1:13">
      <c r="A1917" s="1">
        <f>HYPERLINK("http://www.twitter.com/NathanBLawrence/status/988176073790812161", "988176073790812161")</f>
        <v/>
      </c>
      <c r="B1917" s="2" t="n">
        <v>43212.91793981481</v>
      </c>
      <c r="C1917" t="n">
        <v>1</v>
      </c>
      <c r="D1917" t="n">
        <v>0</v>
      </c>
      <c r="E1917" t="s">
        <v>1926</v>
      </c>
      <c r="F1917" t="s"/>
      <c r="G1917" t="s"/>
      <c r="H1917" t="s"/>
      <c r="I1917" t="s"/>
      <c r="J1917" t="n">
        <v>0</v>
      </c>
      <c r="K1917" t="n">
        <v>0</v>
      </c>
      <c r="L1917" t="n">
        <v>1</v>
      </c>
      <c r="M1917" t="n">
        <v>0</v>
      </c>
    </row>
    <row r="1918" spans="1:13">
      <c r="A1918" s="1">
        <f>HYPERLINK("http://www.twitter.com/NathanBLawrence/status/988173770757099522", "988173770757099522")</f>
        <v/>
      </c>
      <c r="B1918" s="2" t="n">
        <v>43212.91157407407</v>
      </c>
      <c r="C1918" t="n">
        <v>14</v>
      </c>
      <c r="D1918" t="n">
        <v>8</v>
      </c>
      <c r="E1918" t="s">
        <v>1927</v>
      </c>
      <c r="F1918" t="s"/>
      <c r="G1918" t="s"/>
      <c r="H1918" t="s"/>
      <c r="I1918" t="s"/>
      <c r="J1918" t="n">
        <v>-0.6808</v>
      </c>
      <c r="K1918" t="n">
        <v>0.187</v>
      </c>
      <c r="L1918" t="n">
        <v>0.707</v>
      </c>
      <c r="M1918" t="n">
        <v>0.106</v>
      </c>
    </row>
    <row r="1919" spans="1:13">
      <c r="A1919" s="1">
        <f>HYPERLINK("http://www.twitter.com/NathanBLawrence/status/988172149243473920", "988172149243473920")</f>
        <v/>
      </c>
      <c r="B1919" s="2" t="n">
        <v>43212.90710648148</v>
      </c>
      <c r="C1919" t="n">
        <v>1</v>
      </c>
      <c r="D1919" t="n">
        <v>0</v>
      </c>
      <c r="E1919" t="s">
        <v>1928</v>
      </c>
      <c r="F1919" t="s"/>
      <c r="G1919" t="s"/>
      <c r="H1919" t="s"/>
      <c r="I1919" t="s"/>
      <c r="J1919" t="n">
        <v>0</v>
      </c>
      <c r="K1919" t="n">
        <v>0</v>
      </c>
      <c r="L1919" t="n">
        <v>1</v>
      </c>
      <c r="M1919" t="n">
        <v>0</v>
      </c>
    </row>
    <row r="1920" spans="1:13">
      <c r="A1920" s="1">
        <f>HYPERLINK("http://www.twitter.com/NathanBLawrence/status/988171517774172161", "988171517774172161")</f>
        <v/>
      </c>
      <c r="B1920" s="2" t="n">
        <v>43212.9053587963</v>
      </c>
      <c r="C1920" t="n">
        <v>0</v>
      </c>
      <c r="D1920" t="n">
        <v>0</v>
      </c>
      <c r="E1920" t="s">
        <v>1929</v>
      </c>
      <c r="F1920" t="s"/>
      <c r="G1920" t="s"/>
      <c r="H1920" t="s"/>
      <c r="I1920" t="s"/>
      <c r="J1920" t="n">
        <v>-0.4404</v>
      </c>
      <c r="K1920" t="n">
        <v>0.131</v>
      </c>
      <c r="L1920" t="n">
        <v>0.8169999999999999</v>
      </c>
      <c r="M1920" t="n">
        <v>0.052</v>
      </c>
    </row>
    <row r="1921" spans="1:13">
      <c r="A1921" s="1">
        <f>HYPERLINK("http://www.twitter.com/NathanBLawrence/status/988170459853271046", "988170459853271046")</f>
        <v/>
      </c>
      <c r="B1921" s="2" t="n">
        <v>43212.90244212963</v>
      </c>
      <c r="C1921" t="n">
        <v>0</v>
      </c>
      <c r="D1921" t="n">
        <v>0</v>
      </c>
      <c r="E1921" t="s">
        <v>1930</v>
      </c>
      <c r="F1921" t="s"/>
      <c r="G1921" t="s"/>
      <c r="H1921" t="s"/>
      <c r="I1921" t="s"/>
      <c r="J1921" t="n">
        <v>0.7346</v>
      </c>
      <c r="K1921" t="n">
        <v>0</v>
      </c>
      <c r="L1921" t="n">
        <v>0.5639999999999999</v>
      </c>
      <c r="M1921" t="n">
        <v>0.436</v>
      </c>
    </row>
    <row r="1922" spans="1:13">
      <c r="A1922" s="1">
        <f>HYPERLINK("http://www.twitter.com/NathanBLawrence/status/988167587161890821", "988167587161890821")</f>
        <v/>
      </c>
      <c r="B1922" s="2" t="n">
        <v>43212.89451388889</v>
      </c>
      <c r="C1922" t="n">
        <v>0</v>
      </c>
      <c r="D1922" t="n">
        <v>8</v>
      </c>
      <c r="E1922" t="s">
        <v>1931</v>
      </c>
      <c r="F1922" t="s"/>
      <c r="G1922" t="s"/>
      <c r="H1922" t="s"/>
      <c r="I1922" t="s"/>
      <c r="J1922" t="n">
        <v>-0.5707</v>
      </c>
      <c r="K1922" t="n">
        <v>0.198</v>
      </c>
      <c r="L1922" t="n">
        <v>0.802</v>
      </c>
      <c r="M1922" t="n">
        <v>0</v>
      </c>
    </row>
    <row r="1923" spans="1:13">
      <c r="A1923" s="1">
        <f>HYPERLINK("http://www.twitter.com/NathanBLawrence/status/988167490525114369", "988167490525114369")</f>
        <v/>
      </c>
      <c r="B1923" s="2" t="n">
        <v>43212.89424768519</v>
      </c>
      <c r="C1923" t="n">
        <v>1</v>
      </c>
      <c r="D1923" t="n">
        <v>0</v>
      </c>
      <c r="E1923" t="s">
        <v>1932</v>
      </c>
      <c r="F1923" t="s"/>
      <c r="G1923" t="s"/>
      <c r="H1923" t="s"/>
      <c r="I1923" t="s"/>
      <c r="J1923" t="n">
        <v>-0.3412</v>
      </c>
      <c r="K1923" t="n">
        <v>0.223</v>
      </c>
      <c r="L1923" t="n">
        <v>0.587</v>
      </c>
      <c r="M1923" t="n">
        <v>0.19</v>
      </c>
    </row>
    <row r="1924" spans="1:13">
      <c r="A1924" s="1">
        <f>HYPERLINK("http://www.twitter.com/NathanBLawrence/status/988147535909916672", "988147535909916672")</f>
        <v/>
      </c>
      <c r="B1924" s="2" t="n">
        <v>43212.83918981482</v>
      </c>
      <c r="C1924" t="n">
        <v>2</v>
      </c>
      <c r="D1924" t="n">
        <v>0</v>
      </c>
      <c r="E1924" t="s">
        <v>1933</v>
      </c>
      <c r="F1924" t="s"/>
      <c r="G1924" t="s"/>
      <c r="H1924" t="s"/>
      <c r="I1924" t="s"/>
      <c r="J1924" t="n">
        <v>0.1531</v>
      </c>
      <c r="K1924" t="n">
        <v>0</v>
      </c>
      <c r="L1924" t="n">
        <v>0.849</v>
      </c>
      <c r="M1924" t="n">
        <v>0.151</v>
      </c>
    </row>
    <row r="1925" spans="1:13">
      <c r="A1925" s="1">
        <f>HYPERLINK("http://www.twitter.com/NathanBLawrence/status/988130502279417856", "988130502279417856")</f>
        <v/>
      </c>
      <c r="B1925" s="2" t="n">
        <v>43212.79217592593</v>
      </c>
      <c r="C1925" t="n">
        <v>1</v>
      </c>
      <c r="D1925" t="n">
        <v>0</v>
      </c>
      <c r="E1925" t="s">
        <v>1934</v>
      </c>
      <c r="F1925" t="s"/>
      <c r="G1925" t="s"/>
      <c r="H1925" t="s"/>
      <c r="I1925" t="s"/>
      <c r="J1925" t="n">
        <v>0.3612</v>
      </c>
      <c r="K1925" t="n">
        <v>0</v>
      </c>
      <c r="L1925" t="n">
        <v>0.762</v>
      </c>
      <c r="M1925" t="n">
        <v>0.238</v>
      </c>
    </row>
    <row r="1926" spans="1:13">
      <c r="A1926" s="1">
        <f>HYPERLINK("http://www.twitter.com/NathanBLawrence/status/988119619130019841", "988119619130019841")</f>
        <v/>
      </c>
      <c r="B1926" s="2" t="n">
        <v>43212.76215277778</v>
      </c>
      <c r="C1926" t="n">
        <v>0</v>
      </c>
      <c r="D1926" t="n">
        <v>0</v>
      </c>
      <c r="E1926" t="s">
        <v>1935</v>
      </c>
      <c r="F1926" t="s"/>
      <c r="G1926" t="s"/>
      <c r="H1926" t="s"/>
      <c r="I1926" t="s"/>
      <c r="J1926" t="n">
        <v>-0.8401999999999999</v>
      </c>
      <c r="K1926" t="n">
        <v>0.248</v>
      </c>
      <c r="L1926" t="n">
        <v>0.702</v>
      </c>
      <c r="M1926" t="n">
        <v>0.05</v>
      </c>
    </row>
    <row r="1927" spans="1:13">
      <c r="A1927" s="1">
        <f>HYPERLINK("http://www.twitter.com/NathanBLawrence/status/988114022611341312", "988114022611341312")</f>
        <v/>
      </c>
      <c r="B1927" s="2" t="n">
        <v>43212.74670138889</v>
      </c>
      <c r="C1927" t="n">
        <v>0</v>
      </c>
      <c r="D1927" t="n">
        <v>8</v>
      </c>
      <c r="E1927" t="s">
        <v>1936</v>
      </c>
      <c r="F1927" t="s"/>
      <c r="G1927" t="s"/>
      <c r="H1927" t="s"/>
      <c r="I1927" t="s"/>
      <c r="J1927" t="n">
        <v>0</v>
      </c>
      <c r="K1927" t="n">
        <v>0</v>
      </c>
      <c r="L1927" t="n">
        <v>1</v>
      </c>
      <c r="M1927" t="n">
        <v>0</v>
      </c>
    </row>
    <row r="1928" spans="1:13">
      <c r="A1928" s="1">
        <f>HYPERLINK("http://www.twitter.com/NathanBLawrence/status/988107296541696000", "988107296541696000")</f>
        <v/>
      </c>
      <c r="B1928" s="2" t="n">
        <v>43212.72814814815</v>
      </c>
      <c r="C1928" t="n">
        <v>0</v>
      </c>
      <c r="D1928" t="n">
        <v>0</v>
      </c>
      <c r="E1928" t="s">
        <v>1937</v>
      </c>
      <c r="F1928" t="s"/>
      <c r="G1928" t="s"/>
      <c r="H1928" t="s"/>
      <c r="I1928" t="s"/>
      <c r="J1928" t="n">
        <v>-0.3182</v>
      </c>
      <c r="K1928" t="n">
        <v>0.15</v>
      </c>
      <c r="L1928" t="n">
        <v>0.85</v>
      </c>
      <c r="M1928" t="n">
        <v>0</v>
      </c>
    </row>
    <row r="1929" spans="1:13">
      <c r="A1929" s="1">
        <f>HYPERLINK("http://www.twitter.com/NathanBLawrence/status/988106941648994304", "988106941648994304")</f>
        <v/>
      </c>
      <c r="B1929" s="2" t="n">
        <v>43212.72716435185</v>
      </c>
      <c r="C1929" t="n">
        <v>0</v>
      </c>
      <c r="D1929" t="n">
        <v>2</v>
      </c>
      <c r="E1929" t="s">
        <v>1938</v>
      </c>
      <c r="F1929" t="s"/>
      <c r="G1929" t="s"/>
      <c r="H1929" t="s"/>
      <c r="I1929" t="s"/>
      <c r="J1929" t="n">
        <v>0.2714</v>
      </c>
      <c r="K1929" t="n">
        <v>0</v>
      </c>
      <c r="L1929" t="n">
        <v>0.913</v>
      </c>
      <c r="M1929" t="n">
        <v>0.08699999999999999</v>
      </c>
    </row>
    <row r="1930" spans="1:13">
      <c r="A1930" s="1">
        <f>HYPERLINK("http://www.twitter.com/NathanBLawrence/status/988106411799392256", "988106411799392256")</f>
        <v/>
      </c>
      <c r="B1930" s="2" t="n">
        <v>43212.72570601852</v>
      </c>
      <c r="C1930" t="n">
        <v>0</v>
      </c>
      <c r="D1930" t="n">
        <v>17</v>
      </c>
      <c r="E1930" t="s">
        <v>1939</v>
      </c>
      <c r="F1930" t="s"/>
      <c r="G1930" t="s"/>
      <c r="H1930" t="s"/>
      <c r="I1930" t="s"/>
      <c r="J1930" t="n">
        <v>0.6705</v>
      </c>
      <c r="K1930" t="n">
        <v>0</v>
      </c>
      <c r="L1930" t="n">
        <v>0.776</v>
      </c>
      <c r="M1930" t="n">
        <v>0.224</v>
      </c>
    </row>
    <row r="1931" spans="1:13">
      <c r="A1931" s="1">
        <f>HYPERLINK("http://www.twitter.com/NathanBLawrence/status/988106393420009473", "988106393420009473")</f>
        <v/>
      </c>
      <c r="B1931" s="2" t="n">
        <v>43212.72564814815</v>
      </c>
      <c r="C1931" t="n">
        <v>2</v>
      </c>
      <c r="D1931" t="n">
        <v>0</v>
      </c>
      <c r="E1931" t="s">
        <v>1940</v>
      </c>
      <c r="F1931" t="s"/>
      <c r="G1931" t="s"/>
      <c r="H1931" t="s"/>
      <c r="I1931" t="s"/>
      <c r="J1931" t="n">
        <v>0.6369</v>
      </c>
      <c r="K1931" t="n">
        <v>0</v>
      </c>
      <c r="L1931" t="n">
        <v>0.588</v>
      </c>
      <c r="M1931" t="n">
        <v>0.412</v>
      </c>
    </row>
    <row r="1932" spans="1:13">
      <c r="A1932" s="1">
        <f>HYPERLINK("http://www.twitter.com/NathanBLawrence/status/988106238260142080", "988106238260142080")</f>
        <v/>
      </c>
      <c r="B1932" s="2" t="n">
        <v>43212.72521990741</v>
      </c>
      <c r="C1932" t="n">
        <v>3</v>
      </c>
      <c r="D1932" t="n">
        <v>2</v>
      </c>
      <c r="E1932" t="s">
        <v>1941</v>
      </c>
      <c r="F1932" t="s"/>
      <c r="G1932" t="s"/>
      <c r="H1932" t="s"/>
      <c r="I1932" t="s"/>
      <c r="J1932" t="n">
        <v>-0.5266999999999999</v>
      </c>
      <c r="K1932" t="n">
        <v>0.175</v>
      </c>
      <c r="L1932" t="n">
        <v>0.825</v>
      </c>
      <c r="M1932" t="n">
        <v>0</v>
      </c>
    </row>
    <row r="1933" spans="1:13">
      <c r="A1933" s="1">
        <f>HYPERLINK("http://www.twitter.com/NathanBLawrence/status/988104450257637376", "988104450257637376")</f>
        <v/>
      </c>
      <c r="B1933" s="2" t="n">
        <v>43212.72028935186</v>
      </c>
      <c r="C1933" t="n">
        <v>0</v>
      </c>
      <c r="D1933" t="n">
        <v>3</v>
      </c>
      <c r="E1933" t="s">
        <v>1942</v>
      </c>
      <c r="F1933" t="s"/>
      <c r="G1933" t="s"/>
      <c r="H1933" t="s"/>
      <c r="I1933" t="s"/>
      <c r="J1933" t="n">
        <v>-0.6486</v>
      </c>
      <c r="K1933" t="n">
        <v>0.323</v>
      </c>
      <c r="L1933" t="n">
        <v>0.677</v>
      </c>
      <c r="M1933" t="n">
        <v>0</v>
      </c>
    </row>
    <row r="1934" spans="1:13">
      <c r="A1934" s="1">
        <f>HYPERLINK("http://www.twitter.com/NathanBLawrence/status/988104417193943041", "988104417193943041")</f>
        <v/>
      </c>
      <c r="B1934" s="2" t="n">
        <v>43212.72019675926</v>
      </c>
      <c r="C1934" t="n">
        <v>0</v>
      </c>
      <c r="D1934" t="n">
        <v>1</v>
      </c>
      <c r="E1934" t="s">
        <v>1943</v>
      </c>
      <c r="F1934" t="s"/>
      <c r="G1934" t="s"/>
      <c r="H1934" t="s"/>
      <c r="I1934" t="s"/>
      <c r="J1934" t="n">
        <v>-0.4215</v>
      </c>
      <c r="K1934" t="n">
        <v>0.359</v>
      </c>
      <c r="L1934" t="n">
        <v>0.641</v>
      </c>
      <c r="M1934" t="n">
        <v>0</v>
      </c>
    </row>
    <row r="1935" spans="1:13">
      <c r="A1935" s="1">
        <f>HYPERLINK("http://www.twitter.com/NathanBLawrence/status/988103751633432577", "988103751633432577")</f>
        <v/>
      </c>
      <c r="B1935" s="2" t="n">
        <v>43212.71836805555</v>
      </c>
      <c r="C1935" t="n">
        <v>12</v>
      </c>
      <c r="D1935" t="n">
        <v>9</v>
      </c>
      <c r="E1935" t="s">
        <v>1944</v>
      </c>
      <c r="F1935" t="s"/>
      <c r="G1935" t="s"/>
      <c r="H1935" t="s"/>
      <c r="I1935" t="s"/>
      <c r="J1935" t="n">
        <v>-0.7544999999999999</v>
      </c>
      <c r="K1935" t="n">
        <v>0.219</v>
      </c>
      <c r="L1935" t="n">
        <v>0.781</v>
      </c>
      <c r="M1935" t="n">
        <v>0</v>
      </c>
    </row>
    <row r="1936" spans="1:13">
      <c r="A1936" s="1">
        <f>HYPERLINK("http://www.twitter.com/NathanBLawrence/status/988102953335709699", "988102953335709699")</f>
        <v/>
      </c>
      <c r="B1936" s="2" t="n">
        <v>43212.71615740741</v>
      </c>
      <c r="C1936" t="n">
        <v>0</v>
      </c>
      <c r="D1936" t="n">
        <v>9</v>
      </c>
      <c r="E1936" t="s">
        <v>1945</v>
      </c>
      <c r="F1936">
        <f>HYPERLINK("http://pbs.twimg.com/media/DbZx4fSXUAMFCuK.jpg", "http://pbs.twimg.com/media/DbZx4fSXUAMFCuK.jpg")</f>
        <v/>
      </c>
      <c r="G1936" t="s"/>
      <c r="H1936" t="s"/>
      <c r="I1936" t="s"/>
      <c r="J1936" t="n">
        <v>-0.4404</v>
      </c>
      <c r="K1936" t="n">
        <v>0.172</v>
      </c>
      <c r="L1936" t="n">
        <v>0.828</v>
      </c>
      <c r="M1936" t="n">
        <v>0</v>
      </c>
    </row>
    <row r="1937" spans="1:13">
      <c r="A1937" s="1">
        <f>HYPERLINK("http://www.twitter.com/NathanBLawrence/status/988102696442957824", "988102696442957824")</f>
        <v/>
      </c>
      <c r="B1937" s="2" t="n">
        <v>43212.71545138889</v>
      </c>
      <c r="C1937" t="n">
        <v>0</v>
      </c>
      <c r="D1937" t="n">
        <v>0</v>
      </c>
      <c r="E1937" t="s">
        <v>1946</v>
      </c>
      <c r="F1937" t="s"/>
      <c r="G1937" t="s"/>
      <c r="H1937" t="s"/>
      <c r="I1937" t="s"/>
      <c r="J1937" t="n">
        <v>-0</v>
      </c>
      <c r="K1937" t="n">
        <v>0.114</v>
      </c>
      <c r="L1937" t="n">
        <v>0.802</v>
      </c>
      <c r="M1937" t="n">
        <v>0.083</v>
      </c>
    </row>
    <row r="1938" spans="1:13">
      <c r="A1938" s="1">
        <f>HYPERLINK("http://www.twitter.com/NathanBLawrence/status/988100333179109376", "988100333179109376")</f>
        <v/>
      </c>
      <c r="B1938" s="2" t="n">
        <v>43212.70893518518</v>
      </c>
      <c r="C1938" t="n">
        <v>5</v>
      </c>
      <c r="D1938" t="n">
        <v>2</v>
      </c>
      <c r="E1938" t="s">
        <v>1947</v>
      </c>
      <c r="F1938" t="s"/>
      <c r="G1938" t="s"/>
      <c r="H1938" t="s"/>
      <c r="I1938" t="s"/>
      <c r="J1938" t="n">
        <v>-0.1027</v>
      </c>
      <c r="K1938" t="n">
        <v>0.06900000000000001</v>
      </c>
      <c r="L1938" t="n">
        <v>0.875</v>
      </c>
      <c r="M1938" t="n">
        <v>0.056</v>
      </c>
    </row>
    <row r="1939" spans="1:13">
      <c r="A1939" s="1">
        <f>HYPERLINK("http://www.twitter.com/NathanBLawrence/status/988098608661745665", "988098608661745665")</f>
        <v/>
      </c>
      <c r="B1939" s="2" t="n">
        <v>43212.70416666667</v>
      </c>
      <c r="C1939" t="n">
        <v>0</v>
      </c>
      <c r="D1939" t="n">
        <v>22</v>
      </c>
      <c r="E1939" t="s">
        <v>1852</v>
      </c>
      <c r="F1939">
        <f>HYPERLINK("http://pbs.twimg.com/media/DbZtf-jU8AEYMlp.jpg", "http://pbs.twimg.com/media/DbZtf-jU8AEYMlp.jpg")</f>
        <v/>
      </c>
      <c r="G1939" t="s"/>
      <c r="H1939" t="s"/>
      <c r="I1939" t="s"/>
      <c r="J1939" t="n">
        <v>-0.8070000000000001</v>
      </c>
      <c r="K1939" t="n">
        <v>0.328</v>
      </c>
      <c r="L1939" t="n">
        <v>0.672</v>
      </c>
      <c r="M1939" t="n">
        <v>0</v>
      </c>
    </row>
    <row r="1940" spans="1:13">
      <c r="A1940" s="1">
        <f>HYPERLINK("http://www.twitter.com/NathanBLawrence/status/988097526116114432", "988097526116114432")</f>
        <v/>
      </c>
      <c r="B1940" s="2" t="n">
        <v>43212.70118055555</v>
      </c>
      <c r="C1940" t="n">
        <v>0</v>
      </c>
      <c r="D1940" t="n">
        <v>12144</v>
      </c>
      <c r="E1940" t="s">
        <v>1948</v>
      </c>
      <c r="F1940" t="s"/>
      <c r="G1940" t="s"/>
      <c r="H1940" t="s"/>
      <c r="I1940" t="s"/>
      <c r="J1940" t="n">
        <v>-0.4215</v>
      </c>
      <c r="K1940" t="n">
        <v>0.128</v>
      </c>
      <c r="L1940" t="n">
        <v>0.872</v>
      </c>
      <c r="M1940" t="n">
        <v>0</v>
      </c>
    </row>
    <row r="1941" spans="1:13">
      <c r="A1941" s="1">
        <f>HYPERLINK("http://www.twitter.com/NathanBLawrence/status/988087128159670272", "988087128159670272")</f>
        <v/>
      </c>
      <c r="B1941" s="2" t="n">
        <v>43212.67248842592</v>
      </c>
      <c r="C1941" t="n">
        <v>2</v>
      </c>
      <c r="D1941" t="n">
        <v>1</v>
      </c>
      <c r="E1941" t="s">
        <v>1949</v>
      </c>
      <c r="F1941" t="s"/>
      <c r="G1941" t="s"/>
      <c r="H1941" t="s"/>
      <c r="I1941" t="s"/>
      <c r="J1941" t="n">
        <v>0.2856</v>
      </c>
      <c r="K1941" t="n">
        <v>0.077</v>
      </c>
      <c r="L1941" t="n">
        <v>0.825</v>
      </c>
      <c r="M1941" t="n">
        <v>0.098</v>
      </c>
    </row>
    <row r="1942" spans="1:13">
      <c r="A1942" s="1">
        <f>HYPERLINK("http://www.twitter.com/NathanBLawrence/status/988085506633359360", "988085506633359360")</f>
        <v/>
      </c>
      <c r="B1942" s="2" t="n">
        <v>43212.66802083333</v>
      </c>
      <c r="C1942" t="n">
        <v>0</v>
      </c>
      <c r="D1942" t="n">
        <v>12</v>
      </c>
      <c r="E1942" t="s">
        <v>1950</v>
      </c>
      <c r="F1942" t="s"/>
      <c r="G1942" t="s"/>
      <c r="H1942" t="s"/>
      <c r="I1942" t="s"/>
      <c r="J1942" t="n">
        <v>-0.8126</v>
      </c>
      <c r="K1942" t="n">
        <v>0.344</v>
      </c>
      <c r="L1942" t="n">
        <v>0.511</v>
      </c>
      <c r="M1942" t="n">
        <v>0.145</v>
      </c>
    </row>
    <row r="1943" spans="1:13">
      <c r="A1943" s="1">
        <f>HYPERLINK("http://www.twitter.com/NathanBLawrence/status/988078684522401792", "988078684522401792")</f>
        <v/>
      </c>
      <c r="B1943" s="2" t="n">
        <v>43212.64918981482</v>
      </c>
      <c r="C1943" t="n">
        <v>5</v>
      </c>
      <c r="D1943" t="n">
        <v>1</v>
      </c>
      <c r="E1943" t="s">
        <v>1951</v>
      </c>
      <c r="F1943" t="s"/>
      <c r="G1943" t="s"/>
      <c r="H1943" t="s"/>
      <c r="I1943" t="s"/>
      <c r="J1943" t="n">
        <v>0.3612</v>
      </c>
      <c r="K1943" t="n">
        <v>0</v>
      </c>
      <c r="L1943" t="n">
        <v>0.878</v>
      </c>
      <c r="M1943" t="n">
        <v>0.122</v>
      </c>
    </row>
    <row r="1944" spans="1:13">
      <c r="A1944" s="1">
        <f>HYPERLINK("http://www.twitter.com/NathanBLawrence/status/988068969620869120", "988068969620869120")</f>
        <v/>
      </c>
      <c r="B1944" s="2" t="n">
        <v>43212.62238425926</v>
      </c>
      <c r="C1944" t="n">
        <v>0</v>
      </c>
      <c r="D1944" t="n">
        <v>18</v>
      </c>
      <c r="E1944" t="s">
        <v>1952</v>
      </c>
      <c r="F1944" t="s"/>
      <c r="G1944" t="s"/>
      <c r="H1944" t="s"/>
      <c r="I1944" t="s"/>
      <c r="J1944" t="n">
        <v>-0.6486</v>
      </c>
      <c r="K1944" t="n">
        <v>0.238</v>
      </c>
      <c r="L1944" t="n">
        <v>0.762</v>
      </c>
      <c r="M1944" t="n">
        <v>0</v>
      </c>
    </row>
    <row r="1945" spans="1:13">
      <c r="A1945" s="1">
        <f>HYPERLINK("http://www.twitter.com/NathanBLawrence/status/988067925583171589", "988067925583171589")</f>
        <v/>
      </c>
      <c r="B1945" s="2" t="n">
        <v>43212.61950231482</v>
      </c>
      <c r="C1945" t="n">
        <v>2</v>
      </c>
      <c r="D1945" t="n">
        <v>0</v>
      </c>
      <c r="E1945" t="s">
        <v>1953</v>
      </c>
      <c r="F1945" t="s"/>
      <c r="G1945" t="s"/>
      <c r="H1945" t="s"/>
      <c r="I1945" t="s"/>
      <c r="J1945" t="n">
        <v>-0.6369</v>
      </c>
      <c r="K1945" t="n">
        <v>0.208</v>
      </c>
      <c r="L1945" t="n">
        <v>0.792</v>
      </c>
      <c r="M1945" t="n">
        <v>0</v>
      </c>
    </row>
    <row r="1946" spans="1:13">
      <c r="A1946" s="1">
        <f>HYPERLINK("http://www.twitter.com/NathanBLawrence/status/988064246318665729", "988064246318665729")</f>
        <v/>
      </c>
      <c r="B1946" s="2" t="n">
        <v>43212.60935185185</v>
      </c>
      <c r="C1946" t="n">
        <v>0</v>
      </c>
      <c r="D1946" t="n">
        <v>0</v>
      </c>
      <c r="E1946" t="s">
        <v>1954</v>
      </c>
      <c r="F1946" t="s"/>
      <c r="G1946" t="s"/>
      <c r="H1946" t="s"/>
      <c r="I1946" t="s"/>
      <c r="J1946" t="n">
        <v>0.6808</v>
      </c>
      <c r="K1946" t="n">
        <v>0</v>
      </c>
      <c r="L1946" t="n">
        <v>0.833</v>
      </c>
      <c r="M1946" t="n">
        <v>0.167</v>
      </c>
    </row>
    <row r="1947" spans="1:13">
      <c r="A1947" s="1">
        <f>HYPERLINK("http://www.twitter.com/NathanBLawrence/status/988063731547590656", "988063731547590656")</f>
        <v/>
      </c>
      <c r="B1947" s="2" t="n">
        <v>43212.60792824074</v>
      </c>
      <c r="C1947" t="n">
        <v>0</v>
      </c>
      <c r="D1947" t="n">
        <v>13</v>
      </c>
      <c r="E1947" t="s">
        <v>1955</v>
      </c>
      <c r="F1947" t="s"/>
      <c r="G1947" t="s"/>
      <c r="H1947" t="s"/>
      <c r="I1947" t="s"/>
      <c r="J1947" t="n">
        <v>-0.6249</v>
      </c>
      <c r="K1947" t="n">
        <v>0.17</v>
      </c>
      <c r="L1947" t="n">
        <v>0.83</v>
      </c>
      <c r="M1947" t="n">
        <v>0</v>
      </c>
    </row>
    <row r="1948" spans="1:13">
      <c r="A1948" s="1">
        <f>HYPERLINK("http://www.twitter.com/NathanBLawrence/status/988063618183942145", "988063618183942145")</f>
        <v/>
      </c>
      <c r="B1948" s="2" t="n">
        <v>43212.60761574074</v>
      </c>
      <c r="C1948" t="n">
        <v>0</v>
      </c>
      <c r="D1948" t="n">
        <v>1</v>
      </c>
      <c r="E1948" t="s">
        <v>1956</v>
      </c>
      <c r="F1948" t="s"/>
      <c r="G1948" t="s"/>
      <c r="H1948" t="s"/>
      <c r="I1948" t="s"/>
      <c r="J1948" t="n">
        <v>0</v>
      </c>
      <c r="K1948" t="n">
        <v>0</v>
      </c>
      <c r="L1948" t="n">
        <v>1</v>
      </c>
      <c r="M1948" t="n">
        <v>0</v>
      </c>
    </row>
    <row r="1949" spans="1:13">
      <c r="A1949" s="1">
        <f>HYPERLINK("http://www.twitter.com/NathanBLawrence/status/988062365181759490", "988062365181759490")</f>
        <v/>
      </c>
      <c r="B1949" s="2" t="n">
        <v>43212.60415509259</v>
      </c>
      <c r="C1949" t="n">
        <v>2</v>
      </c>
      <c r="D1949" t="n">
        <v>1</v>
      </c>
      <c r="E1949" t="s">
        <v>1957</v>
      </c>
      <c r="F1949">
        <f>HYPERLINK("http://pbs.twimg.com/media/DbZNemXV4AA_GpZ.jpg", "http://pbs.twimg.com/media/DbZNemXV4AA_GpZ.jpg")</f>
        <v/>
      </c>
      <c r="G1949" t="s"/>
      <c r="H1949" t="s"/>
      <c r="I1949" t="s"/>
      <c r="J1949" t="n">
        <v>-0.4767</v>
      </c>
      <c r="K1949" t="n">
        <v>0.14</v>
      </c>
      <c r="L1949" t="n">
        <v>0.86</v>
      </c>
      <c r="M1949" t="n">
        <v>0</v>
      </c>
    </row>
    <row r="1950" spans="1:13">
      <c r="A1950" s="1">
        <f>HYPERLINK("http://www.twitter.com/NathanBLawrence/status/988062083999821825", "988062083999821825")</f>
        <v/>
      </c>
      <c r="B1950" s="2" t="n">
        <v>43212.60337962963</v>
      </c>
      <c r="C1950" t="n">
        <v>1</v>
      </c>
      <c r="D1950" t="n">
        <v>0</v>
      </c>
      <c r="E1950" t="s">
        <v>1958</v>
      </c>
      <c r="F1950" t="s"/>
      <c r="G1950" t="s"/>
      <c r="H1950" t="s"/>
      <c r="I1950" t="s"/>
      <c r="J1950" t="n">
        <v>0</v>
      </c>
      <c r="K1950" t="n">
        <v>0</v>
      </c>
      <c r="L1950" t="n">
        <v>1</v>
      </c>
      <c r="M1950" t="n">
        <v>0</v>
      </c>
    </row>
    <row r="1951" spans="1:13">
      <c r="A1951" s="1">
        <f>HYPERLINK("http://www.twitter.com/NathanBLawrence/status/988051914486157312", "988051914486157312")</f>
        <v/>
      </c>
      <c r="B1951" s="2" t="n">
        <v>43212.57532407407</v>
      </c>
      <c r="C1951" t="n">
        <v>0</v>
      </c>
      <c r="D1951" t="n">
        <v>0</v>
      </c>
      <c r="E1951" t="s">
        <v>1959</v>
      </c>
      <c r="F1951" t="s"/>
      <c r="G1951" t="s"/>
      <c r="H1951" t="s"/>
      <c r="I1951" t="s"/>
      <c r="J1951" t="n">
        <v>-0.4215</v>
      </c>
      <c r="K1951" t="n">
        <v>0.16</v>
      </c>
      <c r="L1951" t="n">
        <v>0.84</v>
      </c>
      <c r="M1951" t="n">
        <v>0</v>
      </c>
    </row>
    <row r="1952" spans="1:13">
      <c r="A1952" s="1">
        <f>HYPERLINK("http://www.twitter.com/NathanBLawrence/status/988049197999034368", "988049197999034368")</f>
        <v/>
      </c>
      <c r="B1952" s="2" t="n">
        <v>43212.56782407407</v>
      </c>
      <c r="C1952" t="n">
        <v>0</v>
      </c>
      <c r="D1952" t="n">
        <v>3</v>
      </c>
      <c r="E1952" t="s">
        <v>1960</v>
      </c>
      <c r="F1952" t="s"/>
      <c r="G1952" t="s"/>
      <c r="H1952" t="s"/>
      <c r="I1952" t="s"/>
      <c r="J1952" t="n">
        <v>-0.5256</v>
      </c>
      <c r="K1952" t="n">
        <v>0.166</v>
      </c>
      <c r="L1952" t="n">
        <v>0.834</v>
      </c>
      <c r="M1952" t="n">
        <v>0</v>
      </c>
    </row>
    <row r="1953" spans="1:13">
      <c r="A1953" s="1">
        <f>HYPERLINK("http://www.twitter.com/NathanBLawrence/status/988049144748171264", "988049144748171264")</f>
        <v/>
      </c>
      <c r="B1953" s="2" t="n">
        <v>43212.56767361111</v>
      </c>
      <c r="C1953" t="n">
        <v>0</v>
      </c>
      <c r="D1953" t="n">
        <v>0</v>
      </c>
      <c r="E1953" t="s">
        <v>1961</v>
      </c>
      <c r="F1953" t="s"/>
      <c r="G1953" t="s"/>
      <c r="H1953" t="s"/>
      <c r="I1953" t="s"/>
      <c r="J1953" t="n">
        <v>0</v>
      </c>
      <c r="K1953" t="n">
        <v>0</v>
      </c>
      <c r="L1953" t="n">
        <v>1</v>
      </c>
      <c r="M1953" t="n">
        <v>0</v>
      </c>
    </row>
    <row r="1954" spans="1:13">
      <c r="A1954" s="1">
        <f>HYPERLINK("http://www.twitter.com/NathanBLawrence/status/988048804598427648", "988048804598427648")</f>
        <v/>
      </c>
      <c r="B1954" s="2" t="n">
        <v>43212.56673611111</v>
      </c>
      <c r="C1954" t="n">
        <v>0</v>
      </c>
      <c r="D1954" t="n">
        <v>0</v>
      </c>
      <c r="E1954" t="s">
        <v>1962</v>
      </c>
      <c r="F1954" t="s"/>
      <c r="G1954" t="s"/>
      <c r="H1954" t="s"/>
      <c r="I1954" t="s"/>
      <c r="J1954" t="n">
        <v>0.0258</v>
      </c>
      <c r="K1954" t="n">
        <v>0.083</v>
      </c>
      <c r="L1954" t="n">
        <v>0.83</v>
      </c>
      <c r="M1954" t="n">
        <v>0.08699999999999999</v>
      </c>
    </row>
    <row r="1955" spans="1:13">
      <c r="A1955" s="1">
        <f>HYPERLINK("http://www.twitter.com/NathanBLawrence/status/988048028870299648", "988048028870299648")</f>
        <v/>
      </c>
      <c r="B1955" s="2" t="n">
        <v>43212.56459490741</v>
      </c>
      <c r="C1955" t="n">
        <v>0</v>
      </c>
      <c r="D1955" t="n">
        <v>8</v>
      </c>
      <c r="E1955" t="s">
        <v>1963</v>
      </c>
      <c r="F1955" t="s"/>
      <c r="G1955" t="s"/>
      <c r="H1955" t="s"/>
      <c r="I1955" t="s"/>
      <c r="J1955" t="n">
        <v>0</v>
      </c>
      <c r="K1955" t="n">
        <v>0</v>
      </c>
      <c r="L1955" t="n">
        <v>1</v>
      </c>
      <c r="M1955" t="n">
        <v>0</v>
      </c>
    </row>
    <row r="1956" spans="1:13">
      <c r="A1956" s="1">
        <f>HYPERLINK("http://www.twitter.com/NathanBLawrence/status/988047607116247041", "988047607116247041")</f>
        <v/>
      </c>
      <c r="B1956" s="2" t="n">
        <v>43212.5634375</v>
      </c>
      <c r="C1956" t="n">
        <v>1</v>
      </c>
      <c r="D1956" t="n">
        <v>0</v>
      </c>
      <c r="E1956" t="s">
        <v>1964</v>
      </c>
      <c r="F1956" t="s"/>
      <c r="G1956" t="s"/>
      <c r="H1956" t="s"/>
      <c r="I1956" t="s"/>
      <c r="J1956" t="n">
        <v>0</v>
      </c>
      <c r="K1956" t="n">
        <v>0</v>
      </c>
      <c r="L1956" t="n">
        <v>1</v>
      </c>
      <c r="M1956" t="n">
        <v>0</v>
      </c>
    </row>
    <row r="1957" spans="1:13">
      <c r="A1957" s="1">
        <f>HYPERLINK("http://www.twitter.com/NathanBLawrence/status/988046132105408512", "988046132105408512")</f>
        <v/>
      </c>
      <c r="B1957" s="2" t="n">
        <v>43212.55936342593</v>
      </c>
      <c r="C1957" t="n">
        <v>0</v>
      </c>
      <c r="D1957" t="n">
        <v>9</v>
      </c>
      <c r="E1957" t="s">
        <v>1965</v>
      </c>
      <c r="F1957" t="s"/>
      <c r="G1957" t="s"/>
      <c r="H1957" t="s"/>
      <c r="I1957" t="s"/>
      <c r="J1957" t="n">
        <v>0.6908</v>
      </c>
      <c r="K1957" t="n">
        <v>0</v>
      </c>
      <c r="L1957" t="n">
        <v>0.678</v>
      </c>
      <c r="M1957" t="n">
        <v>0.322</v>
      </c>
    </row>
    <row r="1958" spans="1:13">
      <c r="A1958" s="1">
        <f>HYPERLINK("http://www.twitter.com/NathanBLawrence/status/988045610594045952", "988045610594045952")</f>
        <v/>
      </c>
      <c r="B1958" s="2" t="n">
        <v>43212.55792824074</v>
      </c>
      <c r="C1958" t="n">
        <v>0</v>
      </c>
      <c r="D1958" t="n">
        <v>0</v>
      </c>
      <c r="E1958" t="s">
        <v>1966</v>
      </c>
      <c r="F1958" t="s"/>
      <c r="G1958" t="s"/>
      <c r="H1958" t="s"/>
      <c r="I1958" t="s"/>
      <c r="J1958" t="n">
        <v>-0.7269</v>
      </c>
      <c r="K1958" t="n">
        <v>0.319</v>
      </c>
      <c r="L1958" t="n">
        <v>0.681</v>
      </c>
      <c r="M1958" t="n">
        <v>0</v>
      </c>
    </row>
    <row r="1959" spans="1:13">
      <c r="A1959" s="1">
        <f>HYPERLINK("http://www.twitter.com/NathanBLawrence/status/988045345090424833", "988045345090424833")</f>
        <v/>
      </c>
      <c r="B1959" s="2" t="n">
        <v>43212.5571875</v>
      </c>
      <c r="C1959" t="n">
        <v>1</v>
      </c>
      <c r="D1959" t="n">
        <v>0</v>
      </c>
      <c r="E1959" t="s">
        <v>1967</v>
      </c>
      <c r="F1959" t="s"/>
      <c r="G1959" t="s"/>
      <c r="H1959" t="s"/>
      <c r="I1959" t="s"/>
      <c r="J1959" t="n">
        <v>0</v>
      </c>
      <c r="K1959" t="n">
        <v>0</v>
      </c>
      <c r="L1959" t="n">
        <v>1</v>
      </c>
      <c r="M1959" t="n">
        <v>0</v>
      </c>
    </row>
    <row r="1960" spans="1:13">
      <c r="A1960" s="1">
        <f>HYPERLINK("http://www.twitter.com/NathanBLawrence/status/988043975578869760", "988043975578869760")</f>
        <v/>
      </c>
      <c r="B1960" s="2" t="n">
        <v>43212.55341435185</v>
      </c>
      <c r="C1960" t="n">
        <v>1</v>
      </c>
      <c r="D1960" t="n">
        <v>1</v>
      </c>
      <c r="E1960" t="s">
        <v>1968</v>
      </c>
      <c r="F1960" t="s"/>
      <c r="G1960" t="s"/>
      <c r="H1960" t="s"/>
      <c r="I1960" t="s"/>
      <c r="J1960" t="n">
        <v>0.296</v>
      </c>
      <c r="K1960" t="n">
        <v>0.053</v>
      </c>
      <c r="L1960" t="n">
        <v>0.828</v>
      </c>
      <c r="M1960" t="n">
        <v>0.118</v>
      </c>
    </row>
    <row r="1961" spans="1:13">
      <c r="A1961" s="1">
        <f>HYPERLINK("http://www.twitter.com/NathanBLawrence/status/988042717820317696", "988042717820317696")</f>
        <v/>
      </c>
      <c r="B1961" s="2" t="n">
        <v>43212.54994212963</v>
      </c>
      <c r="C1961" t="n">
        <v>0</v>
      </c>
      <c r="D1961" t="n">
        <v>14</v>
      </c>
      <c r="E1961" t="s">
        <v>1969</v>
      </c>
      <c r="F1961">
        <f>HYPERLINK("http://pbs.twimg.com/media/DbYsTj4U0AAJAIw.jpg", "http://pbs.twimg.com/media/DbYsTj4U0AAJAIw.jpg")</f>
        <v/>
      </c>
      <c r="G1961" t="s"/>
      <c r="H1961" t="s"/>
      <c r="I1961" t="s"/>
      <c r="J1961" t="n">
        <v>-0.0601</v>
      </c>
      <c r="K1961" t="n">
        <v>0.157</v>
      </c>
      <c r="L1961" t="n">
        <v>0.698</v>
      </c>
      <c r="M1961" t="n">
        <v>0.145</v>
      </c>
    </row>
    <row r="1962" spans="1:13">
      <c r="A1962" s="1">
        <f>HYPERLINK("http://www.twitter.com/NathanBLawrence/status/988039349823516673", "988039349823516673")</f>
        <v/>
      </c>
      <c r="B1962" s="2" t="n">
        <v>43212.54064814815</v>
      </c>
      <c r="C1962" t="n">
        <v>0</v>
      </c>
      <c r="D1962" t="n">
        <v>0</v>
      </c>
      <c r="E1962" t="s">
        <v>1970</v>
      </c>
      <c r="F1962" t="s"/>
      <c r="G1962" t="s"/>
      <c r="H1962" t="s"/>
      <c r="I1962" t="s"/>
      <c r="J1962" t="n">
        <v>0</v>
      </c>
      <c r="K1962" t="n">
        <v>0</v>
      </c>
      <c r="L1962" t="n">
        <v>1</v>
      </c>
      <c r="M1962" t="n">
        <v>0</v>
      </c>
    </row>
    <row r="1963" spans="1:13">
      <c r="A1963" s="1">
        <f>HYPERLINK("http://www.twitter.com/NathanBLawrence/status/988035288537681920", "988035288537681920")</f>
        <v/>
      </c>
      <c r="B1963" s="2" t="n">
        <v>43212.52944444444</v>
      </c>
      <c r="C1963" t="n">
        <v>2</v>
      </c>
      <c r="D1963" t="n">
        <v>1</v>
      </c>
      <c r="E1963" t="s">
        <v>1971</v>
      </c>
      <c r="F1963" t="s"/>
      <c r="G1963" t="s"/>
      <c r="H1963" t="s"/>
      <c r="I1963" t="s"/>
      <c r="J1963" t="n">
        <v>0.1531</v>
      </c>
      <c r="K1963" t="n">
        <v>0</v>
      </c>
      <c r="L1963" t="n">
        <v>0.789</v>
      </c>
      <c r="M1963" t="n">
        <v>0.211</v>
      </c>
    </row>
    <row r="1964" spans="1:13">
      <c r="A1964" s="1">
        <f>HYPERLINK("http://www.twitter.com/NathanBLawrence/status/988032997181001729", "988032997181001729")</f>
        <v/>
      </c>
      <c r="B1964" s="2" t="n">
        <v>43212.52311342592</v>
      </c>
      <c r="C1964" t="n">
        <v>5</v>
      </c>
      <c r="D1964" t="n">
        <v>4</v>
      </c>
      <c r="E1964" t="s">
        <v>1972</v>
      </c>
      <c r="F1964" t="s"/>
      <c r="G1964" t="s"/>
      <c r="H1964" t="s"/>
      <c r="I1964" t="s"/>
      <c r="J1964" t="n">
        <v>-0.9517</v>
      </c>
      <c r="K1964" t="n">
        <v>0.271</v>
      </c>
      <c r="L1964" t="n">
        <v>0.729</v>
      </c>
      <c r="M1964" t="n">
        <v>0</v>
      </c>
    </row>
    <row r="1965" spans="1:13">
      <c r="A1965" s="1">
        <f>HYPERLINK("http://www.twitter.com/NathanBLawrence/status/988031000218357760", "988031000218357760")</f>
        <v/>
      </c>
      <c r="B1965" s="2" t="n">
        <v>43212.51760416666</v>
      </c>
      <c r="C1965" t="n">
        <v>0</v>
      </c>
      <c r="D1965" t="n">
        <v>0</v>
      </c>
      <c r="E1965" t="s">
        <v>1973</v>
      </c>
      <c r="F1965" t="s"/>
      <c r="G1965" t="s"/>
      <c r="H1965" t="s"/>
      <c r="I1965" t="s"/>
      <c r="J1965" t="n">
        <v>-0.7783</v>
      </c>
      <c r="K1965" t="n">
        <v>0.182</v>
      </c>
      <c r="L1965" t="n">
        <v>0.8179999999999999</v>
      </c>
      <c r="M1965" t="n">
        <v>0</v>
      </c>
    </row>
    <row r="1966" spans="1:13">
      <c r="A1966" s="1">
        <f>HYPERLINK("http://www.twitter.com/NathanBLawrence/status/988021292287832066", "988021292287832066")</f>
        <v/>
      </c>
      <c r="B1966" s="2" t="n">
        <v>43212.49082175926</v>
      </c>
      <c r="C1966" t="n">
        <v>1</v>
      </c>
      <c r="D1966" t="n">
        <v>0</v>
      </c>
      <c r="E1966" t="s">
        <v>1974</v>
      </c>
      <c r="F1966" t="s"/>
      <c r="G1966" t="s"/>
      <c r="H1966" t="s"/>
      <c r="I1966" t="s"/>
      <c r="J1966" t="n">
        <v>-0.5255</v>
      </c>
      <c r="K1966" t="n">
        <v>0.08</v>
      </c>
      <c r="L1966" t="n">
        <v>0.92</v>
      </c>
      <c r="M1966" t="n">
        <v>0</v>
      </c>
    </row>
    <row r="1967" spans="1:13">
      <c r="A1967" s="1">
        <f>HYPERLINK("http://www.twitter.com/NathanBLawrence/status/988016969940074496", "988016969940074496")</f>
        <v/>
      </c>
      <c r="B1967" s="2" t="n">
        <v>43212.47888888889</v>
      </c>
      <c r="C1967" t="n">
        <v>0</v>
      </c>
      <c r="D1967" t="n">
        <v>5</v>
      </c>
      <c r="E1967" t="s">
        <v>1975</v>
      </c>
      <c r="F1967" t="s"/>
      <c r="G1967" t="s"/>
      <c r="H1967" t="s"/>
      <c r="I1967" t="s"/>
      <c r="J1967" t="n">
        <v>-0.5719</v>
      </c>
      <c r="K1967" t="n">
        <v>0.227</v>
      </c>
      <c r="L1967" t="n">
        <v>0.773</v>
      </c>
      <c r="M1967" t="n">
        <v>0</v>
      </c>
    </row>
    <row r="1968" spans="1:13">
      <c r="A1968" s="1">
        <f>HYPERLINK("http://www.twitter.com/NathanBLawrence/status/988016802402897920", "988016802402897920")</f>
        <v/>
      </c>
      <c r="B1968" s="2" t="n">
        <v>43212.47842592592</v>
      </c>
      <c r="C1968" t="n">
        <v>0</v>
      </c>
      <c r="D1968" t="n">
        <v>8</v>
      </c>
      <c r="E1968" t="s">
        <v>1976</v>
      </c>
      <c r="F1968" t="s"/>
      <c r="G1968" t="s"/>
      <c r="H1968" t="s"/>
      <c r="I1968" t="s"/>
      <c r="J1968" t="n">
        <v>0</v>
      </c>
      <c r="K1968" t="n">
        <v>0</v>
      </c>
      <c r="L1968" t="n">
        <v>1</v>
      </c>
      <c r="M1968" t="n">
        <v>0</v>
      </c>
    </row>
    <row r="1969" spans="1:13">
      <c r="A1969" s="1">
        <f>HYPERLINK("http://www.twitter.com/NathanBLawrence/status/988015502202232833", "988015502202232833")</f>
        <v/>
      </c>
      <c r="B1969" s="2" t="n">
        <v>43212.47483796296</v>
      </c>
      <c r="C1969" t="n">
        <v>31</v>
      </c>
      <c r="D1969" t="n">
        <v>20</v>
      </c>
      <c r="E1969" t="s">
        <v>1977</v>
      </c>
      <c r="F1969" t="s"/>
      <c r="G1969" t="s"/>
      <c r="H1969" t="s"/>
      <c r="I1969" t="s"/>
      <c r="J1969" t="n">
        <v>-0.7317</v>
      </c>
      <c r="K1969" t="n">
        <v>0.159</v>
      </c>
      <c r="L1969" t="n">
        <v>0.841</v>
      </c>
      <c r="M1969" t="n">
        <v>0</v>
      </c>
    </row>
    <row r="1970" spans="1:13">
      <c r="A1970" s="1">
        <f>HYPERLINK("http://www.twitter.com/NathanBLawrence/status/988014435808706560", "988014435808706560")</f>
        <v/>
      </c>
      <c r="B1970" s="2" t="n">
        <v>43212.47189814815</v>
      </c>
      <c r="C1970" t="n">
        <v>2</v>
      </c>
      <c r="D1970" t="n">
        <v>0</v>
      </c>
      <c r="E1970" t="s">
        <v>1978</v>
      </c>
      <c r="F1970" t="s"/>
      <c r="G1970" t="s"/>
      <c r="H1970" t="s"/>
      <c r="I1970" t="s"/>
      <c r="J1970" t="n">
        <v>-0.2263</v>
      </c>
      <c r="K1970" t="n">
        <v>0.16</v>
      </c>
      <c r="L1970" t="n">
        <v>0.717</v>
      </c>
      <c r="M1970" t="n">
        <v>0.122</v>
      </c>
    </row>
    <row r="1971" spans="1:13">
      <c r="A1971" s="1">
        <f>HYPERLINK("http://www.twitter.com/NathanBLawrence/status/988011242597036032", "988011242597036032")</f>
        <v/>
      </c>
      <c r="B1971" s="2" t="n">
        <v>43212.46309027778</v>
      </c>
      <c r="C1971" t="n">
        <v>0</v>
      </c>
      <c r="D1971" t="n">
        <v>0</v>
      </c>
      <c r="E1971" t="s">
        <v>1979</v>
      </c>
      <c r="F1971" t="s"/>
      <c r="G1971" t="s"/>
      <c r="H1971" t="s"/>
      <c r="I1971" t="s"/>
      <c r="J1971" t="n">
        <v>0.34</v>
      </c>
      <c r="K1971" t="n">
        <v>0</v>
      </c>
      <c r="L1971" t="n">
        <v>0.897</v>
      </c>
      <c r="M1971" t="n">
        <v>0.103</v>
      </c>
    </row>
    <row r="1972" spans="1:13">
      <c r="A1972" s="1">
        <f>HYPERLINK("http://www.twitter.com/NathanBLawrence/status/988010421729878016", "988010421729878016")</f>
        <v/>
      </c>
      <c r="B1972" s="2" t="n">
        <v>43212.46082175926</v>
      </c>
      <c r="C1972" t="n">
        <v>0</v>
      </c>
      <c r="D1972" t="n">
        <v>79</v>
      </c>
      <c r="E1972" t="s">
        <v>1980</v>
      </c>
      <c r="F1972" t="s"/>
      <c r="G1972" t="s"/>
      <c r="H1972" t="s"/>
      <c r="I1972" t="s"/>
      <c r="J1972" t="n">
        <v>0.4215</v>
      </c>
      <c r="K1972" t="n">
        <v>0</v>
      </c>
      <c r="L1972" t="n">
        <v>0.859</v>
      </c>
      <c r="M1972" t="n">
        <v>0.141</v>
      </c>
    </row>
    <row r="1973" spans="1:13">
      <c r="A1973" s="1">
        <f>HYPERLINK("http://www.twitter.com/NathanBLawrence/status/988010290909413381", "988010290909413381")</f>
        <v/>
      </c>
      <c r="B1973" s="2" t="n">
        <v>43212.46046296296</v>
      </c>
      <c r="C1973" t="n">
        <v>0</v>
      </c>
      <c r="D1973" t="n">
        <v>57</v>
      </c>
      <c r="E1973" t="s">
        <v>1981</v>
      </c>
      <c r="F1973" t="s"/>
      <c r="G1973" t="s"/>
      <c r="H1973" t="s"/>
      <c r="I1973" t="s"/>
      <c r="J1973" t="n">
        <v>0.843</v>
      </c>
      <c r="K1973" t="n">
        <v>0</v>
      </c>
      <c r="L1973" t="n">
        <v>0.641</v>
      </c>
      <c r="M1973" t="n">
        <v>0.359</v>
      </c>
    </row>
    <row r="1974" spans="1:13">
      <c r="A1974" s="1">
        <f>HYPERLINK("http://www.twitter.com/NathanBLawrence/status/988006177916190720", "988006177916190720")</f>
        <v/>
      </c>
      <c r="B1974" s="2" t="n">
        <v>43212.4491087963</v>
      </c>
      <c r="C1974" t="n">
        <v>3</v>
      </c>
      <c r="D1974" t="n">
        <v>1</v>
      </c>
      <c r="E1974" t="s">
        <v>1982</v>
      </c>
      <c r="F1974" t="s"/>
      <c r="G1974" t="s"/>
      <c r="H1974" t="s"/>
      <c r="I1974" t="s"/>
      <c r="J1974" t="n">
        <v>0.5719</v>
      </c>
      <c r="K1974" t="n">
        <v>0</v>
      </c>
      <c r="L1974" t="n">
        <v>0.654</v>
      </c>
      <c r="M1974" t="n">
        <v>0.346</v>
      </c>
    </row>
    <row r="1975" spans="1:13">
      <c r="A1975" s="1">
        <f>HYPERLINK("http://www.twitter.com/NathanBLawrence/status/988005517766397954", "988005517766397954")</f>
        <v/>
      </c>
      <c r="B1975" s="2" t="n">
        <v>43212.44729166666</v>
      </c>
      <c r="C1975" t="n">
        <v>1</v>
      </c>
      <c r="D1975" t="n">
        <v>1</v>
      </c>
      <c r="E1975" t="s">
        <v>1983</v>
      </c>
      <c r="F1975" t="s"/>
      <c r="G1975" t="s"/>
      <c r="H1975" t="s"/>
      <c r="I1975" t="s"/>
      <c r="J1975" t="n">
        <v>-0.8658</v>
      </c>
      <c r="K1975" t="n">
        <v>0.21</v>
      </c>
      <c r="L1975" t="n">
        <v>0.765</v>
      </c>
      <c r="M1975" t="n">
        <v>0.025</v>
      </c>
    </row>
    <row r="1976" spans="1:13">
      <c r="A1976" s="1">
        <f>HYPERLINK("http://www.twitter.com/NathanBLawrence/status/988000139913637890", "988000139913637890")</f>
        <v/>
      </c>
      <c r="B1976" s="2" t="n">
        <v>43212.4324537037</v>
      </c>
      <c r="C1976" t="n">
        <v>0</v>
      </c>
      <c r="D1976" t="n">
        <v>0</v>
      </c>
      <c r="E1976" t="s">
        <v>1984</v>
      </c>
      <c r="F1976" t="s"/>
      <c r="G1976" t="s"/>
      <c r="H1976" t="s"/>
      <c r="I1976" t="s"/>
      <c r="J1976" t="n">
        <v>0</v>
      </c>
      <c r="K1976" t="n">
        <v>0</v>
      </c>
      <c r="L1976" t="n">
        <v>1</v>
      </c>
      <c r="M1976" t="n">
        <v>0</v>
      </c>
    </row>
    <row r="1977" spans="1:13">
      <c r="A1977" s="1">
        <f>HYPERLINK("http://www.twitter.com/NathanBLawrence/status/987999475737260033", "987999475737260033")</f>
        <v/>
      </c>
      <c r="B1977" s="2" t="n">
        <v>43212.43061342592</v>
      </c>
      <c r="C1977" t="n">
        <v>0</v>
      </c>
      <c r="D1977" t="n">
        <v>0</v>
      </c>
      <c r="E1977" t="s">
        <v>1985</v>
      </c>
      <c r="F1977" t="s"/>
      <c r="G1977" t="s"/>
      <c r="H1977" t="s"/>
      <c r="I1977" t="s"/>
      <c r="J1977" t="n">
        <v>0.9001</v>
      </c>
      <c r="K1977" t="n">
        <v>0</v>
      </c>
      <c r="L1977" t="n">
        <v>0.717</v>
      </c>
      <c r="M1977" t="n">
        <v>0.283</v>
      </c>
    </row>
    <row r="1978" spans="1:13">
      <c r="A1978" s="1">
        <f>HYPERLINK("http://www.twitter.com/NathanBLawrence/status/987885343730028544", "987885343730028544")</f>
        <v/>
      </c>
      <c r="B1978" s="2" t="n">
        <v>43212.1156712963</v>
      </c>
      <c r="C1978" t="n">
        <v>0</v>
      </c>
      <c r="D1978" t="n">
        <v>10</v>
      </c>
      <c r="E1978" t="s">
        <v>1986</v>
      </c>
      <c r="F1978">
        <f>HYPERLINK("http://pbs.twimg.com/media/DbWhrhgX0AAzDIm.jpg", "http://pbs.twimg.com/media/DbWhrhgX0AAzDIm.jpg")</f>
        <v/>
      </c>
      <c r="G1978" t="s"/>
      <c r="H1978" t="s"/>
      <c r="I1978" t="s"/>
      <c r="J1978" t="n">
        <v>0</v>
      </c>
      <c r="K1978" t="n">
        <v>0</v>
      </c>
      <c r="L1978" t="n">
        <v>1</v>
      </c>
      <c r="M1978" t="n">
        <v>0</v>
      </c>
    </row>
    <row r="1979" spans="1:13">
      <c r="A1979" s="1">
        <f>HYPERLINK("http://www.twitter.com/NathanBLawrence/status/987884922949001216", "987884922949001216")</f>
        <v/>
      </c>
      <c r="B1979" s="2" t="n">
        <v>43212.11451388889</v>
      </c>
      <c r="C1979" t="n">
        <v>0</v>
      </c>
      <c r="D1979" t="n">
        <v>7</v>
      </c>
      <c r="E1979" t="s">
        <v>1987</v>
      </c>
      <c r="F1979" t="s"/>
      <c r="G1979" t="s"/>
      <c r="H1979" t="s"/>
      <c r="I1979" t="s"/>
      <c r="J1979" t="n">
        <v>0.6124000000000001</v>
      </c>
      <c r="K1979" t="n">
        <v>0</v>
      </c>
      <c r="L1979" t="n">
        <v>0.8</v>
      </c>
      <c r="M1979" t="n">
        <v>0.2</v>
      </c>
    </row>
    <row r="1980" spans="1:13">
      <c r="A1980" s="1">
        <f>HYPERLINK("http://www.twitter.com/NathanBLawrence/status/987869634660651008", "987869634660651008")</f>
        <v/>
      </c>
      <c r="B1980" s="2" t="n">
        <v>43212.07232638889</v>
      </c>
      <c r="C1980" t="n">
        <v>4</v>
      </c>
      <c r="D1980" t="n">
        <v>2</v>
      </c>
      <c r="E1980" t="s">
        <v>1988</v>
      </c>
      <c r="F1980" t="s"/>
      <c r="G1980" t="s"/>
      <c r="H1980" t="s"/>
      <c r="I1980" t="s"/>
      <c r="J1980" t="n">
        <v>-0.7003</v>
      </c>
      <c r="K1980" t="n">
        <v>0.248</v>
      </c>
      <c r="L1980" t="n">
        <v>0.63</v>
      </c>
      <c r="M1980" t="n">
        <v>0.122</v>
      </c>
    </row>
    <row r="1981" spans="1:13">
      <c r="A1981" s="1">
        <f>HYPERLINK("http://www.twitter.com/NathanBLawrence/status/987866110136586240", "987866110136586240")</f>
        <v/>
      </c>
      <c r="B1981" s="2" t="n">
        <v>43212.06259259259</v>
      </c>
      <c r="C1981" t="n">
        <v>0</v>
      </c>
      <c r="D1981" t="n">
        <v>0</v>
      </c>
      <c r="E1981" t="s">
        <v>1989</v>
      </c>
      <c r="F1981" t="s"/>
      <c r="G1981" t="s"/>
      <c r="H1981" t="s"/>
      <c r="I1981" t="s"/>
      <c r="J1981" t="n">
        <v>0</v>
      </c>
      <c r="K1981" t="n">
        <v>0</v>
      </c>
      <c r="L1981" t="n">
        <v>1</v>
      </c>
      <c r="M1981" t="n">
        <v>0</v>
      </c>
    </row>
    <row r="1982" spans="1:13">
      <c r="A1982" s="1">
        <f>HYPERLINK("http://www.twitter.com/NathanBLawrence/status/987857375561437189", "987857375561437189")</f>
        <v/>
      </c>
      <c r="B1982" s="2" t="n">
        <v>43212.03849537037</v>
      </c>
      <c r="C1982" t="n">
        <v>0</v>
      </c>
      <c r="D1982" t="n">
        <v>2</v>
      </c>
      <c r="E1982" t="s">
        <v>1990</v>
      </c>
      <c r="F1982" t="s"/>
      <c r="G1982" t="s"/>
      <c r="H1982" t="s"/>
      <c r="I1982" t="s"/>
      <c r="J1982" t="n">
        <v>0.886</v>
      </c>
      <c r="K1982" t="n">
        <v>0</v>
      </c>
      <c r="L1982" t="n">
        <v>0.634</v>
      </c>
      <c r="M1982" t="n">
        <v>0.366</v>
      </c>
    </row>
    <row r="1983" spans="1:13">
      <c r="A1983" s="1">
        <f>HYPERLINK("http://www.twitter.com/NathanBLawrence/status/987850806849359874", "987850806849359874")</f>
        <v/>
      </c>
      <c r="B1983" s="2" t="n">
        <v>43212.02037037037</v>
      </c>
      <c r="C1983" t="n">
        <v>7</v>
      </c>
      <c r="D1983" t="n">
        <v>2</v>
      </c>
      <c r="E1983" t="s">
        <v>1991</v>
      </c>
      <c r="F1983" t="s"/>
      <c r="G1983" t="s"/>
      <c r="H1983" t="s"/>
      <c r="I1983" t="s"/>
      <c r="J1983" t="n">
        <v>0.0516</v>
      </c>
      <c r="K1983" t="n">
        <v>0.164</v>
      </c>
      <c r="L1983" t="n">
        <v>0.658</v>
      </c>
      <c r="M1983" t="n">
        <v>0.178</v>
      </c>
    </row>
    <row r="1984" spans="1:13">
      <c r="A1984" s="1">
        <f>HYPERLINK("http://www.twitter.com/NathanBLawrence/status/987850603668869120", "987850603668869120")</f>
        <v/>
      </c>
      <c r="B1984" s="2" t="n">
        <v>43212.01980324074</v>
      </c>
      <c r="C1984" t="n">
        <v>20</v>
      </c>
      <c r="D1984" t="n">
        <v>13</v>
      </c>
      <c r="E1984" t="s">
        <v>1992</v>
      </c>
      <c r="F1984" t="s"/>
      <c r="G1984" t="s"/>
      <c r="H1984" t="s"/>
      <c r="I1984" t="s"/>
      <c r="J1984" t="n">
        <v>0.4019</v>
      </c>
      <c r="K1984" t="n">
        <v>0.127</v>
      </c>
      <c r="L1984" t="n">
        <v>0.66</v>
      </c>
      <c r="M1984" t="n">
        <v>0.213</v>
      </c>
    </row>
    <row r="1985" spans="1:13">
      <c r="A1985" s="1">
        <f>HYPERLINK("http://www.twitter.com/NathanBLawrence/status/987846529795829760", "987846529795829760")</f>
        <v/>
      </c>
      <c r="B1985" s="2" t="n">
        <v>43212.00856481482</v>
      </c>
      <c r="C1985" t="n">
        <v>3</v>
      </c>
      <c r="D1985" t="n">
        <v>1</v>
      </c>
      <c r="E1985" t="s">
        <v>1993</v>
      </c>
      <c r="F1985" t="s"/>
      <c r="G1985" t="s"/>
      <c r="H1985" t="s"/>
      <c r="I1985" t="s"/>
      <c r="J1985" t="n">
        <v>-0.34</v>
      </c>
      <c r="K1985" t="n">
        <v>0.135</v>
      </c>
      <c r="L1985" t="n">
        <v>0.791</v>
      </c>
      <c r="M1985" t="n">
        <v>0.074</v>
      </c>
    </row>
    <row r="1986" spans="1:13">
      <c r="A1986" s="1">
        <f>HYPERLINK("http://www.twitter.com/NathanBLawrence/status/987830915383660544", "987830915383660544")</f>
        <v/>
      </c>
      <c r="B1986" s="2" t="n">
        <v>43211.96547453704</v>
      </c>
      <c r="C1986" t="n">
        <v>0</v>
      </c>
      <c r="D1986" t="n">
        <v>7</v>
      </c>
      <c r="E1986" t="s">
        <v>1994</v>
      </c>
      <c r="F1986" t="s"/>
      <c r="G1986" t="s"/>
      <c r="H1986" t="s"/>
      <c r="I1986" t="s"/>
      <c r="J1986" t="n">
        <v>-0.594</v>
      </c>
      <c r="K1986" t="n">
        <v>0.149</v>
      </c>
      <c r="L1986" t="n">
        <v>0.851</v>
      </c>
      <c r="M1986" t="n">
        <v>0</v>
      </c>
    </row>
    <row r="1987" spans="1:13">
      <c r="A1987" s="1">
        <f>HYPERLINK("http://www.twitter.com/NathanBLawrence/status/987824914156662784", "987824914156662784")</f>
        <v/>
      </c>
      <c r="B1987" s="2" t="n">
        <v>43211.94892361111</v>
      </c>
      <c r="C1987" t="n">
        <v>0</v>
      </c>
      <c r="D1987" t="n">
        <v>2</v>
      </c>
      <c r="E1987" t="s">
        <v>1995</v>
      </c>
      <c r="F1987" t="s"/>
      <c r="G1987" t="s"/>
      <c r="H1987" t="s"/>
      <c r="I1987" t="s"/>
      <c r="J1987" t="n">
        <v>-0.7351</v>
      </c>
      <c r="K1987" t="n">
        <v>0.228</v>
      </c>
      <c r="L1987" t="n">
        <v>0.772</v>
      </c>
      <c r="M1987" t="n">
        <v>0</v>
      </c>
    </row>
    <row r="1988" spans="1:13">
      <c r="A1988" s="1">
        <f>HYPERLINK("http://www.twitter.com/NathanBLawrence/status/987807087962001408", "987807087962001408")</f>
        <v/>
      </c>
      <c r="B1988" s="2" t="n">
        <v>43211.89972222222</v>
      </c>
      <c r="C1988" t="n">
        <v>5</v>
      </c>
      <c r="D1988" t="n">
        <v>1</v>
      </c>
      <c r="E1988" t="s">
        <v>1996</v>
      </c>
      <c r="F1988" t="s"/>
      <c r="G1988" t="s"/>
      <c r="H1988" t="s"/>
      <c r="I1988" t="s"/>
      <c r="J1988" t="n">
        <v>-0.9618</v>
      </c>
      <c r="K1988" t="n">
        <v>0.495</v>
      </c>
      <c r="L1988" t="n">
        <v>0.505</v>
      </c>
      <c r="M1988" t="n">
        <v>0</v>
      </c>
    </row>
    <row r="1989" spans="1:13">
      <c r="A1989" s="1">
        <f>HYPERLINK("http://www.twitter.com/NathanBLawrence/status/987802591286394880", "987802591286394880")</f>
        <v/>
      </c>
      <c r="B1989" s="2" t="n">
        <v>43211.88731481481</v>
      </c>
      <c r="C1989" t="n">
        <v>1</v>
      </c>
      <c r="D1989" t="n">
        <v>1</v>
      </c>
      <c r="E1989" t="s">
        <v>1997</v>
      </c>
      <c r="F1989" t="s"/>
      <c r="G1989" t="s"/>
      <c r="H1989" t="s"/>
      <c r="I1989" t="s"/>
      <c r="J1989" t="n">
        <v>-0.9217</v>
      </c>
      <c r="K1989" t="n">
        <v>0.289</v>
      </c>
      <c r="L1989" t="n">
        <v>0.711</v>
      </c>
      <c r="M1989" t="n">
        <v>0</v>
      </c>
    </row>
    <row r="1990" spans="1:13">
      <c r="A1990" s="1">
        <f>HYPERLINK("http://www.twitter.com/NathanBLawrence/status/987799526957305857", "987799526957305857")</f>
        <v/>
      </c>
      <c r="B1990" s="2" t="n">
        <v>43211.87886574074</v>
      </c>
      <c r="C1990" t="n">
        <v>8</v>
      </c>
      <c r="D1990" t="n">
        <v>4</v>
      </c>
      <c r="E1990" t="s">
        <v>1998</v>
      </c>
      <c r="F1990" t="s"/>
      <c r="G1990" t="s"/>
      <c r="H1990" t="s"/>
      <c r="I1990" t="s"/>
      <c r="J1990" t="n">
        <v>-0.34</v>
      </c>
      <c r="K1990" t="n">
        <v>0.231</v>
      </c>
      <c r="L1990" t="n">
        <v>0.769</v>
      </c>
      <c r="M1990" t="n">
        <v>0</v>
      </c>
    </row>
    <row r="1991" spans="1:13">
      <c r="A1991" s="1">
        <f>HYPERLINK("http://www.twitter.com/NathanBLawrence/status/987796565061505024", "987796565061505024")</f>
        <v/>
      </c>
      <c r="B1991" s="2" t="n">
        <v>43211.87069444444</v>
      </c>
      <c r="C1991" t="n">
        <v>5</v>
      </c>
      <c r="D1991" t="n">
        <v>2</v>
      </c>
      <c r="E1991" t="s">
        <v>1999</v>
      </c>
      <c r="F1991">
        <f>HYPERLINK("http://pbs.twimg.com/media/DbVbttDU0AAYRMM.jpg", "http://pbs.twimg.com/media/DbVbttDU0AAYRMM.jpg")</f>
        <v/>
      </c>
      <c r="G1991" t="s"/>
      <c r="H1991" t="s"/>
      <c r="I1991" t="s"/>
      <c r="J1991" t="n">
        <v>-0.2732</v>
      </c>
      <c r="K1991" t="n">
        <v>0.258</v>
      </c>
      <c r="L1991" t="n">
        <v>0.622</v>
      </c>
      <c r="M1991" t="n">
        <v>0.12</v>
      </c>
    </row>
    <row r="1992" spans="1:13">
      <c r="A1992" s="1">
        <f>HYPERLINK("http://www.twitter.com/NathanBLawrence/status/987795976566996993", "987795976566996993")</f>
        <v/>
      </c>
      <c r="B1992" s="2" t="n">
        <v>43211.8690625</v>
      </c>
      <c r="C1992" t="n">
        <v>6</v>
      </c>
      <c r="D1992" t="n">
        <v>2</v>
      </c>
      <c r="E1992" t="s">
        <v>2000</v>
      </c>
      <c r="F1992" t="s"/>
      <c r="G1992" t="s"/>
      <c r="H1992" t="s"/>
      <c r="I1992" t="s"/>
      <c r="J1992" t="n">
        <v>-0.34</v>
      </c>
      <c r="K1992" t="n">
        <v>0.286</v>
      </c>
      <c r="L1992" t="n">
        <v>0.714</v>
      </c>
      <c r="M1992" t="n">
        <v>0</v>
      </c>
    </row>
    <row r="1993" spans="1:13">
      <c r="A1993" s="1">
        <f>HYPERLINK("http://www.twitter.com/NathanBLawrence/status/987792438243856385", "987792438243856385")</f>
        <v/>
      </c>
      <c r="B1993" s="2" t="n">
        <v>43211.85930555555</v>
      </c>
      <c r="C1993" t="n">
        <v>4</v>
      </c>
      <c r="D1993" t="n">
        <v>0</v>
      </c>
      <c r="E1993" t="s">
        <v>2001</v>
      </c>
      <c r="F1993" t="s"/>
      <c r="G1993" t="s"/>
      <c r="H1993" t="s"/>
      <c r="I1993" t="s"/>
      <c r="J1993" t="n">
        <v>0</v>
      </c>
      <c r="K1993" t="n">
        <v>0</v>
      </c>
      <c r="L1993" t="n">
        <v>1</v>
      </c>
      <c r="M1993" t="n">
        <v>0</v>
      </c>
    </row>
    <row r="1994" spans="1:13">
      <c r="A1994" s="1">
        <f>HYPERLINK("http://www.twitter.com/NathanBLawrence/status/987785731291611136", "987785731291611136")</f>
        <v/>
      </c>
      <c r="B1994" s="2" t="n">
        <v>43211.84079861111</v>
      </c>
      <c r="C1994" t="n">
        <v>0</v>
      </c>
      <c r="D1994" t="n">
        <v>13</v>
      </c>
      <c r="E1994" t="s">
        <v>2002</v>
      </c>
      <c r="F1994" t="s"/>
      <c r="G1994" t="s"/>
      <c r="H1994" t="s"/>
      <c r="I1994" t="s"/>
      <c r="J1994" t="n">
        <v>0.3612</v>
      </c>
      <c r="K1994" t="n">
        <v>0</v>
      </c>
      <c r="L1994" t="n">
        <v>0.894</v>
      </c>
      <c r="M1994" t="n">
        <v>0.106</v>
      </c>
    </row>
    <row r="1995" spans="1:13">
      <c r="A1995" s="1">
        <f>HYPERLINK("http://www.twitter.com/NathanBLawrence/status/987785558117224449", "987785558117224449")</f>
        <v/>
      </c>
      <c r="B1995" s="2" t="n">
        <v>43211.8403125</v>
      </c>
      <c r="C1995" t="n">
        <v>0</v>
      </c>
      <c r="D1995" t="n">
        <v>2</v>
      </c>
      <c r="E1995" t="s">
        <v>2003</v>
      </c>
      <c r="F1995" t="s"/>
      <c r="G1995" t="s"/>
      <c r="H1995" t="s"/>
      <c r="I1995" t="s"/>
      <c r="J1995" t="n">
        <v>0.0516</v>
      </c>
      <c r="K1995" t="n">
        <v>0.174</v>
      </c>
      <c r="L1995" t="n">
        <v>0.606</v>
      </c>
      <c r="M1995" t="n">
        <v>0.22</v>
      </c>
    </row>
    <row r="1996" spans="1:13">
      <c r="A1996" s="1">
        <f>HYPERLINK("http://www.twitter.com/NathanBLawrence/status/987785357440749571", "987785357440749571")</f>
        <v/>
      </c>
      <c r="B1996" s="2" t="n">
        <v>43211.83976851852</v>
      </c>
      <c r="C1996" t="n">
        <v>0</v>
      </c>
      <c r="D1996" t="n">
        <v>1</v>
      </c>
      <c r="E1996" t="s">
        <v>2004</v>
      </c>
      <c r="F1996" t="s"/>
      <c r="G1996" t="s"/>
      <c r="H1996" t="s"/>
      <c r="I1996" t="s"/>
      <c r="J1996" t="n">
        <v>-0.4404</v>
      </c>
      <c r="K1996" t="n">
        <v>0.19</v>
      </c>
      <c r="L1996" t="n">
        <v>0.718</v>
      </c>
      <c r="M1996" t="n">
        <v>0.092</v>
      </c>
    </row>
    <row r="1997" spans="1:13">
      <c r="A1997" s="1">
        <f>HYPERLINK("http://www.twitter.com/NathanBLawrence/status/987784974949601285", "987784974949601285")</f>
        <v/>
      </c>
      <c r="B1997" s="2" t="n">
        <v>43211.8387037037</v>
      </c>
      <c r="C1997" t="n">
        <v>11</v>
      </c>
      <c r="D1997" t="n">
        <v>4</v>
      </c>
      <c r="E1997" t="s">
        <v>2005</v>
      </c>
      <c r="F1997" t="s"/>
      <c r="G1997" t="s"/>
      <c r="H1997" t="s"/>
      <c r="I1997" t="s"/>
      <c r="J1997" t="n">
        <v>-0.7088</v>
      </c>
      <c r="K1997" t="n">
        <v>0.232</v>
      </c>
      <c r="L1997" t="n">
        <v>0.6860000000000001</v>
      </c>
      <c r="M1997" t="n">
        <v>0.082</v>
      </c>
    </row>
    <row r="1998" spans="1:13">
      <c r="A1998" s="1">
        <f>HYPERLINK("http://www.twitter.com/NathanBLawrence/status/987777565921284097", "987777565921284097")</f>
        <v/>
      </c>
      <c r="B1998" s="2" t="n">
        <v>43211.81826388889</v>
      </c>
      <c r="C1998" t="n">
        <v>1</v>
      </c>
      <c r="D1998" t="n">
        <v>0</v>
      </c>
      <c r="E1998" t="s">
        <v>2006</v>
      </c>
      <c r="F1998" t="s"/>
      <c r="G1998" t="s"/>
      <c r="H1998" t="s"/>
      <c r="I1998" t="s"/>
      <c r="J1998" t="n">
        <v>-0.211</v>
      </c>
      <c r="K1998" t="n">
        <v>0.116</v>
      </c>
      <c r="L1998" t="n">
        <v>0.8159999999999999</v>
      </c>
      <c r="M1998" t="n">
        <v>0.06900000000000001</v>
      </c>
    </row>
    <row r="1999" spans="1:13">
      <c r="A1999" s="1">
        <f>HYPERLINK("http://www.twitter.com/NathanBLawrence/status/987775895581659136", "987775895581659136")</f>
        <v/>
      </c>
      <c r="B1999" s="2" t="n">
        <v>43211.81365740741</v>
      </c>
      <c r="C1999" t="n">
        <v>0</v>
      </c>
      <c r="D1999" t="n">
        <v>0</v>
      </c>
      <c r="E1999" t="s">
        <v>2007</v>
      </c>
      <c r="F1999" t="s"/>
      <c r="G1999" t="s"/>
      <c r="H1999" t="s"/>
      <c r="I1999" t="s"/>
      <c r="J1999" t="n">
        <v>-0.3612</v>
      </c>
      <c r="K1999" t="n">
        <v>0.091</v>
      </c>
      <c r="L1999" t="n">
        <v>0.909</v>
      </c>
      <c r="M1999" t="n">
        <v>0</v>
      </c>
    </row>
    <row r="2000" spans="1:13">
      <c r="A2000" s="1">
        <f>HYPERLINK("http://www.twitter.com/NathanBLawrence/status/987775521093283841", "987775521093283841")</f>
        <v/>
      </c>
      <c r="B2000" s="2" t="n">
        <v>43211.81261574074</v>
      </c>
      <c r="C2000" t="n">
        <v>0</v>
      </c>
      <c r="D2000" t="n">
        <v>2</v>
      </c>
      <c r="E2000" t="s">
        <v>2008</v>
      </c>
      <c r="F2000" t="s"/>
      <c r="G2000" t="s"/>
      <c r="H2000" t="s"/>
      <c r="I2000" t="s"/>
      <c r="J2000" t="n">
        <v>0.168</v>
      </c>
      <c r="K2000" t="n">
        <v>0</v>
      </c>
      <c r="L2000" t="n">
        <v>0.9330000000000001</v>
      </c>
      <c r="M2000" t="n">
        <v>0.067</v>
      </c>
    </row>
    <row r="2001" spans="1:13">
      <c r="A2001" s="1">
        <f>HYPERLINK("http://www.twitter.com/NathanBLawrence/status/987772467484733441", "987772467484733441")</f>
        <v/>
      </c>
      <c r="B2001" s="2" t="n">
        <v>43211.80418981481</v>
      </c>
      <c r="C2001" t="n">
        <v>0</v>
      </c>
      <c r="D2001" t="n">
        <v>12</v>
      </c>
      <c r="E2001" t="s">
        <v>2009</v>
      </c>
      <c r="F2001" t="s"/>
      <c r="G2001" t="s"/>
      <c r="H2001" t="s"/>
      <c r="I2001" t="s"/>
      <c r="J2001" t="n">
        <v>-0.34</v>
      </c>
      <c r="K2001" t="n">
        <v>0.118</v>
      </c>
      <c r="L2001" t="n">
        <v>0.882</v>
      </c>
      <c r="M2001" t="n">
        <v>0</v>
      </c>
    </row>
    <row r="2002" spans="1:13">
      <c r="A2002" s="1">
        <f>HYPERLINK("http://www.twitter.com/NathanBLawrence/status/987771039449935872", "987771039449935872")</f>
        <v/>
      </c>
      <c r="B2002" s="2" t="n">
        <v>43211.80025462963</v>
      </c>
      <c r="C2002" t="n">
        <v>0</v>
      </c>
      <c r="D2002" t="n">
        <v>11</v>
      </c>
      <c r="E2002" t="s">
        <v>2010</v>
      </c>
      <c r="F2002" t="s"/>
      <c r="G2002" t="s"/>
      <c r="H2002" t="s"/>
      <c r="I2002" t="s"/>
      <c r="J2002" t="n">
        <v>0</v>
      </c>
      <c r="K2002" t="n">
        <v>0</v>
      </c>
      <c r="L2002" t="n">
        <v>1</v>
      </c>
      <c r="M2002" t="n">
        <v>0</v>
      </c>
    </row>
    <row r="2003" spans="1:13">
      <c r="A2003" s="1">
        <f>HYPERLINK("http://www.twitter.com/NathanBLawrence/status/987768272635531270", "987768272635531270")</f>
        <v/>
      </c>
      <c r="B2003" s="2" t="n">
        <v>43211.79261574074</v>
      </c>
      <c r="C2003" t="n">
        <v>0</v>
      </c>
      <c r="D2003" t="n">
        <v>9</v>
      </c>
      <c r="E2003" t="s">
        <v>2011</v>
      </c>
      <c r="F2003" t="s"/>
      <c r="G2003" t="s"/>
      <c r="H2003" t="s"/>
      <c r="I2003" t="s"/>
      <c r="J2003" t="n">
        <v>-0.34</v>
      </c>
      <c r="K2003" t="n">
        <v>0.098</v>
      </c>
      <c r="L2003" t="n">
        <v>0.902</v>
      </c>
      <c r="M2003" t="n">
        <v>0</v>
      </c>
    </row>
    <row r="2004" spans="1:13">
      <c r="A2004" s="1">
        <f>HYPERLINK("http://www.twitter.com/NathanBLawrence/status/987765072893284363", "987765072893284363")</f>
        <v/>
      </c>
      <c r="B2004" s="2" t="n">
        <v>43211.78378472223</v>
      </c>
      <c r="C2004" t="n">
        <v>1</v>
      </c>
      <c r="D2004" t="n">
        <v>1</v>
      </c>
      <c r="E2004" t="s">
        <v>2012</v>
      </c>
      <c r="F2004" t="s"/>
      <c r="G2004" t="s"/>
      <c r="H2004" t="s"/>
      <c r="I2004" t="s"/>
      <c r="J2004" t="n">
        <v>-0.9022</v>
      </c>
      <c r="K2004" t="n">
        <v>0.212</v>
      </c>
      <c r="L2004" t="n">
        <v>0.788</v>
      </c>
      <c r="M2004" t="n">
        <v>0</v>
      </c>
    </row>
    <row r="2005" spans="1:13">
      <c r="A2005" s="1">
        <f>HYPERLINK("http://www.twitter.com/NathanBLawrence/status/987752673599459328", "987752673599459328")</f>
        <v/>
      </c>
      <c r="B2005" s="2" t="n">
        <v>43211.74957175926</v>
      </c>
      <c r="C2005" t="n">
        <v>0</v>
      </c>
      <c r="D2005" t="n">
        <v>1</v>
      </c>
      <c r="E2005" t="s">
        <v>2013</v>
      </c>
      <c r="F2005" t="s"/>
      <c r="G2005" t="s"/>
      <c r="H2005" t="s"/>
      <c r="I2005" t="s"/>
      <c r="J2005" t="n">
        <v>-0.5106000000000001</v>
      </c>
      <c r="K2005" t="n">
        <v>0.177</v>
      </c>
      <c r="L2005" t="n">
        <v>0.823</v>
      </c>
      <c r="M2005" t="n">
        <v>0</v>
      </c>
    </row>
    <row r="2006" spans="1:13">
      <c r="A2006" s="1">
        <f>HYPERLINK("http://www.twitter.com/NathanBLawrence/status/987752613746761728", "987752613746761728")</f>
        <v/>
      </c>
      <c r="B2006" s="2" t="n">
        <v>43211.74940972222</v>
      </c>
      <c r="C2006" t="n">
        <v>0</v>
      </c>
      <c r="D2006" t="n">
        <v>3</v>
      </c>
      <c r="E2006" t="s">
        <v>2014</v>
      </c>
      <c r="F2006" t="s"/>
      <c r="G2006" t="s"/>
      <c r="H2006" t="s"/>
      <c r="I2006" t="s"/>
      <c r="J2006" t="n">
        <v>-0.8225</v>
      </c>
      <c r="K2006" t="n">
        <v>0.266</v>
      </c>
      <c r="L2006" t="n">
        <v>0.734</v>
      </c>
      <c r="M2006" t="n">
        <v>0</v>
      </c>
    </row>
    <row r="2007" spans="1:13">
      <c r="A2007" s="1">
        <f>HYPERLINK("http://www.twitter.com/NathanBLawrence/status/987747539670663168", "987747539670663168")</f>
        <v/>
      </c>
      <c r="B2007" s="2" t="n">
        <v>43211.73540509259</v>
      </c>
      <c r="C2007" t="n">
        <v>0</v>
      </c>
      <c r="D2007" t="n">
        <v>3</v>
      </c>
      <c r="E2007" t="s">
        <v>2015</v>
      </c>
      <c r="F2007">
        <f>HYPERLINK("https://video.twimg.com/ext_tw_video/986235469112532992/pu/vid/720x1280/giqgUq3TyLXG_aCA.mp4?tag=2", "https://video.twimg.com/ext_tw_video/986235469112532992/pu/vid/720x1280/giqgUq3TyLXG_aCA.mp4?tag=2")</f>
        <v/>
      </c>
      <c r="G2007" t="s"/>
      <c r="H2007" t="s"/>
      <c r="I2007" t="s"/>
      <c r="J2007" t="n">
        <v>-0.3818</v>
      </c>
      <c r="K2007" t="n">
        <v>0.126</v>
      </c>
      <c r="L2007" t="n">
        <v>0.874</v>
      </c>
      <c r="M2007" t="n">
        <v>0</v>
      </c>
    </row>
    <row r="2008" spans="1:13">
      <c r="A2008" s="1">
        <f>HYPERLINK("http://www.twitter.com/NathanBLawrence/status/987747161461882882", "987747161461882882")</f>
        <v/>
      </c>
      <c r="B2008" s="2" t="n">
        <v>43211.73436342592</v>
      </c>
      <c r="C2008" t="n">
        <v>0</v>
      </c>
      <c r="D2008" t="n">
        <v>3</v>
      </c>
      <c r="E2008" t="s">
        <v>2016</v>
      </c>
      <c r="F2008" t="s"/>
      <c r="G2008" t="s"/>
      <c r="H2008" t="s"/>
      <c r="I2008" t="s"/>
      <c r="J2008" t="n">
        <v>-0.5266999999999999</v>
      </c>
      <c r="K2008" t="n">
        <v>0.173</v>
      </c>
      <c r="L2008" t="n">
        <v>0.827</v>
      </c>
      <c r="M2008" t="n">
        <v>0</v>
      </c>
    </row>
    <row r="2009" spans="1:13">
      <c r="A2009" s="1">
        <f>HYPERLINK("http://www.twitter.com/NathanBLawrence/status/987747116197072901", "987747116197072901")</f>
        <v/>
      </c>
      <c r="B2009" s="2" t="n">
        <v>43211.73423611111</v>
      </c>
      <c r="C2009" t="n">
        <v>0</v>
      </c>
      <c r="D2009" t="n">
        <v>4</v>
      </c>
      <c r="E2009" t="s">
        <v>2017</v>
      </c>
      <c r="F2009" t="s"/>
      <c r="G2009" t="s"/>
      <c r="H2009" t="s"/>
      <c r="I2009" t="s"/>
      <c r="J2009" t="n">
        <v>0</v>
      </c>
      <c r="K2009" t="n">
        <v>0</v>
      </c>
      <c r="L2009" t="n">
        <v>1</v>
      </c>
      <c r="M2009" t="n">
        <v>0</v>
      </c>
    </row>
    <row r="2010" spans="1:13">
      <c r="A2010" s="1">
        <f>HYPERLINK("http://www.twitter.com/NathanBLawrence/status/987746995497586688", "987746995497586688")</f>
        <v/>
      </c>
      <c r="B2010" s="2" t="n">
        <v>43211.73390046296</v>
      </c>
      <c r="C2010" t="n">
        <v>0</v>
      </c>
      <c r="D2010" t="n">
        <v>5</v>
      </c>
      <c r="E2010" t="s">
        <v>2018</v>
      </c>
      <c r="F2010">
        <f>HYPERLINK("http://pbs.twimg.com/media/DanKGFIVQAAiYde.jpg", "http://pbs.twimg.com/media/DanKGFIVQAAiYde.jpg")</f>
        <v/>
      </c>
      <c r="G2010" t="s"/>
      <c r="H2010" t="s"/>
      <c r="I2010" t="s"/>
      <c r="J2010" t="n">
        <v>-0.4019</v>
      </c>
      <c r="K2010" t="n">
        <v>0.171</v>
      </c>
      <c r="L2010" t="n">
        <v>0.829</v>
      </c>
      <c r="M2010" t="n">
        <v>0</v>
      </c>
    </row>
    <row r="2011" spans="1:13">
      <c r="A2011" s="1">
        <f>HYPERLINK("http://www.twitter.com/NathanBLawrence/status/987746693495115776", "987746693495115776")</f>
        <v/>
      </c>
      <c r="B2011" s="2" t="n">
        <v>43211.73306712963</v>
      </c>
      <c r="C2011" t="n">
        <v>0</v>
      </c>
      <c r="D2011" t="n">
        <v>6</v>
      </c>
      <c r="E2011" t="s">
        <v>2019</v>
      </c>
      <c r="F2011" t="s"/>
      <c r="G2011" t="s"/>
      <c r="H2011" t="s"/>
      <c r="I2011" t="s"/>
      <c r="J2011" t="n">
        <v>-0.4215</v>
      </c>
      <c r="K2011" t="n">
        <v>0.128</v>
      </c>
      <c r="L2011" t="n">
        <v>0.872</v>
      </c>
      <c r="M2011" t="n">
        <v>0</v>
      </c>
    </row>
    <row r="2012" spans="1:13">
      <c r="A2012" s="1">
        <f>HYPERLINK("http://www.twitter.com/NathanBLawrence/status/987733763756044294", "987733763756044294")</f>
        <v/>
      </c>
      <c r="B2012" s="2" t="n">
        <v>43211.69739583333</v>
      </c>
      <c r="C2012" t="n">
        <v>0</v>
      </c>
      <c r="D2012" t="n">
        <v>1</v>
      </c>
      <c r="E2012" t="s">
        <v>2020</v>
      </c>
      <c r="F2012" t="s"/>
      <c r="G2012" t="s"/>
      <c r="H2012" t="s"/>
      <c r="I2012" t="s"/>
      <c r="J2012" t="n">
        <v>0</v>
      </c>
      <c r="K2012" t="n">
        <v>0</v>
      </c>
      <c r="L2012" t="n">
        <v>1</v>
      </c>
      <c r="M2012" t="n">
        <v>0</v>
      </c>
    </row>
    <row r="2013" spans="1:13">
      <c r="A2013" s="1">
        <f>HYPERLINK("http://www.twitter.com/NathanBLawrence/status/987718358018789377", "987718358018789377")</f>
        <v/>
      </c>
      <c r="B2013" s="2" t="n">
        <v>43211.65488425926</v>
      </c>
      <c r="C2013" t="n">
        <v>2</v>
      </c>
      <c r="D2013" t="n">
        <v>0</v>
      </c>
      <c r="E2013" t="s">
        <v>2021</v>
      </c>
      <c r="F2013" t="s"/>
      <c r="G2013" t="s"/>
      <c r="H2013" t="s"/>
      <c r="I2013" t="s"/>
      <c r="J2013" t="n">
        <v>-0.5171</v>
      </c>
      <c r="K2013" t="n">
        <v>0.114</v>
      </c>
      <c r="L2013" t="n">
        <v>0.886</v>
      </c>
      <c r="M2013" t="n">
        <v>0</v>
      </c>
    </row>
    <row r="2014" spans="1:13">
      <c r="A2014" s="1">
        <f>HYPERLINK("http://www.twitter.com/NathanBLawrence/status/987712899014590469", "987712899014590469")</f>
        <v/>
      </c>
      <c r="B2014" s="2" t="n">
        <v>43211.63981481481</v>
      </c>
      <c r="C2014" t="n">
        <v>9</v>
      </c>
      <c r="D2014" t="n">
        <v>5</v>
      </c>
      <c r="E2014" t="s">
        <v>2022</v>
      </c>
      <c r="F2014" t="s"/>
      <c r="G2014" t="s"/>
      <c r="H2014" t="s"/>
      <c r="I2014" t="s"/>
      <c r="J2014" t="n">
        <v>-0.743</v>
      </c>
      <c r="K2014" t="n">
        <v>0.26</v>
      </c>
      <c r="L2014" t="n">
        <v>0.702</v>
      </c>
      <c r="M2014" t="n">
        <v>0.039</v>
      </c>
    </row>
    <row r="2015" spans="1:13">
      <c r="A2015" s="1">
        <f>HYPERLINK("http://www.twitter.com/NathanBLawrence/status/987711950468546560", "987711950468546560")</f>
        <v/>
      </c>
      <c r="B2015" s="2" t="n">
        <v>43211.63719907407</v>
      </c>
      <c r="C2015" t="n">
        <v>2</v>
      </c>
      <c r="D2015" t="n">
        <v>0</v>
      </c>
      <c r="E2015" t="s">
        <v>2023</v>
      </c>
      <c r="F2015" t="s"/>
      <c r="G2015" t="s"/>
      <c r="H2015" t="s"/>
      <c r="I2015" t="s"/>
      <c r="J2015" t="n">
        <v>0.4767</v>
      </c>
      <c r="K2015" t="n">
        <v>0</v>
      </c>
      <c r="L2015" t="n">
        <v>0.83</v>
      </c>
      <c r="M2015" t="n">
        <v>0.17</v>
      </c>
    </row>
    <row r="2016" spans="1:13">
      <c r="A2016" s="1">
        <f>HYPERLINK("http://www.twitter.com/NathanBLawrence/status/987710869428752385", "987710869428752385")</f>
        <v/>
      </c>
      <c r="B2016" s="2" t="n">
        <v>43211.63421296296</v>
      </c>
      <c r="C2016" t="n">
        <v>3</v>
      </c>
      <c r="D2016" t="n">
        <v>0</v>
      </c>
      <c r="E2016" t="s">
        <v>2024</v>
      </c>
      <c r="F2016" t="s"/>
      <c r="G2016" t="s"/>
      <c r="H2016" t="s"/>
      <c r="I2016" t="s"/>
      <c r="J2016" t="n">
        <v>-0.4939</v>
      </c>
      <c r="K2016" t="n">
        <v>0.144</v>
      </c>
      <c r="L2016" t="n">
        <v>0.856</v>
      </c>
      <c r="M2016" t="n">
        <v>0</v>
      </c>
    </row>
    <row r="2017" spans="1:13">
      <c r="A2017" s="1">
        <f>HYPERLINK("http://www.twitter.com/NathanBLawrence/status/987710027896147968", "987710027896147968")</f>
        <v/>
      </c>
      <c r="B2017" s="2" t="n">
        <v>43211.63189814815</v>
      </c>
      <c r="C2017" t="n">
        <v>2</v>
      </c>
      <c r="D2017" t="n">
        <v>0</v>
      </c>
      <c r="E2017" t="s">
        <v>2025</v>
      </c>
      <c r="F2017" t="s"/>
      <c r="G2017" t="s"/>
      <c r="H2017" t="s"/>
      <c r="I2017" t="s"/>
      <c r="J2017" t="n">
        <v>-0.9144</v>
      </c>
      <c r="K2017" t="n">
        <v>0.443</v>
      </c>
      <c r="L2017" t="n">
        <v>0.5570000000000001</v>
      </c>
      <c r="M2017" t="n">
        <v>0</v>
      </c>
    </row>
    <row r="2018" spans="1:13">
      <c r="A2018" s="1">
        <f>HYPERLINK("http://www.twitter.com/NathanBLawrence/status/987709058521141248", "987709058521141248")</f>
        <v/>
      </c>
      <c r="B2018" s="2" t="n">
        <v>43211.62921296297</v>
      </c>
      <c r="C2018" t="n">
        <v>1</v>
      </c>
      <c r="D2018" t="n">
        <v>0</v>
      </c>
      <c r="E2018" t="s">
        <v>2026</v>
      </c>
      <c r="F2018" t="s"/>
      <c r="G2018" t="s"/>
      <c r="H2018" t="s"/>
      <c r="I2018" t="s"/>
      <c r="J2018" t="n">
        <v>0.5994</v>
      </c>
      <c r="K2018" t="n">
        <v>0</v>
      </c>
      <c r="L2018" t="n">
        <v>0.698</v>
      </c>
      <c r="M2018" t="n">
        <v>0.302</v>
      </c>
    </row>
    <row r="2019" spans="1:13">
      <c r="A2019" s="1">
        <f>HYPERLINK("http://www.twitter.com/NathanBLawrence/status/987708672020230144", "987708672020230144")</f>
        <v/>
      </c>
      <c r="B2019" s="2" t="n">
        <v>43211.62814814815</v>
      </c>
      <c r="C2019" t="n">
        <v>8</v>
      </c>
      <c r="D2019" t="n">
        <v>5</v>
      </c>
      <c r="E2019" t="s">
        <v>2027</v>
      </c>
      <c r="F2019" t="s"/>
      <c r="G2019" t="s"/>
      <c r="H2019" t="s"/>
      <c r="I2019" t="s"/>
      <c r="J2019" t="n">
        <v>-0.5994</v>
      </c>
      <c r="K2019" t="n">
        <v>0.17</v>
      </c>
      <c r="L2019" t="n">
        <v>0.83</v>
      </c>
      <c r="M2019" t="n">
        <v>0</v>
      </c>
    </row>
    <row r="2020" spans="1:13">
      <c r="A2020" s="1">
        <f>HYPERLINK("http://www.twitter.com/NathanBLawrence/status/987706456509165569", "987706456509165569")</f>
        <v/>
      </c>
      <c r="B2020" s="2" t="n">
        <v>43211.62203703704</v>
      </c>
      <c r="C2020" t="n">
        <v>0</v>
      </c>
      <c r="D2020" t="n">
        <v>2</v>
      </c>
      <c r="E2020" t="s">
        <v>2028</v>
      </c>
      <c r="F2020" t="s"/>
      <c r="G2020" t="s"/>
      <c r="H2020" t="s"/>
      <c r="I2020" t="s"/>
      <c r="J2020" t="n">
        <v>0.6486</v>
      </c>
      <c r="K2020" t="n">
        <v>0</v>
      </c>
      <c r="L2020" t="n">
        <v>0.569</v>
      </c>
      <c r="M2020" t="n">
        <v>0.431</v>
      </c>
    </row>
    <row r="2021" spans="1:13">
      <c r="A2021" s="1">
        <f>HYPERLINK("http://www.twitter.com/NathanBLawrence/status/987705615517650945", "987705615517650945")</f>
        <v/>
      </c>
      <c r="B2021" s="2" t="n">
        <v>43211.61972222223</v>
      </c>
      <c r="C2021" t="n">
        <v>0</v>
      </c>
      <c r="D2021" t="n">
        <v>0</v>
      </c>
      <c r="E2021" t="s">
        <v>2029</v>
      </c>
      <c r="F2021" t="s"/>
      <c r="G2021" t="s"/>
      <c r="H2021" t="s"/>
      <c r="I2021" t="s"/>
      <c r="J2021" t="n">
        <v>0</v>
      </c>
      <c r="K2021" t="n">
        <v>0</v>
      </c>
      <c r="L2021" t="n">
        <v>1</v>
      </c>
      <c r="M2021" t="n">
        <v>0</v>
      </c>
    </row>
    <row r="2022" spans="1:13">
      <c r="A2022" s="1">
        <f>HYPERLINK("http://www.twitter.com/NathanBLawrence/status/987704845934235648", "987704845934235648")</f>
        <v/>
      </c>
      <c r="B2022" s="2" t="n">
        <v>43211.61759259259</v>
      </c>
      <c r="C2022" t="n">
        <v>4</v>
      </c>
      <c r="D2022" t="n">
        <v>1</v>
      </c>
      <c r="E2022" t="s">
        <v>2030</v>
      </c>
      <c r="F2022" t="s"/>
      <c r="G2022" t="s"/>
      <c r="H2022" t="s"/>
      <c r="I2022" t="s"/>
      <c r="J2022" t="n">
        <v>0.5574</v>
      </c>
      <c r="K2022" t="n">
        <v>0</v>
      </c>
      <c r="L2022" t="n">
        <v>0.6899999999999999</v>
      </c>
      <c r="M2022" t="n">
        <v>0.31</v>
      </c>
    </row>
    <row r="2023" spans="1:13">
      <c r="A2023" s="1">
        <f>HYPERLINK("http://www.twitter.com/NathanBLawrence/status/987704606825373696", "987704606825373696")</f>
        <v/>
      </c>
      <c r="B2023" s="2" t="n">
        <v>43211.61693287037</v>
      </c>
      <c r="C2023" t="n">
        <v>3</v>
      </c>
      <c r="D2023" t="n">
        <v>0</v>
      </c>
      <c r="E2023" t="s">
        <v>2031</v>
      </c>
      <c r="F2023" t="s"/>
      <c r="G2023" t="s"/>
      <c r="H2023" t="s"/>
      <c r="I2023" t="s"/>
      <c r="J2023" t="n">
        <v>-0.8462</v>
      </c>
      <c r="K2023" t="n">
        <v>0.213</v>
      </c>
      <c r="L2023" t="n">
        <v>0.761</v>
      </c>
      <c r="M2023" t="n">
        <v>0.025</v>
      </c>
    </row>
    <row r="2024" spans="1:13">
      <c r="A2024" s="1">
        <f>HYPERLINK("http://www.twitter.com/NathanBLawrence/status/987702910871064576", "987702910871064576")</f>
        <v/>
      </c>
      <c r="B2024" s="2" t="n">
        <v>43211.61225694444</v>
      </c>
      <c r="C2024" t="n">
        <v>4</v>
      </c>
      <c r="D2024" t="n">
        <v>1</v>
      </c>
      <c r="E2024" t="s">
        <v>2032</v>
      </c>
      <c r="F2024" t="s"/>
      <c r="G2024" t="s"/>
      <c r="H2024" t="s"/>
      <c r="I2024" t="s"/>
      <c r="J2024" t="n">
        <v>0.6369</v>
      </c>
      <c r="K2024" t="n">
        <v>0</v>
      </c>
      <c r="L2024" t="n">
        <v>0.536</v>
      </c>
      <c r="M2024" t="n">
        <v>0.464</v>
      </c>
    </row>
    <row r="2025" spans="1:13">
      <c r="A2025" s="1">
        <f>HYPERLINK("http://www.twitter.com/NathanBLawrence/status/987702468325904384", "987702468325904384")</f>
        <v/>
      </c>
      <c r="B2025" s="2" t="n">
        <v>43211.61103009259</v>
      </c>
      <c r="C2025" t="n">
        <v>0</v>
      </c>
      <c r="D2025" t="n">
        <v>62</v>
      </c>
      <c r="E2025" t="s">
        <v>2033</v>
      </c>
      <c r="F2025" t="s"/>
      <c r="G2025" t="s"/>
      <c r="H2025" t="s"/>
      <c r="I2025" t="s"/>
      <c r="J2025" t="n">
        <v>0.7964</v>
      </c>
      <c r="K2025" t="n">
        <v>0</v>
      </c>
      <c r="L2025" t="n">
        <v>0.6870000000000001</v>
      </c>
      <c r="M2025" t="n">
        <v>0.313</v>
      </c>
    </row>
    <row r="2026" spans="1:13">
      <c r="A2026" s="1">
        <f>HYPERLINK("http://www.twitter.com/NathanBLawrence/status/987701373696462849", "987701373696462849")</f>
        <v/>
      </c>
      <c r="B2026" s="2" t="n">
        <v>43211.60800925926</v>
      </c>
      <c r="C2026" t="n">
        <v>0</v>
      </c>
      <c r="D2026" t="n">
        <v>0</v>
      </c>
      <c r="E2026" t="s">
        <v>2034</v>
      </c>
      <c r="F2026" t="s"/>
      <c r="G2026" t="s"/>
      <c r="H2026" t="s"/>
      <c r="I2026" t="s"/>
      <c r="J2026" t="n">
        <v>0</v>
      </c>
      <c r="K2026" t="n">
        <v>0</v>
      </c>
      <c r="L2026" t="n">
        <v>1</v>
      </c>
      <c r="M2026" t="n">
        <v>0</v>
      </c>
    </row>
    <row r="2027" spans="1:13">
      <c r="A2027" s="1">
        <f>HYPERLINK("http://www.twitter.com/NathanBLawrence/status/987698590796656641", "987698590796656641")</f>
        <v/>
      </c>
      <c r="B2027" s="2" t="n">
        <v>43211.60033564815</v>
      </c>
      <c r="C2027" t="n">
        <v>7</v>
      </c>
      <c r="D2027" t="n">
        <v>0</v>
      </c>
      <c r="E2027" t="s">
        <v>2035</v>
      </c>
      <c r="F2027" t="s"/>
      <c r="G2027" t="s"/>
      <c r="H2027" t="s"/>
      <c r="I2027" t="s"/>
      <c r="J2027" t="n">
        <v>0.5461</v>
      </c>
      <c r="K2027" t="n">
        <v>0</v>
      </c>
      <c r="L2027" t="n">
        <v>0.694</v>
      </c>
      <c r="M2027" t="n">
        <v>0.306</v>
      </c>
    </row>
    <row r="2028" spans="1:13">
      <c r="A2028" s="1">
        <f>HYPERLINK("http://www.twitter.com/NathanBLawrence/status/987698365319303169", "987698365319303169")</f>
        <v/>
      </c>
      <c r="B2028" s="2" t="n">
        <v>43211.59971064814</v>
      </c>
      <c r="C2028" t="n">
        <v>0</v>
      </c>
      <c r="D2028" t="n">
        <v>23</v>
      </c>
      <c r="E2028" t="s">
        <v>2036</v>
      </c>
      <c r="F2028" t="s"/>
      <c r="G2028" t="s"/>
      <c r="H2028" t="s"/>
      <c r="I2028" t="s"/>
      <c r="J2028" t="n">
        <v>-0.34</v>
      </c>
      <c r="K2028" t="n">
        <v>0.094</v>
      </c>
      <c r="L2028" t="n">
        <v>0.906</v>
      </c>
      <c r="M2028" t="n">
        <v>0</v>
      </c>
    </row>
    <row r="2029" spans="1:13">
      <c r="A2029" s="1">
        <f>HYPERLINK("http://www.twitter.com/NathanBLawrence/status/987695893548847110", "987695893548847110")</f>
        <v/>
      </c>
      <c r="B2029" s="2" t="n">
        <v>43211.59289351852</v>
      </c>
      <c r="C2029" t="n">
        <v>12</v>
      </c>
      <c r="D2029" t="n">
        <v>7</v>
      </c>
      <c r="E2029" t="s">
        <v>2037</v>
      </c>
      <c r="F2029" t="s"/>
      <c r="G2029" t="s"/>
      <c r="H2029" t="s"/>
      <c r="I2029" t="s"/>
      <c r="J2029" t="n">
        <v>-0.5624</v>
      </c>
      <c r="K2029" t="n">
        <v>0.265</v>
      </c>
      <c r="L2029" t="n">
        <v>0.522</v>
      </c>
      <c r="M2029" t="n">
        <v>0.213</v>
      </c>
    </row>
    <row r="2030" spans="1:13">
      <c r="A2030" s="1">
        <f>HYPERLINK("http://www.twitter.com/NathanBLawrence/status/987694160776957952", "987694160776957952")</f>
        <v/>
      </c>
      <c r="B2030" s="2" t="n">
        <v>43211.58811342593</v>
      </c>
      <c r="C2030" t="n">
        <v>1</v>
      </c>
      <c r="D2030" t="n">
        <v>1</v>
      </c>
      <c r="E2030" t="s">
        <v>2038</v>
      </c>
      <c r="F2030" t="s"/>
      <c r="G2030" t="s"/>
      <c r="H2030" t="s"/>
      <c r="I2030" t="s"/>
      <c r="J2030" t="n">
        <v>0.1779</v>
      </c>
      <c r="K2030" t="n">
        <v>0.168</v>
      </c>
      <c r="L2030" t="n">
        <v>0.611</v>
      </c>
      <c r="M2030" t="n">
        <v>0.221</v>
      </c>
    </row>
    <row r="2031" spans="1:13">
      <c r="A2031" s="1">
        <f>HYPERLINK("http://www.twitter.com/NathanBLawrence/status/987693665127751681", "987693665127751681")</f>
        <v/>
      </c>
      <c r="B2031" s="2" t="n">
        <v>43211.58673611111</v>
      </c>
      <c r="C2031" t="n">
        <v>0</v>
      </c>
      <c r="D2031" t="n">
        <v>628</v>
      </c>
      <c r="E2031" t="s">
        <v>2039</v>
      </c>
      <c r="F2031" t="s"/>
      <c r="G2031" t="s"/>
      <c r="H2031" t="s"/>
      <c r="I2031" t="s"/>
      <c r="J2031" t="n">
        <v>0.5815</v>
      </c>
      <c r="K2031" t="n">
        <v>0</v>
      </c>
      <c r="L2031" t="n">
        <v>0.746</v>
      </c>
      <c r="M2031" t="n">
        <v>0.254</v>
      </c>
    </row>
    <row r="2032" spans="1:13">
      <c r="A2032" s="1">
        <f>HYPERLINK("http://www.twitter.com/NathanBLawrence/status/987692705278021632", "987692705278021632")</f>
        <v/>
      </c>
      <c r="B2032" s="2" t="n">
        <v>43211.58409722222</v>
      </c>
      <c r="C2032" t="n">
        <v>1</v>
      </c>
      <c r="D2032" t="n">
        <v>0</v>
      </c>
      <c r="E2032" t="s">
        <v>2040</v>
      </c>
      <c r="F2032" t="s"/>
      <c r="G2032" t="s"/>
      <c r="H2032" t="s"/>
      <c r="I2032" t="s"/>
      <c r="J2032" t="n">
        <v>0.8658</v>
      </c>
      <c r="K2032" t="n">
        <v>0.128</v>
      </c>
      <c r="L2032" t="n">
        <v>0.533</v>
      </c>
      <c r="M2032" t="n">
        <v>0.339</v>
      </c>
    </row>
    <row r="2033" spans="1:13">
      <c r="A2033" s="1">
        <f>HYPERLINK("http://www.twitter.com/NathanBLawrence/status/987691691502161921", "987691691502161921")</f>
        <v/>
      </c>
      <c r="B2033" s="2" t="n">
        <v>43211.5812962963</v>
      </c>
      <c r="C2033" t="n">
        <v>21</v>
      </c>
      <c r="D2033" t="n">
        <v>13</v>
      </c>
      <c r="E2033" t="s">
        <v>2041</v>
      </c>
      <c r="F2033">
        <f>HYPERLINK("http://pbs.twimg.com/media/DbT8WmHVAAA8yAP.jpg", "http://pbs.twimg.com/media/DbT8WmHVAAA8yAP.jpg")</f>
        <v/>
      </c>
      <c r="G2033" t="s"/>
      <c r="H2033" t="s"/>
      <c r="I2033" t="s"/>
      <c r="J2033" t="n">
        <v>0.8591</v>
      </c>
      <c r="K2033" t="n">
        <v>0.047</v>
      </c>
      <c r="L2033" t="n">
        <v>0.729</v>
      </c>
      <c r="M2033" t="n">
        <v>0.224</v>
      </c>
    </row>
    <row r="2034" spans="1:13">
      <c r="A2034" s="1">
        <f>HYPERLINK("http://www.twitter.com/NathanBLawrence/status/987688614221041665", "987688614221041665")</f>
        <v/>
      </c>
      <c r="B2034" s="2" t="n">
        <v>43211.57280092593</v>
      </c>
      <c r="C2034" t="n">
        <v>2</v>
      </c>
      <c r="D2034" t="n">
        <v>1</v>
      </c>
      <c r="E2034" t="s">
        <v>2042</v>
      </c>
      <c r="F2034" t="s"/>
      <c r="G2034" t="s"/>
      <c r="H2034" t="s"/>
      <c r="I2034" t="s"/>
      <c r="J2034" t="n">
        <v>0</v>
      </c>
      <c r="K2034" t="n">
        <v>0</v>
      </c>
      <c r="L2034" t="n">
        <v>1</v>
      </c>
      <c r="M2034" t="n">
        <v>0</v>
      </c>
    </row>
    <row r="2035" spans="1:13">
      <c r="A2035" s="1">
        <f>HYPERLINK("http://www.twitter.com/NathanBLawrence/status/987687505616130048", "987687505616130048")</f>
        <v/>
      </c>
      <c r="B2035" s="2" t="n">
        <v>43211.56974537037</v>
      </c>
      <c r="C2035" t="n">
        <v>1</v>
      </c>
      <c r="D2035" t="n">
        <v>0</v>
      </c>
      <c r="E2035" t="s">
        <v>2043</v>
      </c>
      <c r="F2035" t="s"/>
      <c r="G2035" t="s"/>
      <c r="H2035" t="s"/>
      <c r="I2035" t="s"/>
      <c r="J2035" t="n">
        <v>0.5411</v>
      </c>
      <c r="K2035" t="n">
        <v>0</v>
      </c>
      <c r="L2035" t="n">
        <v>0.791</v>
      </c>
      <c r="M2035" t="n">
        <v>0.209</v>
      </c>
    </row>
    <row r="2036" spans="1:13">
      <c r="A2036" s="1">
        <f>HYPERLINK("http://www.twitter.com/NathanBLawrence/status/987684656085684224", "987684656085684224")</f>
        <v/>
      </c>
      <c r="B2036" s="2" t="n">
        <v>43211.561875</v>
      </c>
      <c r="C2036" t="n">
        <v>0</v>
      </c>
      <c r="D2036" t="n">
        <v>8</v>
      </c>
      <c r="E2036" t="s">
        <v>2044</v>
      </c>
      <c r="F2036" t="s"/>
      <c r="G2036" t="s"/>
      <c r="H2036" t="s"/>
      <c r="I2036" t="s"/>
      <c r="J2036" t="n">
        <v>0</v>
      </c>
      <c r="K2036" t="n">
        <v>0</v>
      </c>
      <c r="L2036" t="n">
        <v>1</v>
      </c>
      <c r="M2036" t="n">
        <v>0</v>
      </c>
    </row>
    <row r="2037" spans="1:13">
      <c r="A2037" s="1">
        <f>HYPERLINK("http://www.twitter.com/NathanBLawrence/status/987673674458288129", "987673674458288129")</f>
        <v/>
      </c>
      <c r="B2037" s="2" t="n">
        <v>43211.53157407408</v>
      </c>
      <c r="C2037" t="n">
        <v>0</v>
      </c>
      <c r="D2037" t="n">
        <v>25844</v>
      </c>
      <c r="E2037" t="s">
        <v>2045</v>
      </c>
      <c r="F2037" t="s"/>
      <c r="G2037" t="s"/>
      <c r="H2037" t="s"/>
      <c r="I2037" t="s"/>
      <c r="J2037" t="n">
        <v>0.1022</v>
      </c>
      <c r="K2037" t="n">
        <v>0.115</v>
      </c>
      <c r="L2037" t="n">
        <v>0.752</v>
      </c>
      <c r="M2037" t="n">
        <v>0.133</v>
      </c>
    </row>
    <row r="2038" spans="1:13">
      <c r="A2038" s="1">
        <f>HYPERLINK("http://www.twitter.com/NathanBLawrence/status/987673072621809664", "987673072621809664")</f>
        <v/>
      </c>
      <c r="B2038" s="2" t="n">
        <v>43211.52991898148</v>
      </c>
      <c r="C2038" t="n">
        <v>2</v>
      </c>
      <c r="D2038" t="n">
        <v>1</v>
      </c>
      <c r="E2038" t="s">
        <v>2046</v>
      </c>
      <c r="F2038" t="s"/>
      <c r="G2038" t="s"/>
      <c r="H2038" t="s"/>
      <c r="I2038" t="s"/>
      <c r="J2038" t="n">
        <v>0.2714</v>
      </c>
      <c r="K2038" t="n">
        <v>0.049</v>
      </c>
      <c r="L2038" t="n">
        <v>0.861</v>
      </c>
      <c r="M2038" t="n">
        <v>0.09</v>
      </c>
    </row>
    <row r="2039" spans="1:13">
      <c r="A2039" s="1">
        <f>HYPERLINK("http://www.twitter.com/NathanBLawrence/status/987672378909102080", "987672378909102080")</f>
        <v/>
      </c>
      <c r="B2039" s="2" t="n">
        <v>43211.52799768518</v>
      </c>
      <c r="C2039" t="n">
        <v>0</v>
      </c>
      <c r="D2039" t="n">
        <v>8</v>
      </c>
      <c r="E2039" t="s">
        <v>2047</v>
      </c>
      <c r="F2039" t="s"/>
      <c r="G2039" t="s"/>
      <c r="H2039" t="s"/>
      <c r="I2039" t="s"/>
      <c r="J2039" t="n">
        <v>-0.3887</v>
      </c>
      <c r="K2039" t="n">
        <v>0.132</v>
      </c>
      <c r="L2039" t="n">
        <v>0.801</v>
      </c>
      <c r="M2039" t="n">
        <v>0.067</v>
      </c>
    </row>
    <row r="2040" spans="1:13">
      <c r="A2040" s="1">
        <f>HYPERLINK("http://www.twitter.com/NathanBLawrence/status/987670614306643969", "987670614306643969")</f>
        <v/>
      </c>
      <c r="B2040" s="2" t="n">
        <v>43211.52313657408</v>
      </c>
      <c r="C2040" t="n">
        <v>0</v>
      </c>
      <c r="D2040" t="n">
        <v>1</v>
      </c>
      <c r="E2040" t="s">
        <v>2048</v>
      </c>
      <c r="F2040" t="s"/>
      <c r="G2040" t="s"/>
      <c r="H2040" t="s"/>
      <c r="I2040" t="s"/>
      <c r="J2040" t="n">
        <v>0.8922</v>
      </c>
      <c r="K2040" t="n">
        <v>0</v>
      </c>
      <c r="L2040" t="n">
        <v>0.429</v>
      </c>
      <c r="M2040" t="n">
        <v>0.571</v>
      </c>
    </row>
    <row r="2041" spans="1:13">
      <c r="A2041" s="1">
        <f>HYPERLINK("http://www.twitter.com/NathanBLawrence/status/987670137812783106", "987670137812783106")</f>
        <v/>
      </c>
      <c r="B2041" s="2" t="n">
        <v>43211.52181712963</v>
      </c>
      <c r="C2041" t="n">
        <v>0</v>
      </c>
      <c r="D2041" t="n">
        <v>0</v>
      </c>
      <c r="E2041" t="s">
        <v>2049</v>
      </c>
      <c r="F2041" t="s"/>
      <c r="G2041" t="s"/>
      <c r="H2041" t="s"/>
      <c r="I2041" t="s"/>
      <c r="J2041" t="n">
        <v>-0.4019</v>
      </c>
      <c r="K2041" t="n">
        <v>0.231</v>
      </c>
      <c r="L2041" t="n">
        <v>0.769</v>
      </c>
      <c r="M2041" t="n">
        <v>0</v>
      </c>
    </row>
    <row r="2042" spans="1:13">
      <c r="A2042" s="1">
        <f>HYPERLINK("http://www.twitter.com/NathanBLawrence/status/987669707812679680", "987669707812679680")</f>
        <v/>
      </c>
      <c r="B2042" s="2" t="n">
        <v>43211.52063657407</v>
      </c>
      <c r="C2042" t="n">
        <v>0</v>
      </c>
      <c r="D2042" t="n">
        <v>0</v>
      </c>
      <c r="E2042" t="s">
        <v>2050</v>
      </c>
      <c r="F2042" t="s"/>
      <c r="G2042" t="s"/>
      <c r="H2042" t="s"/>
      <c r="I2042" t="s"/>
      <c r="J2042" t="n">
        <v>-0.3595</v>
      </c>
      <c r="K2042" t="n">
        <v>0.079</v>
      </c>
      <c r="L2042" t="n">
        <v>0.921</v>
      </c>
      <c r="M2042" t="n">
        <v>0</v>
      </c>
    </row>
    <row r="2043" spans="1:13">
      <c r="A2043" s="1">
        <f>HYPERLINK("http://www.twitter.com/NathanBLawrence/status/987669058853265408", "987669058853265408")</f>
        <v/>
      </c>
      <c r="B2043" s="2" t="n">
        <v>43211.5188425926</v>
      </c>
      <c r="C2043" t="n">
        <v>0</v>
      </c>
      <c r="D2043" t="n">
        <v>1</v>
      </c>
      <c r="E2043" t="s">
        <v>2051</v>
      </c>
      <c r="F2043" t="s"/>
      <c r="G2043" t="s"/>
      <c r="H2043" t="s"/>
      <c r="I2043" t="s"/>
      <c r="J2043" t="n">
        <v>0</v>
      </c>
      <c r="K2043" t="n">
        <v>0</v>
      </c>
      <c r="L2043" t="n">
        <v>1</v>
      </c>
      <c r="M2043" t="n">
        <v>0</v>
      </c>
    </row>
    <row r="2044" spans="1:13">
      <c r="A2044" s="1">
        <f>HYPERLINK("http://www.twitter.com/NathanBLawrence/status/987666724043542528", "987666724043542528")</f>
        <v/>
      </c>
      <c r="B2044" s="2" t="n">
        <v>43211.51239583334</v>
      </c>
      <c r="C2044" t="n">
        <v>0</v>
      </c>
      <c r="D2044" t="n">
        <v>0</v>
      </c>
      <c r="E2044" t="s">
        <v>2052</v>
      </c>
      <c r="F2044" t="s"/>
      <c r="G2044" t="s"/>
      <c r="H2044" t="s"/>
      <c r="I2044" t="s"/>
      <c r="J2044" t="n">
        <v>0</v>
      </c>
      <c r="K2044" t="n">
        <v>0</v>
      </c>
      <c r="L2044" t="n">
        <v>1</v>
      </c>
      <c r="M2044" t="n">
        <v>0</v>
      </c>
    </row>
    <row r="2045" spans="1:13">
      <c r="A2045" s="1">
        <f>HYPERLINK("http://www.twitter.com/NathanBLawrence/status/987658039732862976", "987658039732862976")</f>
        <v/>
      </c>
      <c r="B2045" s="2" t="n">
        <v>43211.4884375</v>
      </c>
      <c r="C2045" t="n">
        <v>10</v>
      </c>
      <c r="D2045" t="n">
        <v>3</v>
      </c>
      <c r="E2045" t="s">
        <v>2053</v>
      </c>
      <c r="F2045" t="s"/>
      <c r="G2045" t="s"/>
      <c r="H2045" t="s"/>
      <c r="I2045" t="s"/>
      <c r="J2045" t="n">
        <v>-0.9523</v>
      </c>
      <c r="K2045" t="n">
        <v>0.299</v>
      </c>
      <c r="L2045" t="n">
        <v>0.701</v>
      </c>
      <c r="M2045" t="n">
        <v>0</v>
      </c>
    </row>
    <row r="2046" spans="1:13">
      <c r="A2046" s="1">
        <f>HYPERLINK("http://www.twitter.com/NathanBLawrence/status/987651463244648448", "987651463244648448")</f>
        <v/>
      </c>
      <c r="B2046" s="2" t="n">
        <v>43211.47028935186</v>
      </c>
      <c r="C2046" t="n">
        <v>2</v>
      </c>
      <c r="D2046" t="n">
        <v>1</v>
      </c>
      <c r="E2046" t="s">
        <v>2054</v>
      </c>
      <c r="F2046" t="s"/>
      <c r="G2046" t="s"/>
      <c r="H2046" t="s"/>
      <c r="I2046" t="s"/>
      <c r="J2046" t="n">
        <v>0.1779</v>
      </c>
      <c r="K2046" t="n">
        <v>0.142</v>
      </c>
      <c r="L2046" t="n">
        <v>0.6929999999999999</v>
      </c>
      <c r="M2046" t="n">
        <v>0.165</v>
      </c>
    </row>
    <row r="2047" spans="1:13">
      <c r="A2047" s="1">
        <f>HYPERLINK("http://www.twitter.com/NathanBLawrence/status/987650768579760128", "987650768579760128")</f>
        <v/>
      </c>
      <c r="B2047" s="2" t="n">
        <v>43211.46836805555</v>
      </c>
      <c r="C2047" t="n">
        <v>2</v>
      </c>
      <c r="D2047" t="n">
        <v>1</v>
      </c>
      <c r="E2047" t="s">
        <v>2055</v>
      </c>
      <c r="F2047" t="s"/>
      <c r="G2047" t="s"/>
      <c r="H2047" t="s"/>
      <c r="I2047" t="s"/>
      <c r="J2047" t="n">
        <v>-0.1779</v>
      </c>
      <c r="K2047" t="n">
        <v>0.221</v>
      </c>
      <c r="L2047" t="n">
        <v>0.779</v>
      </c>
      <c r="M2047" t="n">
        <v>0</v>
      </c>
    </row>
    <row r="2048" spans="1:13">
      <c r="A2048" s="1">
        <f>HYPERLINK("http://www.twitter.com/NathanBLawrence/status/987650021423222785", "987650021423222785")</f>
        <v/>
      </c>
      <c r="B2048" s="2" t="n">
        <v>43211.46630787037</v>
      </c>
      <c r="C2048" t="n">
        <v>2</v>
      </c>
      <c r="D2048" t="n">
        <v>0</v>
      </c>
      <c r="E2048" t="s">
        <v>2056</v>
      </c>
      <c r="F2048" t="s"/>
      <c r="G2048" t="s"/>
      <c r="H2048" t="s"/>
      <c r="I2048" t="s"/>
      <c r="J2048" t="n">
        <v>-0.128</v>
      </c>
      <c r="K2048" t="n">
        <v>0.14</v>
      </c>
      <c r="L2048" t="n">
        <v>0.769</v>
      </c>
      <c r="M2048" t="n">
        <v>0.09</v>
      </c>
    </row>
    <row r="2049" spans="1:13">
      <c r="A2049" s="1">
        <f>HYPERLINK("http://www.twitter.com/NathanBLawrence/status/987555710618742784", "987555710618742784")</f>
        <v/>
      </c>
      <c r="B2049" s="2" t="n">
        <v>43211.20605324074</v>
      </c>
      <c r="C2049" t="n">
        <v>0</v>
      </c>
      <c r="D2049" t="n">
        <v>0</v>
      </c>
      <c r="E2049" t="s">
        <v>2057</v>
      </c>
      <c r="F2049" t="s"/>
      <c r="G2049" t="s"/>
      <c r="H2049" t="s"/>
      <c r="I2049" t="s"/>
      <c r="J2049" t="n">
        <v>0.6249</v>
      </c>
      <c r="K2049" t="n">
        <v>0</v>
      </c>
      <c r="L2049" t="n">
        <v>0.797</v>
      </c>
      <c r="M2049" t="n">
        <v>0.203</v>
      </c>
    </row>
    <row r="2050" spans="1:13">
      <c r="A2050" s="1">
        <f>HYPERLINK("http://www.twitter.com/NathanBLawrence/status/987551585747259393", "987551585747259393")</f>
        <v/>
      </c>
      <c r="B2050" s="2" t="n">
        <v>43211.19467592592</v>
      </c>
      <c r="C2050" t="n">
        <v>2</v>
      </c>
      <c r="D2050" t="n">
        <v>0</v>
      </c>
      <c r="E2050" t="s">
        <v>2058</v>
      </c>
      <c r="F2050" t="s"/>
      <c r="G2050" t="s"/>
      <c r="H2050" t="s"/>
      <c r="I2050" t="s"/>
      <c r="J2050" t="n">
        <v>0.7783</v>
      </c>
      <c r="K2050" t="n">
        <v>0</v>
      </c>
      <c r="L2050" t="n">
        <v>0.618</v>
      </c>
      <c r="M2050" t="n">
        <v>0.382</v>
      </c>
    </row>
    <row r="2051" spans="1:13">
      <c r="A2051" s="1">
        <f>HYPERLINK("http://www.twitter.com/NathanBLawrence/status/987544756325666816", "987544756325666816")</f>
        <v/>
      </c>
      <c r="B2051" s="2" t="n">
        <v>43211.17583333333</v>
      </c>
      <c r="C2051" t="n">
        <v>3</v>
      </c>
      <c r="D2051" t="n">
        <v>0</v>
      </c>
      <c r="E2051" t="s">
        <v>2059</v>
      </c>
      <c r="F2051" t="s"/>
      <c r="G2051" t="s"/>
      <c r="H2051" t="s"/>
      <c r="I2051" t="s"/>
      <c r="J2051" t="n">
        <v>0.6486</v>
      </c>
      <c r="K2051" t="n">
        <v>0</v>
      </c>
      <c r="L2051" t="n">
        <v>0.654</v>
      </c>
      <c r="M2051" t="n">
        <v>0.346</v>
      </c>
    </row>
    <row r="2052" spans="1:13">
      <c r="A2052" s="1">
        <f>HYPERLINK("http://www.twitter.com/NathanBLawrence/status/987534794107047941", "987534794107047941")</f>
        <v/>
      </c>
      <c r="B2052" s="2" t="n">
        <v>43211.14834490741</v>
      </c>
      <c r="C2052" t="n">
        <v>0</v>
      </c>
      <c r="D2052" t="n">
        <v>0</v>
      </c>
      <c r="E2052" t="s">
        <v>2060</v>
      </c>
      <c r="F2052" t="s"/>
      <c r="G2052" t="s"/>
      <c r="H2052" t="s"/>
      <c r="I2052" t="s"/>
      <c r="J2052" t="n">
        <v>0</v>
      </c>
      <c r="K2052" t="n">
        <v>0</v>
      </c>
      <c r="L2052" t="n">
        <v>1</v>
      </c>
      <c r="M2052" t="n">
        <v>0</v>
      </c>
    </row>
    <row r="2053" spans="1:13">
      <c r="A2053" s="1">
        <f>HYPERLINK("http://www.twitter.com/NathanBLawrence/status/987534290123714560", "987534290123714560")</f>
        <v/>
      </c>
      <c r="B2053" s="2" t="n">
        <v>43211.14694444444</v>
      </c>
      <c r="C2053" t="n">
        <v>1</v>
      </c>
      <c r="D2053" t="n">
        <v>0</v>
      </c>
      <c r="E2053" t="s">
        <v>2061</v>
      </c>
      <c r="F2053" t="s"/>
      <c r="G2053" t="s"/>
      <c r="H2053" t="s"/>
      <c r="I2053" t="s"/>
      <c r="J2053" t="n">
        <v>0.5152</v>
      </c>
      <c r="K2053" t="n">
        <v>0.131</v>
      </c>
      <c r="L2053" t="n">
        <v>0.596</v>
      </c>
      <c r="M2053" t="n">
        <v>0.273</v>
      </c>
    </row>
    <row r="2054" spans="1:13">
      <c r="A2054" s="1">
        <f>HYPERLINK("http://www.twitter.com/NathanBLawrence/status/987527143012950016", "987527143012950016")</f>
        <v/>
      </c>
      <c r="B2054" s="2" t="n">
        <v>43211.12722222223</v>
      </c>
      <c r="C2054" t="n">
        <v>0</v>
      </c>
      <c r="D2054" t="n">
        <v>7</v>
      </c>
      <c r="E2054" t="s">
        <v>2062</v>
      </c>
      <c r="F2054">
        <f>HYPERLINK("http://pbs.twimg.com/media/DbRMrz_X0AADWJz.jpg", "http://pbs.twimg.com/media/DbRMrz_X0AADWJz.jpg")</f>
        <v/>
      </c>
      <c r="G2054" t="s"/>
      <c r="H2054" t="s"/>
      <c r="I2054" t="s"/>
      <c r="J2054" t="n">
        <v>-0.5106000000000001</v>
      </c>
      <c r="K2054" t="n">
        <v>0.217</v>
      </c>
      <c r="L2054" t="n">
        <v>0.6860000000000001</v>
      </c>
      <c r="M2054" t="n">
        <v>0.097</v>
      </c>
    </row>
    <row r="2055" spans="1:13">
      <c r="A2055" s="1">
        <f>HYPERLINK("http://www.twitter.com/NathanBLawrence/status/987526998414196736", "987526998414196736")</f>
        <v/>
      </c>
      <c r="B2055" s="2" t="n">
        <v>43211.1268287037</v>
      </c>
      <c r="C2055" t="n">
        <v>0</v>
      </c>
      <c r="D2055" t="n">
        <v>7</v>
      </c>
      <c r="E2055" t="s">
        <v>2063</v>
      </c>
      <c r="F2055" t="s"/>
      <c r="G2055" t="s"/>
      <c r="H2055" t="s"/>
      <c r="I2055" t="s"/>
      <c r="J2055" t="n">
        <v>-0.4767</v>
      </c>
      <c r="K2055" t="n">
        <v>0.114</v>
      </c>
      <c r="L2055" t="n">
        <v>0.886</v>
      </c>
      <c r="M2055" t="n">
        <v>0</v>
      </c>
    </row>
    <row r="2056" spans="1:13">
      <c r="A2056" s="1">
        <f>HYPERLINK("http://www.twitter.com/NathanBLawrence/status/987525751124774912", "987525751124774912")</f>
        <v/>
      </c>
      <c r="B2056" s="2" t="n">
        <v>43211.12339120371</v>
      </c>
      <c r="C2056" t="n">
        <v>2</v>
      </c>
      <c r="D2056" t="n">
        <v>0</v>
      </c>
      <c r="E2056" t="s">
        <v>2064</v>
      </c>
      <c r="F2056" t="s"/>
      <c r="G2056" t="s"/>
      <c r="H2056" t="s"/>
      <c r="I2056" t="s"/>
      <c r="J2056" t="n">
        <v>0.6758999999999999</v>
      </c>
      <c r="K2056" t="n">
        <v>0.091</v>
      </c>
      <c r="L2056" t="n">
        <v>0.643</v>
      </c>
      <c r="M2056" t="n">
        <v>0.266</v>
      </c>
    </row>
    <row r="2057" spans="1:13">
      <c r="A2057" s="1">
        <f>HYPERLINK("http://www.twitter.com/NathanBLawrence/status/987525055470096384", "987525055470096384")</f>
        <v/>
      </c>
      <c r="B2057" s="2" t="n">
        <v>43211.1214699074</v>
      </c>
      <c r="C2057" t="n">
        <v>0</v>
      </c>
      <c r="D2057" t="n">
        <v>11</v>
      </c>
      <c r="E2057" t="s">
        <v>2065</v>
      </c>
      <c r="F2057" t="s"/>
      <c r="G2057" t="s"/>
      <c r="H2057" t="s"/>
      <c r="I2057" t="s"/>
      <c r="J2057" t="n">
        <v>-0.3182</v>
      </c>
      <c r="K2057" t="n">
        <v>0.081</v>
      </c>
      <c r="L2057" t="n">
        <v>0.919</v>
      </c>
      <c r="M2057" t="n">
        <v>0</v>
      </c>
    </row>
    <row r="2058" spans="1:13">
      <c r="A2058" s="1">
        <f>HYPERLINK("http://www.twitter.com/NathanBLawrence/status/987524570994368513", "987524570994368513")</f>
        <v/>
      </c>
      <c r="B2058" s="2" t="n">
        <v>43211.12012731482</v>
      </c>
      <c r="C2058" t="n">
        <v>0</v>
      </c>
      <c r="D2058" t="n">
        <v>6</v>
      </c>
      <c r="E2058" t="s">
        <v>2066</v>
      </c>
      <c r="F2058">
        <f>HYPERLINK("http://pbs.twimg.com/media/DbQThqEU0AEIUUD.jpg", "http://pbs.twimg.com/media/DbQThqEU0AEIUUD.jpg")</f>
        <v/>
      </c>
      <c r="G2058" t="s"/>
      <c r="H2058" t="s"/>
      <c r="I2058" t="s"/>
      <c r="J2058" t="n">
        <v>0.0772</v>
      </c>
      <c r="K2058" t="n">
        <v>0</v>
      </c>
      <c r="L2058" t="n">
        <v>0.9360000000000001</v>
      </c>
      <c r="M2058" t="n">
        <v>0.064</v>
      </c>
    </row>
    <row r="2059" spans="1:13">
      <c r="A2059" s="1">
        <f>HYPERLINK("http://www.twitter.com/NathanBLawrence/status/987524313124343808", "987524313124343808")</f>
        <v/>
      </c>
      <c r="B2059" s="2" t="n">
        <v>43211.11942129629</v>
      </c>
      <c r="C2059" t="n">
        <v>0</v>
      </c>
      <c r="D2059" t="n">
        <v>3</v>
      </c>
      <c r="E2059" t="s">
        <v>2067</v>
      </c>
      <c r="F2059" t="s"/>
      <c r="G2059" t="s"/>
      <c r="H2059" t="s"/>
      <c r="I2059" t="s"/>
      <c r="J2059" t="n">
        <v>0</v>
      </c>
      <c r="K2059" t="n">
        <v>0</v>
      </c>
      <c r="L2059" t="n">
        <v>1</v>
      </c>
      <c r="M2059" t="n">
        <v>0</v>
      </c>
    </row>
    <row r="2060" spans="1:13">
      <c r="A2060" s="1">
        <f>HYPERLINK("http://www.twitter.com/NathanBLawrence/status/987523128757833729", "987523128757833729")</f>
        <v/>
      </c>
      <c r="B2060" s="2" t="n">
        <v>43211.11614583333</v>
      </c>
      <c r="C2060" t="n">
        <v>0</v>
      </c>
      <c r="D2060" t="n">
        <v>1</v>
      </c>
      <c r="E2060" t="s">
        <v>2068</v>
      </c>
      <c r="F2060" t="s"/>
      <c r="G2060" t="s"/>
      <c r="H2060" t="s"/>
      <c r="I2060" t="s"/>
      <c r="J2060" t="n">
        <v>-0.296</v>
      </c>
      <c r="K2060" t="n">
        <v>0.109</v>
      </c>
      <c r="L2060" t="n">
        <v>0.891</v>
      </c>
      <c r="M2060" t="n">
        <v>0</v>
      </c>
    </row>
    <row r="2061" spans="1:13">
      <c r="A2061" s="1">
        <f>HYPERLINK("http://www.twitter.com/NathanBLawrence/status/987522954320842752", "987522954320842752")</f>
        <v/>
      </c>
      <c r="B2061" s="2" t="n">
        <v>43211.1156712963</v>
      </c>
      <c r="C2061" t="n">
        <v>0</v>
      </c>
      <c r="D2061" t="n">
        <v>9</v>
      </c>
      <c r="E2061" t="s">
        <v>2069</v>
      </c>
      <c r="F2061" t="s"/>
      <c r="G2061" t="s"/>
      <c r="H2061" t="s"/>
      <c r="I2061" t="s"/>
      <c r="J2061" t="n">
        <v>0.4019</v>
      </c>
      <c r="K2061" t="n">
        <v>0</v>
      </c>
      <c r="L2061" t="n">
        <v>0.876</v>
      </c>
      <c r="M2061" t="n">
        <v>0.124</v>
      </c>
    </row>
    <row r="2062" spans="1:13">
      <c r="A2062" s="1">
        <f>HYPERLINK("http://www.twitter.com/NathanBLawrence/status/987516590597001217", "987516590597001217")</f>
        <v/>
      </c>
      <c r="B2062" s="2" t="n">
        <v>43211.09811342593</v>
      </c>
      <c r="C2062" t="n">
        <v>0</v>
      </c>
      <c r="D2062" t="n">
        <v>9</v>
      </c>
      <c r="E2062" t="s">
        <v>2070</v>
      </c>
      <c r="F2062" t="s"/>
      <c r="G2062" t="s"/>
      <c r="H2062" t="s"/>
      <c r="I2062" t="s"/>
      <c r="J2062" t="n">
        <v>-0.7351</v>
      </c>
      <c r="K2062" t="n">
        <v>0.228</v>
      </c>
      <c r="L2062" t="n">
        <v>0.772</v>
      </c>
      <c r="M2062" t="n">
        <v>0</v>
      </c>
    </row>
    <row r="2063" spans="1:13">
      <c r="A2063" s="1">
        <f>HYPERLINK("http://www.twitter.com/NathanBLawrence/status/987511909804118017", "987511909804118017")</f>
        <v/>
      </c>
      <c r="B2063" s="2" t="n">
        <v>43211.08519675926</v>
      </c>
      <c r="C2063" t="n">
        <v>0</v>
      </c>
      <c r="D2063" t="n">
        <v>1</v>
      </c>
      <c r="E2063" t="s">
        <v>2071</v>
      </c>
      <c r="F2063" t="s"/>
      <c r="G2063" t="s"/>
      <c r="H2063" t="s"/>
      <c r="I2063" t="s"/>
      <c r="J2063" t="n">
        <v>0</v>
      </c>
      <c r="K2063" t="n">
        <v>0</v>
      </c>
      <c r="L2063" t="n">
        <v>1</v>
      </c>
      <c r="M2063" t="n">
        <v>0</v>
      </c>
    </row>
    <row r="2064" spans="1:13">
      <c r="A2064" s="1">
        <f>HYPERLINK("http://www.twitter.com/NathanBLawrence/status/987511844599418880", "987511844599418880")</f>
        <v/>
      </c>
      <c r="B2064" s="2" t="n">
        <v>43211.08501157408</v>
      </c>
      <c r="C2064" t="n">
        <v>0</v>
      </c>
      <c r="D2064" t="n">
        <v>3</v>
      </c>
      <c r="E2064" t="s">
        <v>2072</v>
      </c>
      <c r="F2064" t="s"/>
      <c r="G2064" t="s"/>
      <c r="H2064" t="s"/>
      <c r="I2064" t="s"/>
      <c r="J2064" t="n">
        <v>-0.6458</v>
      </c>
      <c r="K2064" t="n">
        <v>0.237</v>
      </c>
      <c r="L2064" t="n">
        <v>0.763</v>
      </c>
      <c r="M2064" t="n">
        <v>0</v>
      </c>
    </row>
    <row r="2065" spans="1:13">
      <c r="A2065" s="1">
        <f>HYPERLINK("http://www.twitter.com/NathanBLawrence/status/987491207805849611", "987491207805849611")</f>
        <v/>
      </c>
      <c r="B2065" s="2" t="n">
        <v>43211.02806712963</v>
      </c>
      <c r="C2065" t="n">
        <v>0</v>
      </c>
      <c r="D2065" t="n">
        <v>17</v>
      </c>
      <c r="E2065" t="s">
        <v>2073</v>
      </c>
      <c r="F2065">
        <f>HYPERLINK("http://pbs.twimg.com/media/DbQ-H-NWkAUbwgn.jpg", "http://pbs.twimg.com/media/DbQ-H-NWkAUbwgn.jpg")</f>
        <v/>
      </c>
      <c r="G2065" t="s"/>
      <c r="H2065" t="s"/>
      <c r="I2065" t="s"/>
      <c r="J2065" t="n">
        <v>0.3182</v>
      </c>
      <c r="K2065" t="n">
        <v>0.059</v>
      </c>
      <c r="L2065" t="n">
        <v>0.822</v>
      </c>
      <c r="M2065" t="n">
        <v>0.119</v>
      </c>
    </row>
    <row r="2066" spans="1:13">
      <c r="A2066" s="1">
        <f>HYPERLINK("http://www.twitter.com/NathanBLawrence/status/987468981513703424", "987468981513703424")</f>
        <v/>
      </c>
      <c r="B2066" s="2" t="n">
        <v>43210.96673611111</v>
      </c>
      <c r="C2066" t="n">
        <v>0</v>
      </c>
      <c r="D2066" t="n">
        <v>0</v>
      </c>
      <c r="E2066" t="s">
        <v>2074</v>
      </c>
      <c r="F2066" t="s"/>
      <c r="G2066" t="s"/>
      <c r="H2066" t="s"/>
      <c r="I2066" t="s"/>
      <c r="J2066" t="n">
        <v>0</v>
      </c>
      <c r="K2066" t="n">
        <v>0</v>
      </c>
      <c r="L2066" t="n">
        <v>1</v>
      </c>
      <c r="M2066" t="n">
        <v>0</v>
      </c>
    </row>
    <row r="2067" spans="1:13">
      <c r="A2067" s="1">
        <f>HYPERLINK("http://www.twitter.com/NathanBLawrence/status/987468321237938176", "987468321237938176")</f>
        <v/>
      </c>
      <c r="B2067" s="2" t="n">
        <v>43210.9649074074</v>
      </c>
      <c r="C2067" t="n">
        <v>1</v>
      </c>
      <c r="D2067" t="n">
        <v>0</v>
      </c>
      <c r="E2067" t="s">
        <v>2075</v>
      </c>
      <c r="F2067" t="s"/>
      <c r="G2067" t="s"/>
      <c r="H2067" t="s"/>
      <c r="I2067" t="s"/>
      <c r="J2067" t="n">
        <v>0</v>
      </c>
      <c r="K2067" t="n">
        <v>0</v>
      </c>
      <c r="L2067" t="n">
        <v>1</v>
      </c>
      <c r="M2067" t="n">
        <v>0</v>
      </c>
    </row>
    <row r="2068" spans="1:13">
      <c r="A2068" s="1">
        <f>HYPERLINK("http://www.twitter.com/NathanBLawrence/status/987466264774889472", "987466264774889472")</f>
        <v/>
      </c>
      <c r="B2068" s="2" t="n">
        <v>43210.95923611111</v>
      </c>
      <c r="C2068" t="n">
        <v>0</v>
      </c>
      <c r="D2068" t="n">
        <v>0</v>
      </c>
      <c r="E2068" t="s">
        <v>2076</v>
      </c>
      <c r="F2068" t="s"/>
      <c r="G2068" t="s"/>
      <c r="H2068" t="s"/>
      <c r="I2068" t="s"/>
      <c r="J2068" t="n">
        <v>0</v>
      </c>
      <c r="K2068" t="n">
        <v>0</v>
      </c>
      <c r="L2068" t="n">
        <v>1</v>
      </c>
      <c r="M2068" t="n">
        <v>0</v>
      </c>
    </row>
    <row r="2069" spans="1:13">
      <c r="A2069" s="1">
        <f>HYPERLINK("http://www.twitter.com/NathanBLawrence/status/987465732727427072", "987465732727427072")</f>
        <v/>
      </c>
      <c r="B2069" s="2" t="n">
        <v>43210.9577662037</v>
      </c>
      <c r="C2069" t="n">
        <v>0</v>
      </c>
      <c r="D2069" t="n">
        <v>11</v>
      </c>
      <c r="E2069" t="s">
        <v>2077</v>
      </c>
      <c r="F2069">
        <f>HYPERLINK("http://pbs.twimg.com/media/DbQrXimW4AExk2T.jpg", "http://pbs.twimg.com/media/DbQrXimW4AExk2T.jpg")</f>
        <v/>
      </c>
      <c r="G2069" t="s"/>
      <c r="H2069" t="s"/>
      <c r="I2069" t="s"/>
      <c r="J2069" t="n">
        <v>0.4019</v>
      </c>
      <c r="K2069" t="n">
        <v>0</v>
      </c>
      <c r="L2069" t="n">
        <v>0.876</v>
      </c>
      <c r="M2069" t="n">
        <v>0.124</v>
      </c>
    </row>
    <row r="2070" spans="1:13">
      <c r="A2070" s="1">
        <f>HYPERLINK("http://www.twitter.com/NathanBLawrence/status/987457553020878849", "987457553020878849")</f>
        <v/>
      </c>
      <c r="B2070" s="2" t="n">
        <v>43210.93519675926</v>
      </c>
      <c r="C2070" t="n">
        <v>0</v>
      </c>
      <c r="D2070" t="n">
        <v>7</v>
      </c>
      <c r="E2070" t="s">
        <v>2078</v>
      </c>
      <c r="F2070" t="s"/>
      <c r="G2070" t="s"/>
      <c r="H2070" t="s"/>
      <c r="I2070" t="s"/>
      <c r="J2070" t="n">
        <v>0.3818</v>
      </c>
      <c r="K2070" t="n">
        <v>0</v>
      </c>
      <c r="L2070" t="n">
        <v>0.874</v>
      </c>
      <c r="M2070" t="n">
        <v>0.126</v>
      </c>
    </row>
    <row r="2071" spans="1:13">
      <c r="A2071" s="1">
        <f>HYPERLINK("http://www.twitter.com/NathanBLawrence/status/987455218668449792", "987455218668449792")</f>
        <v/>
      </c>
      <c r="B2071" s="2" t="n">
        <v>43210.92875</v>
      </c>
      <c r="C2071" t="n">
        <v>0</v>
      </c>
      <c r="D2071" t="n">
        <v>0</v>
      </c>
      <c r="E2071" t="s">
        <v>2079</v>
      </c>
      <c r="F2071" t="s"/>
      <c r="G2071" t="s"/>
      <c r="H2071" t="s"/>
      <c r="I2071" t="s"/>
      <c r="J2071" t="n">
        <v>0</v>
      </c>
      <c r="K2071" t="n">
        <v>0</v>
      </c>
      <c r="L2071" t="n">
        <v>1</v>
      </c>
      <c r="M2071" t="n">
        <v>0</v>
      </c>
    </row>
    <row r="2072" spans="1:13">
      <c r="A2072" s="1">
        <f>HYPERLINK("http://www.twitter.com/NathanBLawrence/status/987455188217876480", "987455188217876480")</f>
        <v/>
      </c>
      <c r="B2072" s="2" t="n">
        <v>43210.92866898148</v>
      </c>
      <c r="C2072" t="n">
        <v>0</v>
      </c>
      <c r="D2072" t="n">
        <v>1</v>
      </c>
      <c r="E2072" t="s">
        <v>2080</v>
      </c>
      <c r="F2072" t="s"/>
      <c r="G2072" t="s"/>
      <c r="H2072" t="s"/>
      <c r="I2072" t="s"/>
      <c r="J2072" t="n">
        <v>-0.296</v>
      </c>
      <c r="K2072" t="n">
        <v>0.095</v>
      </c>
      <c r="L2072" t="n">
        <v>0.905</v>
      </c>
      <c r="M2072" t="n">
        <v>0</v>
      </c>
    </row>
    <row r="2073" spans="1:13">
      <c r="A2073" s="1">
        <f>HYPERLINK("http://www.twitter.com/NathanBLawrence/status/987455129229152261", "987455129229152261")</f>
        <v/>
      </c>
      <c r="B2073" s="2" t="n">
        <v>43210.92850694444</v>
      </c>
      <c r="C2073" t="n">
        <v>0</v>
      </c>
      <c r="D2073" t="n">
        <v>6</v>
      </c>
      <c r="E2073" t="s">
        <v>2081</v>
      </c>
      <c r="F2073" t="s"/>
      <c r="G2073" t="s"/>
      <c r="H2073" t="s"/>
      <c r="I2073" t="s"/>
      <c r="J2073" t="n">
        <v>-0.4767</v>
      </c>
      <c r="K2073" t="n">
        <v>0.14</v>
      </c>
      <c r="L2073" t="n">
        <v>0.86</v>
      </c>
      <c r="M2073" t="n">
        <v>0</v>
      </c>
    </row>
    <row r="2074" spans="1:13">
      <c r="A2074" s="1">
        <f>HYPERLINK("http://www.twitter.com/NathanBLawrence/status/987455107280367616", "987455107280367616")</f>
        <v/>
      </c>
      <c r="B2074" s="2" t="n">
        <v>43210.92844907408</v>
      </c>
      <c r="C2074" t="n">
        <v>0</v>
      </c>
      <c r="D2074" t="n">
        <v>0</v>
      </c>
      <c r="E2074" t="s">
        <v>2082</v>
      </c>
      <c r="F2074" t="s"/>
      <c r="G2074" t="s"/>
      <c r="H2074" t="s"/>
      <c r="I2074" t="s"/>
      <c r="J2074" t="n">
        <v>0</v>
      </c>
      <c r="K2074" t="n">
        <v>0</v>
      </c>
      <c r="L2074" t="n">
        <v>1</v>
      </c>
      <c r="M2074" t="n">
        <v>0</v>
      </c>
    </row>
    <row r="2075" spans="1:13">
      <c r="A2075" s="1">
        <f>HYPERLINK("http://www.twitter.com/NathanBLawrence/status/987448602355228673", "987448602355228673")</f>
        <v/>
      </c>
      <c r="B2075" s="2" t="n">
        <v>43210.91049768519</v>
      </c>
      <c r="C2075" t="n">
        <v>2</v>
      </c>
      <c r="D2075" t="n">
        <v>0</v>
      </c>
      <c r="E2075" t="s">
        <v>2083</v>
      </c>
      <c r="F2075" t="s"/>
      <c r="G2075" t="s"/>
      <c r="H2075" t="s"/>
      <c r="I2075" t="s"/>
      <c r="J2075" t="n">
        <v>0.7351</v>
      </c>
      <c r="K2075" t="n">
        <v>0</v>
      </c>
      <c r="L2075" t="n">
        <v>0.744</v>
      </c>
      <c r="M2075" t="n">
        <v>0.256</v>
      </c>
    </row>
    <row r="2076" spans="1:13">
      <c r="A2076" s="1">
        <f>HYPERLINK("http://www.twitter.com/NathanBLawrence/status/987440223763263488", "987440223763263488")</f>
        <v/>
      </c>
      <c r="B2076" s="2" t="n">
        <v>43210.88737268518</v>
      </c>
      <c r="C2076" t="n">
        <v>0</v>
      </c>
      <c r="D2076" t="n">
        <v>380</v>
      </c>
      <c r="E2076" t="s">
        <v>2084</v>
      </c>
      <c r="F2076" t="s"/>
      <c r="G2076" t="s"/>
      <c r="H2076" t="s"/>
      <c r="I2076" t="s"/>
      <c r="J2076" t="n">
        <v>0.6249</v>
      </c>
      <c r="K2076" t="n">
        <v>0.14</v>
      </c>
      <c r="L2076" t="n">
        <v>0.538</v>
      </c>
      <c r="M2076" t="n">
        <v>0.323</v>
      </c>
    </row>
    <row r="2077" spans="1:13">
      <c r="A2077" s="1">
        <f>HYPERLINK("http://www.twitter.com/NathanBLawrence/status/987430946684198912", "987430946684198912")</f>
        <v/>
      </c>
      <c r="B2077" s="2" t="n">
        <v>43210.86177083333</v>
      </c>
      <c r="C2077" t="n">
        <v>3</v>
      </c>
      <c r="D2077" t="n">
        <v>2</v>
      </c>
      <c r="E2077" t="s">
        <v>2085</v>
      </c>
      <c r="F2077" t="s"/>
      <c r="G2077" t="s"/>
      <c r="H2077" t="s"/>
      <c r="I2077" t="s"/>
      <c r="J2077" t="n">
        <v>0</v>
      </c>
      <c r="K2077" t="n">
        <v>0</v>
      </c>
      <c r="L2077" t="n">
        <v>1</v>
      </c>
      <c r="M2077" t="n">
        <v>0</v>
      </c>
    </row>
    <row r="2078" spans="1:13">
      <c r="A2078" s="1">
        <f>HYPERLINK("http://www.twitter.com/NathanBLawrence/status/987429273433792512", "987429273433792512")</f>
        <v/>
      </c>
      <c r="B2078" s="2" t="n">
        <v>43210.85715277777</v>
      </c>
      <c r="C2078" t="n">
        <v>2</v>
      </c>
      <c r="D2078" t="n">
        <v>0</v>
      </c>
      <c r="E2078" t="s">
        <v>2086</v>
      </c>
      <c r="F2078" t="s"/>
      <c r="G2078" t="s"/>
      <c r="H2078" t="s"/>
      <c r="I2078" t="s"/>
      <c r="J2078" t="n">
        <v>0.4019</v>
      </c>
      <c r="K2078" t="n">
        <v>0</v>
      </c>
      <c r="L2078" t="n">
        <v>0.876</v>
      </c>
      <c r="M2078" t="n">
        <v>0.124</v>
      </c>
    </row>
    <row r="2079" spans="1:13">
      <c r="A2079" s="1">
        <f>HYPERLINK("http://www.twitter.com/NathanBLawrence/status/987423868666171397", "987423868666171397")</f>
        <v/>
      </c>
      <c r="B2079" s="2" t="n">
        <v>43210.84224537037</v>
      </c>
      <c r="C2079" t="n">
        <v>10</v>
      </c>
      <c r="D2079" t="n">
        <v>4</v>
      </c>
      <c r="E2079" t="s">
        <v>2087</v>
      </c>
      <c r="F2079" t="s"/>
      <c r="G2079" t="s"/>
      <c r="H2079" t="s"/>
      <c r="I2079" t="s"/>
      <c r="J2079" t="n">
        <v>-0.8588</v>
      </c>
      <c r="K2079" t="n">
        <v>0.226</v>
      </c>
      <c r="L2079" t="n">
        <v>0.724</v>
      </c>
      <c r="M2079" t="n">
        <v>0.05</v>
      </c>
    </row>
    <row r="2080" spans="1:13">
      <c r="A2080" s="1">
        <f>HYPERLINK("http://www.twitter.com/NathanBLawrence/status/987416952321789952", "987416952321789952")</f>
        <v/>
      </c>
      <c r="B2080" s="2" t="n">
        <v>43210.82315972223</v>
      </c>
      <c r="C2080" t="n">
        <v>0</v>
      </c>
      <c r="D2080" t="n">
        <v>0</v>
      </c>
      <c r="E2080" t="s">
        <v>2088</v>
      </c>
      <c r="F2080" t="s"/>
      <c r="G2080" t="s"/>
      <c r="H2080" t="s"/>
      <c r="I2080" t="s"/>
      <c r="J2080" t="n">
        <v>0</v>
      </c>
      <c r="K2080" t="n">
        <v>0</v>
      </c>
      <c r="L2080" t="n">
        <v>1</v>
      </c>
      <c r="M2080" t="n">
        <v>0</v>
      </c>
    </row>
    <row r="2081" spans="1:13">
      <c r="A2081" s="1">
        <f>HYPERLINK("http://www.twitter.com/NathanBLawrence/status/987416238828728320", "987416238828728320")</f>
        <v/>
      </c>
      <c r="B2081" s="2" t="n">
        <v>43210.82119212963</v>
      </c>
      <c r="C2081" t="n">
        <v>0</v>
      </c>
      <c r="D2081" t="n">
        <v>0</v>
      </c>
      <c r="E2081" t="s">
        <v>2089</v>
      </c>
      <c r="F2081" t="s"/>
      <c r="G2081" t="s"/>
      <c r="H2081" t="s"/>
      <c r="I2081" t="s"/>
      <c r="J2081" t="n">
        <v>0</v>
      </c>
      <c r="K2081" t="n">
        <v>0</v>
      </c>
      <c r="L2081" t="n">
        <v>1</v>
      </c>
      <c r="M2081" t="n">
        <v>0</v>
      </c>
    </row>
    <row r="2082" spans="1:13">
      <c r="A2082" s="1">
        <f>HYPERLINK("http://www.twitter.com/NathanBLawrence/status/987415857633603585", "987415857633603585")</f>
        <v/>
      </c>
      <c r="B2082" s="2" t="n">
        <v>43210.82013888889</v>
      </c>
      <c r="C2082" t="n">
        <v>1</v>
      </c>
      <c r="D2082" t="n">
        <v>1</v>
      </c>
      <c r="E2082" t="s">
        <v>2090</v>
      </c>
      <c r="F2082" t="s"/>
      <c r="G2082" t="s"/>
      <c r="H2082" t="s"/>
      <c r="I2082" t="s"/>
      <c r="J2082" t="n">
        <v>0.5106000000000001</v>
      </c>
      <c r="K2082" t="n">
        <v>0</v>
      </c>
      <c r="L2082" t="n">
        <v>0.823</v>
      </c>
      <c r="M2082" t="n">
        <v>0.177</v>
      </c>
    </row>
    <row r="2083" spans="1:13">
      <c r="A2083" s="1">
        <f>HYPERLINK("http://www.twitter.com/NathanBLawrence/status/987411238241128448", "987411238241128448")</f>
        <v/>
      </c>
      <c r="B2083" s="2" t="n">
        <v>43210.80739583333</v>
      </c>
      <c r="C2083" t="n">
        <v>0</v>
      </c>
      <c r="D2083" t="n">
        <v>44</v>
      </c>
      <c r="E2083" t="s">
        <v>2091</v>
      </c>
      <c r="F2083" t="s"/>
      <c r="G2083" t="s"/>
      <c r="H2083" t="s"/>
      <c r="I2083" t="s"/>
      <c r="J2083" t="n">
        <v>0.4926</v>
      </c>
      <c r="K2083" t="n">
        <v>0</v>
      </c>
      <c r="L2083" t="n">
        <v>0.849</v>
      </c>
      <c r="M2083" t="n">
        <v>0.151</v>
      </c>
    </row>
    <row r="2084" spans="1:13">
      <c r="A2084" s="1">
        <f>HYPERLINK("http://www.twitter.com/NathanBLawrence/status/987411117852057601", "987411117852057601")</f>
        <v/>
      </c>
      <c r="B2084" s="2" t="n">
        <v>43210.80706018519</v>
      </c>
      <c r="C2084" t="n">
        <v>0</v>
      </c>
      <c r="D2084" t="n">
        <v>0</v>
      </c>
      <c r="E2084" t="s">
        <v>2092</v>
      </c>
      <c r="F2084" t="s"/>
      <c r="G2084" t="s"/>
      <c r="H2084" t="s"/>
      <c r="I2084" t="s"/>
      <c r="J2084" t="n">
        <v>-0.3612</v>
      </c>
      <c r="K2084" t="n">
        <v>0.128</v>
      </c>
      <c r="L2084" t="n">
        <v>0.872</v>
      </c>
      <c r="M2084" t="n">
        <v>0</v>
      </c>
    </row>
    <row r="2085" spans="1:13">
      <c r="A2085" s="1">
        <f>HYPERLINK("http://www.twitter.com/NathanBLawrence/status/987407361546620930", "987407361546620930")</f>
        <v/>
      </c>
      <c r="B2085" s="2" t="n">
        <v>43210.79668981482</v>
      </c>
      <c r="C2085" t="n">
        <v>1</v>
      </c>
      <c r="D2085" t="n">
        <v>0</v>
      </c>
      <c r="E2085" t="s">
        <v>2093</v>
      </c>
      <c r="F2085" t="s"/>
      <c r="G2085" t="s"/>
      <c r="H2085" t="s"/>
      <c r="I2085" t="s"/>
      <c r="J2085" t="n">
        <v>0.9601</v>
      </c>
      <c r="K2085" t="n">
        <v>0</v>
      </c>
      <c r="L2085" t="n">
        <v>0.5669999999999999</v>
      </c>
      <c r="M2085" t="n">
        <v>0.433</v>
      </c>
    </row>
    <row r="2086" spans="1:13">
      <c r="A2086" s="1">
        <f>HYPERLINK("http://www.twitter.com/NathanBLawrence/status/987404461579603968", "987404461579603968")</f>
        <v/>
      </c>
      <c r="B2086" s="2" t="n">
        <v>43210.78869212963</v>
      </c>
      <c r="C2086" t="n">
        <v>0</v>
      </c>
      <c r="D2086" t="n">
        <v>0</v>
      </c>
      <c r="E2086" t="s">
        <v>2094</v>
      </c>
      <c r="F2086">
        <f>HYPERLINK("http://pbs.twimg.com/media/DbP3HftUQAAvbiO.jpg", "http://pbs.twimg.com/media/DbP3HftUQAAvbiO.jpg")</f>
        <v/>
      </c>
      <c r="G2086" t="s"/>
      <c r="H2086" t="s"/>
      <c r="I2086" t="s"/>
      <c r="J2086" t="n">
        <v>0</v>
      </c>
      <c r="K2086" t="n">
        <v>0</v>
      </c>
      <c r="L2086" t="n">
        <v>1</v>
      </c>
      <c r="M2086" t="n">
        <v>0</v>
      </c>
    </row>
    <row r="2087" spans="1:13">
      <c r="A2087" s="1">
        <f>HYPERLINK("http://www.twitter.com/NathanBLawrence/status/987403720370671617", "987403720370671617")</f>
        <v/>
      </c>
      <c r="B2087" s="2" t="n">
        <v>43210.78664351852</v>
      </c>
      <c r="C2087" t="n">
        <v>0</v>
      </c>
      <c r="D2087" t="n">
        <v>0</v>
      </c>
      <c r="E2087" t="s">
        <v>2095</v>
      </c>
      <c r="F2087" t="s"/>
      <c r="G2087" t="s"/>
      <c r="H2087" t="s"/>
      <c r="I2087" t="s"/>
      <c r="J2087" t="n">
        <v>-0.2023</v>
      </c>
      <c r="K2087" t="n">
        <v>0.077</v>
      </c>
      <c r="L2087" t="n">
        <v>0.872</v>
      </c>
      <c r="M2087" t="n">
        <v>0.05</v>
      </c>
    </row>
    <row r="2088" spans="1:13">
      <c r="A2088" s="1">
        <f>HYPERLINK("http://www.twitter.com/NathanBLawrence/status/987387495557058562", "987387495557058562")</f>
        <v/>
      </c>
      <c r="B2088" s="2" t="n">
        <v>43210.741875</v>
      </c>
      <c r="C2088" t="n">
        <v>0</v>
      </c>
      <c r="D2088" t="n">
        <v>1</v>
      </c>
      <c r="E2088" t="s">
        <v>2096</v>
      </c>
      <c r="F2088" t="s"/>
      <c r="G2088" t="s"/>
      <c r="H2088" t="s"/>
      <c r="I2088" t="s"/>
      <c r="J2088" t="n">
        <v>0</v>
      </c>
      <c r="K2088" t="n">
        <v>0</v>
      </c>
      <c r="L2088" t="n">
        <v>1</v>
      </c>
      <c r="M2088" t="n">
        <v>0</v>
      </c>
    </row>
    <row r="2089" spans="1:13">
      <c r="A2089" s="1">
        <f>HYPERLINK("http://www.twitter.com/NathanBLawrence/status/987386516254142464", "987386516254142464")</f>
        <v/>
      </c>
      <c r="B2089" s="2" t="n">
        <v>43210.73916666667</v>
      </c>
      <c r="C2089" t="n">
        <v>0</v>
      </c>
      <c r="D2089" t="n">
        <v>3</v>
      </c>
      <c r="E2089" t="s">
        <v>2097</v>
      </c>
      <c r="F2089" t="s"/>
      <c r="G2089" t="s"/>
      <c r="H2089" t="s"/>
      <c r="I2089" t="s"/>
      <c r="J2089" t="n">
        <v>-0.1779</v>
      </c>
      <c r="K2089" t="n">
        <v>0.134</v>
      </c>
      <c r="L2089" t="n">
        <v>0.866</v>
      </c>
      <c r="M2089" t="n">
        <v>0</v>
      </c>
    </row>
    <row r="2090" spans="1:13">
      <c r="A2090" s="1">
        <f>HYPERLINK("http://www.twitter.com/NathanBLawrence/status/987384805208870912", "987384805208870912")</f>
        <v/>
      </c>
      <c r="B2090" s="2" t="n">
        <v>43210.73444444445</v>
      </c>
      <c r="C2090" t="n">
        <v>0</v>
      </c>
      <c r="D2090" t="n">
        <v>220</v>
      </c>
      <c r="E2090" t="s">
        <v>2098</v>
      </c>
      <c r="F2090">
        <f>HYPERLINK("https://video.twimg.com/ext_tw_video/984426530695761921/pu/vid/1280x720/ECAf9NfoXF-jy_jW.mp4?tag=2", "https://video.twimg.com/ext_tw_video/984426530695761921/pu/vid/1280x720/ECAf9NfoXF-jy_jW.mp4?tag=2")</f>
        <v/>
      </c>
      <c r="G2090" t="s"/>
      <c r="H2090" t="s"/>
      <c r="I2090" t="s"/>
      <c r="J2090" t="n">
        <v>0.5667</v>
      </c>
      <c r="K2090" t="n">
        <v>0</v>
      </c>
      <c r="L2090" t="n">
        <v>0.78</v>
      </c>
      <c r="M2090" t="n">
        <v>0.22</v>
      </c>
    </row>
    <row r="2091" spans="1:13">
      <c r="A2091" s="1">
        <f>HYPERLINK("http://www.twitter.com/NathanBLawrence/status/987384779967533056", "987384779967533056")</f>
        <v/>
      </c>
      <c r="B2091" s="2" t="n">
        <v>43210.734375</v>
      </c>
      <c r="C2091" t="n">
        <v>0</v>
      </c>
      <c r="D2091" t="n">
        <v>5</v>
      </c>
      <c r="E2091" t="s">
        <v>2099</v>
      </c>
      <c r="F2091" t="s"/>
      <c r="G2091" t="s"/>
      <c r="H2091" t="s"/>
      <c r="I2091" t="s"/>
      <c r="J2091" t="n">
        <v>0</v>
      </c>
      <c r="K2091" t="n">
        <v>0</v>
      </c>
      <c r="L2091" t="n">
        <v>1</v>
      </c>
      <c r="M2091" t="n">
        <v>0</v>
      </c>
    </row>
    <row r="2092" spans="1:13">
      <c r="A2092" s="1">
        <f>HYPERLINK("http://www.twitter.com/NathanBLawrence/status/987381752275578881", "987381752275578881")</f>
        <v/>
      </c>
      <c r="B2092" s="2" t="n">
        <v>43210.72603009259</v>
      </c>
      <c r="C2092" t="n">
        <v>5</v>
      </c>
      <c r="D2092" t="n">
        <v>1</v>
      </c>
      <c r="E2092" t="s">
        <v>2100</v>
      </c>
      <c r="F2092" t="s"/>
      <c r="G2092" t="s"/>
      <c r="H2092" t="s"/>
      <c r="I2092" t="s"/>
      <c r="J2092" t="n">
        <v>0</v>
      </c>
      <c r="K2092" t="n">
        <v>0</v>
      </c>
      <c r="L2092" t="n">
        <v>1</v>
      </c>
      <c r="M2092" t="n">
        <v>0</v>
      </c>
    </row>
    <row r="2093" spans="1:13">
      <c r="A2093" s="1">
        <f>HYPERLINK("http://www.twitter.com/NathanBLawrence/status/987377004138950656", "987377004138950656")</f>
        <v/>
      </c>
      <c r="B2093" s="2" t="n">
        <v>43210.71292824074</v>
      </c>
      <c r="C2093" t="n">
        <v>1</v>
      </c>
      <c r="D2093" t="n">
        <v>0</v>
      </c>
      <c r="E2093" t="s">
        <v>2101</v>
      </c>
      <c r="F2093" t="s"/>
      <c r="G2093" t="s"/>
      <c r="H2093" t="s"/>
      <c r="I2093" t="s"/>
      <c r="J2093" t="n">
        <v>-0.1531</v>
      </c>
      <c r="K2093" t="n">
        <v>0.15</v>
      </c>
      <c r="L2093" t="n">
        <v>0.726</v>
      </c>
      <c r="M2093" t="n">
        <v>0.124</v>
      </c>
    </row>
    <row r="2094" spans="1:13">
      <c r="A2094" s="1">
        <f>HYPERLINK("http://www.twitter.com/NathanBLawrence/status/987376613917634560", "987376613917634560")</f>
        <v/>
      </c>
      <c r="B2094" s="2" t="n">
        <v>43210.71184027778</v>
      </c>
      <c r="C2094" t="n">
        <v>0</v>
      </c>
      <c r="D2094" t="n">
        <v>442</v>
      </c>
      <c r="E2094" t="s">
        <v>2102</v>
      </c>
      <c r="F2094">
        <f>HYPERLINK("http://pbs.twimg.com/media/DbKLs1oW0AAyJ7M.png", "http://pbs.twimg.com/media/DbKLs1oW0AAyJ7M.png")</f>
        <v/>
      </c>
      <c r="G2094" t="s"/>
      <c r="H2094" t="s"/>
      <c r="I2094" t="s"/>
      <c r="J2094" t="n">
        <v>0.6996</v>
      </c>
      <c r="K2094" t="n">
        <v>0</v>
      </c>
      <c r="L2094" t="n">
        <v>0.775</v>
      </c>
      <c r="M2094" t="n">
        <v>0.225</v>
      </c>
    </row>
    <row r="2095" spans="1:13">
      <c r="A2095" s="1">
        <f>HYPERLINK("http://www.twitter.com/NathanBLawrence/status/987376408732332032", "987376408732332032")</f>
        <v/>
      </c>
      <c r="B2095" s="2" t="n">
        <v>43210.71128472222</v>
      </c>
      <c r="C2095" t="n">
        <v>1</v>
      </c>
      <c r="D2095" t="n">
        <v>0</v>
      </c>
      <c r="E2095" t="s">
        <v>2103</v>
      </c>
      <c r="F2095" t="s"/>
      <c r="G2095" t="s"/>
      <c r="H2095" t="s"/>
      <c r="I2095" t="s"/>
      <c r="J2095" t="n">
        <v>0.7579</v>
      </c>
      <c r="K2095" t="n">
        <v>0</v>
      </c>
      <c r="L2095" t="n">
        <v>0.698</v>
      </c>
      <c r="M2095" t="n">
        <v>0.302</v>
      </c>
    </row>
    <row r="2096" spans="1:13">
      <c r="A2096" s="1">
        <f>HYPERLINK("http://www.twitter.com/NathanBLawrence/status/987375050285289472", "987375050285289472")</f>
        <v/>
      </c>
      <c r="B2096" s="2" t="n">
        <v>43210.70753472222</v>
      </c>
      <c r="C2096" t="n">
        <v>0</v>
      </c>
      <c r="D2096" t="n">
        <v>1</v>
      </c>
      <c r="E2096" t="s">
        <v>2104</v>
      </c>
      <c r="F2096" t="s"/>
      <c r="G2096" t="s"/>
      <c r="H2096" t="s"/>
      <c r="I2096" t="s"/>
      <c r="J2096" t="n">
        <v>0</v>
      </c>
      <c r="K2096" t="n">
        <v>0</v>
      </c>
      <c r="L2096" t="n">
        <v>1</v>
      </c>
      <c r="M2096" t="n">
        <v>0</v>
      </c>
    </row>
    <row r="2097" spans="1:13">
      <c r="A2097" s="1">
        <f>HYPERLINK("http://www.twitter.com/NathanBLawrence/status/987374913613856771", "987374913613856771")</f>
        <v/>
      </c>
      <c r="B2097" s="2" t="n">
        <v>43210.70715277778</v>
      </c>
      <c r="C2097" t="n">
        <v>1</v>
      </c>
      <c r="D2097" t="n">
        <v>0</v>
      </c>
      <c r="E2097" t="s">
        <v>2105</v>
      </c>
      <c r="F2097" t="s"/>
      <c r="G2097" t="s"/>
      <c r="H2097" t="s"/>
      <c r="I2097" t="s"/>
      <c r="J2097" t="n">
        <v>-0.4767</v>
      </c>
      <c r="K2097" t="n">
        <v>0.162</v>
      </c>
      <c r="L2097" t="n">
        <v>0.838</v>
      </c>
      <c r="M2097" t="n">
        <v>0</v>
      </c>
    </row>
    <row r="2098" spans="1:13">
      <c r="A2098" s="1">
        <f>HYPERLINK("http://www.twitter.com/NathanBLawrence/status/987374379788066817", "987374379788066817")</f>
        <v/>
      </c>
      <c r="B2098" s="2" t="n">
        <v>43210.70568287037</v>
      </c>
      <c r="C2098" t="n">
        <v>4</v>
      </c>
      <c r="D2098" t="n">
        <v>1</v>
      </c>
      <c r="E2098" t="s">
        <v>2106</v>
      </c>
      <c r="F2098" t="s"/>
      <c r="G2098" t="s"/>
      <c r="H2098" t="s"/>
      <c r="I2098" t="s"/>
      <c r="J2098" t="n">
        <v>0.1531</v>
      </c>
      <c r="K2098" t="n">
        <v>0.082</v>
      </c>
      <c r="L2098" t="n">
        <v>0.799</v>
      </c>
      <c r="M2098" t="n">
        <v>0.119</v>
      </c>
    </row>
    <row r="2099" spans="1:13">
      <c r="A2099" s="1">
        <f>HYPERLINK("http://www.twitter.com/NathanBLawrence/status/987373528902193152", "987373528902193152")</f>
        <v/>
      </c>
      <c r="B2099" s="2" t="n">
        <v>43210.70333333333</v>
      </c>
      <c r="C2099" t="n">
        <v>0</v>
      </c>
      <c r="D2099" t="n">
        <v>0</v>
      </c>
      <c r="E2099" t="s">
        <v>2107</v>
      </c>
      <c r="F2099" t="s"/>
      <c r="G2099" t="s"/>
      <c r="H2099" t="s"/>
      <c r="I2099" t="s"/>
      <c r="J2099" t="n">
        <v>0.8555</v>
      </c>
      <c r="K2099" t="n">
        <v>0</v>
      </c>
      <c r="L2099" t="n">
        <v>0.427</v>
      </c>
      <c r="M2099" t="n">
        <v>0.573</v>
      </c>
    </row>
    <row r="2100" spans="1:13">
      <c r="A2100" s="1">
        <f>HYPERLINK("http://www.twitter.com/NathanBLawrence/status/987373253567107072", "987373253567107072")</f>
        <v/>
      </c>
      <c r="B2100" s="2" t="n">
        <v>43210.70256944445</v>
      </c>
      <c r="C2100" t="n">
        <v>0</v>
      </c>
      <c r="D2100" t="n">
        <v>4</v>
      </c>
      <c r="E2100" t="s">
        <v>2108</v>
      </c>
      <c r="F2100">
        <f>HYPERLINK("http://pbs.twimg.com/media/DbLUwMWXkAYVapt.jpg", "http://pbs.twimg.com/media/DbLUwMWXkAYVapt.jpg")</f>
        <v/>
      </c>
      <c r="G2100" t="s"/>
      <c r="H2100" t="s"/>
      <c r="I2100" t="s"/>
      <c r="J2100" t="n">
        <v>-0.5574</v>
      </c>
      <c r="K2100" t="n">
        <v>0.141</v>
      </c>
      <c r="L2100" t="n">
        <v>0.859</v>
      </c>
      <c r="M2100" t="n">
        <v>0</v>
      </c>
    </row>
    <row r="2101" spans="1:13">
      <c r="A2101" s="1">
        <f>HYPERLINK("http://www.twitter.com/NathanBLawrence/status/987369141769244672", "987369141769244672")</f>
        <v/>
      </c>
      <c r="B2101" s="2" t="n">
        <v>43210.69122685185</v>
      </c>
      <c r="C2101" t="n">
        <v>0</v>
      </c>
      <c r="D2101" t="n">
        <v>11</v>
      </c>
      <c r="E2101" t="s">
        <v>2109</v>
      </c>
      <c r="F2101" t="s"/>
      <c r="G2101" t="s"/>
      <c r="H2101" t="s"/>
      <c r="I2101" t="s"/>
      <c r="J2101" t="n">
        <v>-0.1027</v>
      </c>
      <c r="K2101" t="n">
        <v>0.076</v>
      </c>
      <c r="L2101" t="n">
        <v>0.924</v>
      </c>
      <c r="M2101" t="n">
        <v>0</v>
      </c>
    </row>
    <row r="2102" spans="1:13">
      <c r="A2102" s="1">
        <f>HYPERLINK("http://www.twitter.com/NathanBLawrence/status/987369086853238784", "987369086853238784")</f>
        <v/>
      </c>
      <c r="B2102" s="2" t="n">
        <v>43210.69107638889</v>
      </c>
      <c r="C2102" t="n">
        <v>0</v>
      </c>
      <c r="D2102" t="n">
        <v>7</v>
      </c>
      <c r="E2102" t="s">
        <v>2110</v>
      </c>
      <c r="F2102" t="s"/>
      <c r="G2102" t="s"/>
      <c r="H2102" t="s"/>
      <c r="I2102" t="s"/>
      <c r="J2102" t="n">
        <v>-0.2411</v>
      </c>
      <c r="K2102" t="n">
        <v>0.186</v>
      </c>
      <c r="L2102" t="n">
        <v>0.704</v>
      </c>
      <c r="M2102" t="n">
        <v>0.11</v>
      </c>
    </row>
    <row r="2103" spans="1:13">
      <c r="A2103" s="1">
        <f>HYPERLINK("http://www.twitter.com/NathanBLawrence/status/987367601272705024", "987367601272705024")</f>
        <v/>
      </c>
      <c r="B2103" s="2" t="n">
        <v>43210.68697916667</v>
      </c>
      <c r="C2103" t="n">
        <v>0</v>
      </c>
      <c r="D2103" t="n">
        <v>1</v>
      </c>
      <c r="E2103" t="s">
        <v>2111</v>
      </c>
      <c r="F2103" t="s"/>
      <c r="G2103" t="s"/>
      <c r="H2103" t="s"/>
      <c r="I2103" t="s"/>
      <c r="J2103" t="n">
        <v>0</v>
      </c>
      <c r="K2103" t="n">
        <v>0</v>
      </c>
      <c r="L2103" t="n">
        <v>1</v>
      </c>
      <c r="M2103" t="n">
        <v>0</v>
      </c>
    </row>
    <row r="2104" spans="1:13">
      <c r="A2104" s="1">
        <f>HYPERLINK("http://www.twitter.com/NathanBLawrence/status/987357676450598917", "987357676450598917")</f>
        <v/>
      </c>
      <c r="B2104" s="2" t="n">
        <v>43210.65958333333</v>
      </c>
      <c r="C2104" t="n">
        <v>3</v>
      </c>
      <c r="D2104" t="n">
        <v>1</v>
      </c>
      <c r="E2104" t="s">
        <v>2112</v>
      </c>
      <c r="F2104" t="s"/>
      <c r="G2104" t="s"/>
      <c r="H2104" t="s"/>
      <c r="I2104" t="s"/>
      <c r="J2104" t="n">
        <v>0.7783</v>
      </c>
      <c r="K2104" t="n">
        <v>0</v>
      </c>
      <c r="L2104" t="n">
        <v>0.852</v>
      </c>
      <c r="M2104" t="n">
        <v>0.148</v>
      </c>
    </row>
    <row r="2105" spans="1:13">
      <c r="A2105" s="1">
        <f>HYPERLINK("http://www.twitter.com/NathanBLawrence/status/987354392050524160", "987354392050524160")</f>
        <v/>
      </c>
      <c r="B2105" s="2" t="n">
        <v>43210.65052083333</v>
      </c>
      <c r="C2105" t="n">
        <v>0</v>
      </c>
      <c r="D2105" t="n">
        <v>30</v>
      </c>
      <c r="E2105" t="s">
        <v>2113</v>
      </c>
      <c r="F2105" t="s"/>
      <c r="G2105" t="s"/>
      <c r="H2105" t="s"/>
      <c r="I2105" t="s"/>
      <c r="J2105" t="n">
        <v>-0.4019</v>
      </c>
      <c r="K2105" t="n">
        <v>0.109</v>
      </c>
      <c r="L2105" t="n">
        <v>0.891</v>
      </c>
      <c r="M2105" t="n">
        <v>0</v>
      </c>
    </row>
    <row r="2106" spans="1:13">
      <c r="A2106" s="1">
        <f>HYPERLINK("http://www.twitter.com/NathanBLawrence/status/987344496416391168", "987344496416391168")</f>
        <v/>
      </c>
      <c r="B2106" s="2" t="n">
        <v>43210.62321759259</v>
      </c>
      <c r="C2106" t="n">
        <v>5</v>
      </c>
      <c r="D2106" t="n">
        <v>2</v>
      </c>
      <c r="E2106" t="s">
        <v>2114</v>
      </c>
      <c r="F2106" t="s"/>
      <c r="G2106" t="s"/>
      <c r="H2106" t="s"/>
      <c r="I2106" t="s"/>
      <c r="J2106" t="n">
        <v>-0.0276</v>
      </c>
      <c r="K2106" t="n">
        <v>0.112</v>
      </c>
      <c r="L2106" t="n">
        <v>0.748</v>
      </c>
      <c r="M2106" t="n">
        <v>0.14</v>
      </c>
    </row>
    <row r="2107" spans="1:13">
      <c r="A2107" s="1">
        <f>HYPERLINK("http://www.twitter.com/NathanBLawrence/status/987343718754766850", "987343718754766850")</f>
        <v/>
      </c>
      <c r="B2107" s="2" t="n">
        <v>43210.62107638889</v>
      </c>
      <c r="C2107" t="n">
        <v>1</v>
      </c>
      <c r="D2107" t="n">
        <v>1</v>
      </c>
      <c r="E2107" t="s">
        <v>2115</v>
      </c>
      <c r="F2107" t="s"/>
      <c r="G2107" t="s"/>
      <c r="H2107" t="s"/>
      <c r="I2107" t="s"/>
      <c r="J2107" t="n">
        <v>0</v>
      </c>
      <c r="K2107" t="n">
        <v>0</v>
      </c>
      <c r="L2107" t="n">
        <v>1</v>
      </c>
      <c r="M2107" t="n">
        <v>0</v>
      </c>
    </row>
    <row r="2108" spans="1:13">
      <c r="A2108" s="1">
        <f>HYPERLINK("http://www.twitter.com/NathanBLawrence/status/987324872622735360", "987324872622735360")</f>
        <v/>
      </c>
      <c r="B2108" s="2" t="n">
        <v>43210.5690625</v>
      </c>
      <c r="C2108" t="n">
        <v>0</v>
      </c>
      <c r="D2108" t="n">
        <v>6</v>
      </c>
      <c r="E2108" t="s">
        <v>2116</v>
      </c>
      <c r="F2108" t="s"/>
      <c r="G2108" t="s"/>
      <c r="H2108" t="s"/>
      <c r="I2108" t="s"/>
      <c r="J2108" t="n">
        <v>0.0258</v>
      </c>
      <c r="K2108" t="n">
        <v>0.1</v>
      </c>
      <c r="L2108" t="n">
        <v>0.795</v>
      </c>
      <c r="M2108" t="n">
        <v>0.105</v>
      </c>
    </row>
    <row r="2109" spans="1:13">
      <c r="A2109" s="1">
        <f>HYPERLINK("http://www.twitter.com/NathanBLawrence/status/987324751524835328", "987324751524835328")</f>
        <v/>
      </c>
      <c r="B2109" s="2" t="n">
        <v>43210.56873842593</v>
      </c>
      <c r="C2109" t="n">
        <v>0</v>
      </c>
      <c r="D2109" t="n">
        <v>11</v>
      </c>
      <c r="E2109" t="s">
        <v>2117</v>
      </c>
      <c r="F2109" t="s"/>
      <c r="G2109" t="s"/>
      <c r="H2109" t="s"/>
      <c r="I2109" t="s"/>
      <c r="J2109" t="n">
        <v>0.0772</v>
      </c>
      <c r="K2109" t="n">
        <v>0.1</v>
      </c>
      <c r="L2109" t="n">
        <v>0.788</v>
      </c>
      <c r="M2109" t="n">
        <v>0.112</v>
      </c>
    </row>
    <row r="2110" spans="1:13">
      <c r="A2110" s="1">
        <f>HYPERLINK("http://www.twitter.com/NathanBLawrence/status/987324518472536069", "987324518472536069")</f>
        <v/>
      </c>
      <c r="B2110" s="2" t="n">
        <v>43210.56809027777</v>
      </c>
      <c r="C2110" t="n">
        <v>0</v>
      </c>
      <c r="D2110" t="n">
        <v>3</v>
      </c>
      <c r="E2110" t="s">
        <v>2118</v>
      </c>
      <c r="F2110" t="s"/>
      <c r="G2110" t="s"/>
      <c r="H2110" t="s"/>
      <c r="I2110" t="s"/>
      <c r="J2110" t="n">
        <v>0.6801</v>
      </c>
      <c r="K2110" t="n">
        <v>0</v>
      </c>
      <c r="L2110" t="n">
        <v>0.699</v>
      </c>
      <c r="M2110" t="n">
        <v>0.301</v>
      </c>
    </row>
    <row r="2111" spans="1:13">
      <c r="A2111" s="1">
        <f>HYPERLINK("http://www.twitter.com/NathanBLawrence/status/987324451300823040", "987324451300823040")</f>
        <v/>
      </c>
      <c r="B2111" s="2" t="n">
        <v>43210.56790509259</v>
      </c>
      <c r="C2111" t="n">
        <v>0</v>
      </c>
      <c r="D2111" t="n">
        <v>0</v>
      </c>
      <c r="E2111" t="s">
        <v>2119</v>
      </c>
      <c r="F2111" t="s"/>
      <c r="G2111" t="s"/>
      <c r="H2111" t="s"/>
      <c r="I2111" t="s"/>
      <c r="J2111" t="n">
        <v>-0.4943</v>
      </c>
      <c r="K2111" t="n">
        <v>0.195</v>
      </c>
      <c r="L2111" t="n">
        <v>0.719</v>
      </c>
      <c r="M2111" t="n">
        <v>0.08599999999999999</v>
      </c>
    </row>
    <row r="2112" spans="1:13">
      <c r="A2112" s="1">
        <f>HYPERLINK("http://www.twitter.com/NathanBLawrence/status/987323922155819008", "987323922155819008")</f>
        <v/>
      </c>
      <c r="B2112" s="2" t="n">
        <v>43210.56644675926</v>
      </c>
      <c r="C2112" t="n">
        <v>1</v>
      </c>
      <c r="D2112" t="n">
        <v>0</v>
      </c>
      <c r="E2112" t="s">
        <v>2120</v>
      </c>
      <c r="F2112" t="s"/>
      <c r="G2112" t="s"/>
      <c r="H2112" t="s"/>
      <c r="I2112" t="s"/>
      <c r="J2112" t="n">
        <v>0</v>
      </c>
      <c r="K2112" t="n">
        <v>0</v>
      </c>
      <c r="L2112" t="n">
        <v>1</v>
      </c>
      <c r="M2112" t="n">
        <v>0</v>
      </c>
    </row>
    <row r="2113" spans="1:13">
      <c r="A2113" s="1">
        <f>HYPERLINK("http://www.twitter.com/NathanBLawrence/status/987323057659367425", "987323057659367425")</f>
        <v/>
      </c>
      <c r="B2113" s="2" t="n">
        <v>43210.5640625</v>
      </c>
      <c r="C2113" t="n">
        <v>0</v>
      </c>
      <c r="D2113" t="n">
        <v>5369</v>
      </c>
      <c r="E2113" t="s">
        <v>2121</v>
      </c>
      <c r="F2113" t="s"/>
      <c r="G2113" t="s"/>
      <c r="H2113" t="s"/>
      <c r="I2113" t="s"/>
      <c r="J2113" t="n">
        <v>0.5106000000000001</v>
      </c>
      <c r="K2113" t="n">
        <v>0</v>
      </c>
      <c r="L2113" t="n">
        <v>0.875</v>
      </c>
      <c r="M2113" t="n">
        <v>0.125</v>
      </c>
    </row>
    <row r="2114" spans="1:13">
      <c r="A2114" s="1">
        <f>HYPERLINK("http://www.twitter.com/NathanBLawrence/status/987322818995146752", "987322818995146752")</f>
        <v/>
      </c>
      <c r="B2114" s="2" t="n">
        <v>43210.56340277778</v>
      </c>
      <c r="C2114" t="n">
        <v>0</v>
      </c>
      <c r="D2114" t="n">
        <v>19</v>
      </c>
      <c r="E2114" t="s">
        <v>2122</v>
      </c>
      <c r="F2114" t="s"/>
      <c r="G2114" t="s"/>
      <c r="H2114" t="s"/>
      <c r="I2114" t="s"/>
      <c r="J2114" t="n">
        <v>0.2023</v>
      </c>
      <c r="K2114" t="n">
        <v>0</v>
      </c>
      <c r="L2114" t="n">
        <v>0.913</v>
      </c>
      <c r="M2114" t="n">
        <v>0.08699999999999999</v>
      </c>
    </row>
    <row r="2115" spans="1:13">
      <c r="A2115" s="1">
        <f>HYPERLINK("http://www.twitter.com/NathanBLawrence/status/987320854907375616", "987320854907375616")</f>
        <v/>
      </c>
      <c r="B2115" s="2" t="n">
        <v>43210.55798611111</v>
      </c>
      <c r="C2115" t="n">
        <v>7</v>
      </c>
      <c r="D2115" t="n">
        <v>2</v>
      </c>
      <c r="E2115" t="s">
        <v>2123</v>
      </c>
      <c r="F2115" t="s"/>
      <c r="G2115" t="s"/>
      <c r="H2115" t="s"/>
      <c r="I2115" t="s"/>
      <c r="J2115" t="n">
        <v>0.6228</v>
      </c>
      <c r="K2115" t="n">
        <v>0.102</v>
      </c>
      <c r="L2115" t="n">
        <v>0.624</v>
      </c>
      <c r="M2115" t="n">
        <v>0.274</v>
      </c>
    </row>
    <row r="2116" spans="1:13">
      <c r="A2116" s="1">
        <f>HYPERLINK("http://www.twitter.com/NathanBLawrence/status/987314785552424960", "987314785552424960")</f>
        <v/>
      </c>
      <c r="B2116" s="2" t="n">
        <v>43210.54122685185</v>
      </c>
      <c r="C2116" t="n">
        <v>1</v>
      </c>
      <c r="D2116" t="n">
        <v>0</v>
      </c>
      <c r="E2116" t="s">
        <v>2124</v>
      </c>
      <c r="F2116" t="s"/>
      <c r="G2116" t="s"/>
      <c r="H2116" t="s"/>
      <c r="I2116" t="s"/>
      <c r="J2116" t="n">
        <v>-0.5994</v>
      </c>
      <c r="K2116" t="n">
        <v>0.29</v>
      </c>
      <c r="L2116" t="n">
        <v>0.71</v>
      </c>
      <c r="M2116" t="n">
        <v>0</v>
      </c>
    </row>
    <row r="2117" spans="1:13">
      <c r="A2117" s="1">
        <f>HYPERLINK("http://www.twitter.com/NathanBLawrence/status/987312326004101120", "987312326004101120")</f>
        <v/>
      </c>
      <c r="B2117" s="2" t="n">
        <v>43210.53444444444</v>
      </c>
      <c r="C2117" t="n">
        <v>1</v>
      </c>
      <c r="D2117" t="n">
        <v>0</v>
      </c>
      <c r="E2117" t="s">
        <v>2125</v>
      </c>
      <c r="F2117" t="s"/>
      <c r="G2117" t="s"/>
      <c r="H2117" t="s"/>
      <c r="I2117" t="s"/>
      <c r="J2117" t="n">
        <v>-0.2732</v>
      </c>
      <c r="K2117" t="n">
        <v>0.234</v>
      </c>
      <c r="L2117" t="n">
        <v>0.592</v>
      </c>
      <c r="M2117" t="n">
        <v>0.175</v>
      </c>
    </row>
    <row r="2118" spans="1:13">
      <c r="A2118" s="1">
        <f>HYPERLINK("http://www.twitter.com/NathanBLawrence/status/987311852165189632", "987311852165189632")</f>
        <v/>
      </c>
      <c r="B2118" s="2" t="n">
        <v>43210.53313657407</v>
      </c>
      <c r="C2118" t="n">
        <v>1</v>
      </c>
      <c r="D2118" t="n">
        <v>0</v>
      </c>
      <c r="E2118" t="s">
        <v>2126</v>
      </c>
      <c r="F2118" t="s"/>
      <c r="G2118" t="s"/>
      <c r="H2118" t="s"/>
      <c r="I2118" t="s"/>
      <c r="J2118" t="n">
        <v>-0.4019</v>
      </c>
      <c r="K2118" t="n">
        <v>0.209</v>
      </c>
      <c r="L2118" t="n">
        <v>0.791</v>
      </c>
      <c r="M2118" t="n">
        <v>0</v>
      </c>
    </row>
    <row r="2119" spans="1:13">
      <c r="A2119" s="1">
        <f>HYPERLINK("http://www.twitter.com/NathanBLawrence/status/987310577751117824", "987310577751117824")</f>
        <v/>
      </c>
      <c r="B2119" s="2" t="n">
        <v>43210.52961805555</v>
      </c>
      <c r="C2119" t="n">
        <v>1</v>
      </c>
      <c r="D2119" t="n">
        <v>0</v>
      </c>
      <c r="E2119" t="s">
        <v>2127</v>
      </c>
      <c r="F2119" t="s"/>
      <c r="G2119" t="s"/>
      <c r="H2119" t="s"/>
      <c r="I2119" t="s"/>
      <c r="J2119" t="n">
        <v>0.0572</v>
      </c>
      <c r="K2119" t="n">
        <v>0</v>
      </c>
      <c r="L2119" t="n">
        <v>0.908</v>
      </c>
      <c r="M2119" t="n">
        <v>0.092</v>
      </c>
    </row>
    <row r="2120" spans="1:13">
      <c r="A2120" s="1">
        <f>HYPERLINK("http://www.twitter.com/NathanBLawrence/status/987308222087299073", "987308222087299073")</f>
        <v/>
      </c>
      <c r="B2120" s="2" t="n">
        <v>43210.523125</v>
      </c>
      <c r="C2120" t="n">
        <v>0</v>
      </c>
      <c r="D2120" t="n">
        <v>4</v>
      </c>
      <c r="E2120" t="s">
        <v>2128</v>
      </c>
      <c r="F2120">
        <f>HYPERLINK("http://pbs.twimg.com/media/DbNamX3UwAAkjok.jpg", "http://pbs.twimg.com/media/DbNamX3UwAAkjok.jpg")</f>
        <v/>
      </c>
      <c r="G2120" t="s"/>
      <c r="H2120" t="s"/>
      <c r="I2120" t="s"/>
      <c r="J2120" t="n">
        <v>0</v>
      </c>
      <c r="K2120" t="n">
        <v>0</v>
      </c>
      <c r="L2120" t="n">
        <v>1</v>
      </c>
      <c r="M2120" t="n">
        <v>0</v>
      </c>
    </row>
    <row r="2121" spans="1:13">
      <c r="A2121" s="1">
        <f>HYPERLINK("http://www.twitter.com/NathanBLawrence/status/987308073969692672", "987308073969692672")</f>
        <v/>
      </c>
      <c r="B2121" s="2" t="n">
        <v>43210.52270833333</v>
      </c>
      <c r="C2121" t="n">
        <v>0</v>
      </c>
      <c r="D2121" t="n">
        <v>4</v>
      </c>
      <c r="E2121" t="s">
        <v>2129</v>
      </c>
      <c r="F2121" t="s"/>
      <c r="G2121" t="s"/>
      <c r="H2121" t="s"/>
      <c r="I2121" t="s"/>
      <c r="J2121" t="n">
        <v>0</v>
      </c>
      <c r="K2121" t="n">
        <v>0</v>
      </c>
      <c r="L2121" t="n">
        <v>1</v>
      </c>
      <c r="M2121" t="n">
        <v>0</v>
      </c>
    </row>
    <row r="2122" spans="1:13">
      <c r="A2122" s="1">
        <f>HYPERLINK("http://www.twitter.com/NathanBLawrence/status/987307583349448704", "987307583349448704")</f>
        <v/>
      </c>
      <c r="B2122" s="2" t="n">
        <v>43210.52135416667</v>
      </c>
      <c r="C2122" t="n">
        <v>0</v>
      </c>
      <c r="D2122" t="n">
        <v>0</v>
      </c>
      <c r="E2122" t="s">
        <v>2130</v>
      </c>
      <c r="F2122" t="s"/>
      <c r="G2122" t="s"/>
      <c r="H2122" t="s"/>
      <c r="I2122" t="s"/>
      <c r="J2122" t="n">
        <v>-0.6249</v>
      </c>
      <c r="K2122" t="n">
        <v>0.188</v>
      </c>
      <c r="L2122" t="n">
        <v>0.8120000000000001</v>
      </c>
      <c r="M2122" t="n">
        <v>0</v>
      </c>
    </row>
    <row r="2123" spans="1:13">
      <c r="A2123" s="1">
        <f>HYPERLINK("http://www.twitter.com/NathanBLawrence/status/987306669528043521", "987306669528043521")</f>
        <v/>
      </c>
      <c r="B2123" s="2" t="n">
        <v>43210.51883101852</v>
      </c>
      <c r="C2123" t="n">
        <v>0</v>
      </c>
      <c r="D2123" t="n">
        <v>4</v>
      </c>
      <c r="E2123" t="s">
        <v>2131</v>
      </c>
      <c r="F2123" t="s"/>
      <c r="G2123" t="s"/>
      <c r="H2123" t="s"/>
      <c r="I2123" t="s"/>
      <c r="J2123" t="n">
        <v>0</v>
      </c>
      <c r="K2123" t="n">
        <v>0</v>
      </c>
      <c r="L2123" t="n">
        <v>1</v>
      </c>
      <c r="M2123" t="n">
        <v>0</v>
      </c>
    </row>
    <row r="2124" spans="1:13">
      <c r="A2124" s="1">
        <f>HYPERLINK("http://www.twitter.com/NathanBLawrence/status/987306394960449536", "987306394960449536")</f>
        <v/>
      </c>
      <c r="B2124" s="2" t="n">
        <v>43210.5180787037</v>
      </c>
      <c r="C2124" t="n">
        <v>0</v>
      </c>
      <c r="D2124" t="n">
        <v>34</v>
      </c>
      <c r="E2124" t="s">
        <v>2132</v>
      </c>
      <c r="F2124">
        <f>HYPERLINK("http://pbs.twimg.com/media/DbLaDBRVQAElvdY.jpg", "http://pbs.twimg.com/media/DbLaDBRVQAElvdY.jpg")</f>
        <v/>
      </c>
      <c r="G2124">
        <f>HYPERLINK("http://pbs.twimg.com/media/DbLaDBSV4AEEGZp.jpg", "http://pbs.twimg.com/media/DbLaDBSV4AEEGZp.jpg")</f>
        <v/>
      </c>
      <c r="H2124">
        <f>HYPERLINK("http://pbs.twimg.com/media/DbLaDBSUwAATmKi.jpg", "http://pbs.twimg.com/media/DbLaDBSUwAATmKi.jpg")</f>
        <v/>
      </c>
      <c r="I2124" t="s"/>
      <c r="J2124" t="n">
        <v>0.7906</v>
      </c>
      <c r="K2124" t="n">
        <v>0.05</v>
      </c>
      <c r="L2124" t="n">
        <v>0.647</v>
      </c>
      <c r="M2124" t="n">
        <v>0.302</v>
      </c>
    </row>
    <row r="2125" spans="1:13">
      <c r="A2125" s="1">
        <f>HYPERLINK("http://www.twitter.com/NathanBLawrence/status/987306368976777216", "987306368976777216")</f>
        <v/>
      </c>
      <c r="B2125" s="2" t="n">
        <v>43210.51800925926</v>
      </c>
      <c r="C2125" t="n">
        <v>1</v>
      </c>
      <c r="D2125" t="n">
        <v>0</v>
      </c>
      <c r="E2125" t="s">
        <v>2133</v>
      </c>
      <c r="F2125" t="s"/>
      <c r="G2125" t="s"/>
      <c r="H2125" t="s"/>
      <c r="I2125" t="s"/>
      <c r="J2125" t="n">
        <v>-0.3182</v>
      </c>
      <c r="K2125" t="n">
        <v>0.216</v>
      </c>
      <c r="L2125" t="n">
        <v>0.663</v>
      </c>
      <c r="M2125" t="n">
        <v>0.121</v>
      </c>
    </row>
    <row r="2126" spans="1:13">
      <c r="A2126" s="1">
        <f>HYPERLINK("http://www.twitter.com/NathanBLawrence/status/987305319226363904", "987305319226363904")</f>
        <v/>
      </c>
      <c r="B2126" s="2" t="n">
        <v>43210.51511574074</v>
      </c>
      <c r="C2126" t="n">
        <v>0</v>
      </c>
      <c r="D2126" t="n">
        <v>1</v>
      </c>
      <c r="E2126" t="s">
        <v>2134</v>
      </c>
      <c r="F2126">
        <f>HYPERLINK("http://pbs.twimg.com/media/DbMZXxkUMAA_m1v.jpg", "http://pbs.twimg.com/media/DbMZXxkUMAA_m1v.jpg")</f>
        <v/>
      </c>
      <c r="G2126" t="s"/>
      <c r="H2126" t="s"/>
      <c r="I2126" t="s"/>
      <c r="J2126" t="n">
        <v>0</v>
      </c>
      <c r="K2126" t="n">
        <v>0</v>
      </c>
      <c r="L2126" t="n">
        <v>1</v>
      </c>
      <c r="M2126" t="n">
        <v>0</v>
      </c>
    </row>
    <row r="2127" spans="1:13">
      <c r="A2127" s="1">
        <f>HYPERLINK("http://www.twitter.com/NathanBLawrence/status/987305210157682688", "987305210157682688")</f>
        <v/>
      </c>
      <c r="B2127" s="2" t="n">
        <v>43210.51481481481</v>
      </c>
      <c r="C2127" t="n">
        <v>0</v>
      </c>
      <c r="D2127" t="n">
        <v>1</v>
      </c>
      <c r="E2127" t="s">
        <v>2135</v>
      </c>
      <c r="F2127">
        <f>HYPERLINK("http://pbs.twimg.com/media/DbMZtReVMAE2858.jpg", "http://pbs.twimg.com/media/DbMZtReVMAE2858.jpg")</f>
        <v/>
      </c>
      <c r="G2127" t="s"/>
      <c r="H2127" t="s"/>
      <c r="I2127" t="s"/>
      <c r="J2127" t="n">
        <v>0</v>
      </c>
      <c r="K2127" t="n">
        <v>0</v>
      </c>
      <c r="L2127" t="n">
        <v>1</v>
      </c>
      <c r="M2127" t="n">
        <v>0</v>
      </c>
    </row>
    <row r="2128" spans="1:13">
      <c r="A2128" s="1">
        <f>HYPERLINK("http://www.twitter.com/NathanBLawrence/status/987305150200066049", "987305150200066049")</f>
        <v/>
      </c>
      <c r="B2128" s="2" t="n">
        <v>43210.51464120371</v>
      </c>
      <c r="C2128" t="n">
        <v>0</v>
      </c>
      <c r="D2128" t="n">
        <v>6</v>
      </c>
      <c r="E2128" t="s">
        <v>2136</v>
      </c>
      <c r="F2128">
        <f>HYPERLINK("http://pbs.twimg.com/media/DbMZx5RVwAEkIjP.jpg", "http://pbs.twimg.com/media/DbMZx5RVwAEkIjP.jpg")</f>
        <v/>
      </c>
      <c r="G2128" t="s"/>
      <c r="H2128" t="s"/>
      <c r="I2128" t="s"/>
      <c r="J2128" t="n">
        <v>0</v>
      </c>
      <c r="K2128" t="n">
        <v>0</v>
      </c>
      <c r="L2128" t="n">
        <v>1</v>
      </c>
      <c r="M2128" t="n">
        <v>0</v>
      </c>
    </row>
    <row r="2129" spans="1:13">
      <c r="A2129" s="1">
        <f>HYPERLINK("http://www.twitter.com/NathanBLawrence/status/987304231907594240", "987304231907594240")</f>
        <v/>
      </c>
      <c r="B2129" s="2" t="n">
        <v>43210.51210648148</v>
      </c>
      <c r="C2129" t="n">
        <v>1</v>
      </c>
      <c r="D2129" t="n">
        <v>1</v>
      </c>
      <c r="E2129" t="s">
        <v>2137</v>
      </c>
      <c r="F2129" t="s"/>
      <c r="G2129" t="s"/>
      <c r="H2129" t="s"/>
      <c r="I2129" t="s"/>
      <c r="J2129" t="n">
        <v>0.296</v>
      </c>
      <c r="K2129" t="n">
        <v>0</v>
      </c>
      <c r="L2129" t="n">
        <v>0.891</v>
      </c>
      <c r="M2129" t="n">
        <v>0.109</v>
      </c>
    </row>
    <row r="2130" spans="1:13">
      <c r="A2130" s="1">
        <f>HYPERLINK("http://www.twitter.com/NathanBLawrence/status/987303362076008448", "987303362076008448")</f>
        <v/>
      </c>
      <c r="B2130" s="2" t="n">
        <v>43210.50971064815</v>
      </c>
      <c r="C2130" t="n">
        <v>0</v>
      </c>
      <c r="D2130" t="n">
        <v>4</v>
      </c>
      <c r="E2130" t="s">
        <v>2138</v>
      </c>
      <c r="F2130" t="s"/>
      <c r="G2130" t="s"/>
      <c r="H2130" t="s"/>
      <c r="I2130" t="s"/>
      <c r="J2130" t="n">
        <v>0.7964</v>
      </c>
      <c r="K2130" t="n">
        <v>0.094</v>
      </c>
      <c r="L2130" t="n">
        <v>0.606</v>
      </c>
      <c r="M2130" t="n">
        <v>0.3</v>
      </c>
    </row>
    <row r="2131" spans="1:13">
      <c r="A2131" s="1">
        <f>HYPERLINK("http://www.twitter.com/NathanBLawrence/status/987302707944919040", "987302707944919040")</f>
        <v/>
      </c>
      <c r="B2131" s="2" t="n">
        <v>43210.50790509259</v>
      </c>
      <c r="C2131" t="n">
        <v>1</v>
      </c>
      <c r="D2131" t="n">
        <v>0</v>
      </c>
      <c r="E2131" t="s">
        <v>2139</v>
      </c>
      <c r="F2131" t="s"/>
      <c r="G2131" t="s"/>
      <c r="H2131" t="s"/>
      <c r="I2131" t="s"/>
      <c r="J2131" t="n">
        <v>0.3612</v>
      </c>
      <c r="K2131" t="n">
        <v>0</v>
      </c>
      <c r="L2131" t="n">
        <v>0.615</v>
      </c>
      <c r="M2131" t="n">
        <v>0.385</v>
      </c>
    </row>
    <row r="2132" spans="1:13">
      <c r="A2132" s="1">
        <f>HYPERLINK("http://www.twitter.com/NathanBLawrence/status/987302254741999616", "987302254741999616")</f>
        <v/>
      </c>
      <c r="B2132" s="2" t="n">
        <v>43210.50665509259</v>
      </c>
      <c r="C2132" t="n">
        <v>13</v>
      </c>
      <c r="D2132" t="n">
        <v>6</v>
      </c>
      <c r="E2132" t="s">
        <v>2140</v>
      </c>
      <c r="F2132">
        <f>HYPERLINK("http://pbs.twimg.com/media/DbOaKXZV4AEd2Uk.jpg", "http://pbs.twimg.com/media/DbOaKXZV4AEd2Uk.jpg")</f>
        <v/>
      </c>
      <c r="G2132" t="s"/>
      <c r="H2132" t="s"/>
      <c r="I2132" t="s"/>
      <c r="J2132" t="n">
        <v>0.4019</v>
      </c>
      <c r="K2132" t="n">
        <v>0</v>
      </c>
      <c r="L2132" t="n">
        <v>0.9379999999999999</v>
      </c>
      <c r="M2132" t="n">
        <v>0.062</v>
      </c>
    </row>
    <row r="2133" spans="1:13">
      <c r="A2133" s="1">
        <f>HYPERLINK("http://www.twitter.com/NathanBLawrence/status/987301382830133248", "987301382830133248")</f>
        <v/>
      </c>
      <c r="B2133" s="2" t="n">
        <v>43210.50424768519</v>
      </c>
      <c r="C2133" t="n">
        <v>7</v>
      </c>
      <c r="D2133" t="n">
        <v>4</v>
      </c>
      <c r="E2133" t="s">
        <v>2141</v>
      </c>
      <c r="F2133" t="s"/>
      <c r="G2133" t="s"/>
      <c r="H2133" t="s"/>
      <c r="I2133" t="s"/>
      <c r="J2133" t="n">
        <v>-0.6486</v>
      </c>
      <c r="K2133" t="n">
        <v>0.121</v>
      </c>
      <c r="L2133" t="n">
        <v>0.854</v>
      </c>
      <c r="M2133" t="n">
        <v>0.025</v>
      </c>
    </row>
    <row r="2134" spans="1:13">
      <c r="A2134" s="1">
        <f>HYPERLINK("http://www.twitter.com/NathanBLawrence/status/987300468354437121", "987300468354437121")</f>
        <v/>
      </c>
      <c r="B2134" s="2" t="n">
        <v>43210.50172453704</v>
      </c>
      <c r="C2134" t="n">
        <v>0</v>
      </c>
      <c r="D2134" t="n">
        <v>2</v>
      </c>
      <c r="E2134" t="s">
        <v>2142</v>
      </c>
      <c r="F2134" t="s"/>
      <c r="G2134" t="s"/>
      <c r="H2134" t="s"/>
      <c r="I2134" t="s"/>
      <c r="J2134" t="n">
        <v>0</v>
      </c>
      <c r="K2134" t="n">
        <v>0</v>
      </c>
      <c r="L2134" t="n">
        <v>1</v>
      </c>
      <c r="M2134" t="n">
        <v>0</v>
      </c>
    </row>
    <row r="2135" spans="1:13">
      <c r="A2135" s="1">
        <f>HYPERLINK("http://www.twitter.com/NathanBLawrence/status/987299370038124549", "987299370038124549")</f>
        <v/>
      </c>
      <c r="B2135" s="2" t="n">
        <v>43210.49869212963</v>
      </c>
      <c r="C2135" t="n">
        <v>3</v>
      </c>
      <c r="D2135" t="n">
        <v>2</v>
      </c>
      <c r="E2135" t="s">
        <v>2143</v>
      </c>
      <c r="F2135" t="s"/>
      <c r="G2135" t="s"/>
      <c r="H2135" t="s"/>
      <c r="I2135" t="s"/>
      <c r="J2135" t="n">
        <v>-0.7717000000000001</v>
      </c>
      <c r="K2135" t="n">
        <v>0.131</v>
      </c>
      <c r="L2135" t="n">
        <v>0.869</v>
      </c>
      <c r="M2135" t="n">
        <v>0</v>
      </c>
    </row>
    <row r="2136" spans="1:13">
      <c r="A2136" s="1">
        <f>HYPERLINK("http://www.twitter.com/NathanBLawrence/status/987298084848832512", "987298084848832512")</f>
        <v/>
      </c>
      <c r="B2136" s="2" t="n">
        <v>43210.49515046296</v>
      </c>
      <c r="C2136" t="n">
        <v>0</v>
      </c>
      <c r="D2136" t="n">
        <v>1</v>
      </c>
      <c r="E2136" t="s">
        <v>2144</v>
      </c>
      <c r="F2136" t="s"/>
      <c r="G2136" t="s"/>
      <c r="H2136" t="s"/>
      <c r="I2136" t="s"/>
      <c r="J2136" t="n">
        <v>0</v>
      </c>
      <c r="K2136" t="n">
        <v>0</v>
      </c>
      <c r="L2136" t="n">
        <v>1</v>
      </c>
      <c r="M2136" t="n">
        <v>0</v>
      </c>
    </row>
    <row r="2137" spans="1:13">
      <c r="A2137" s="1">
        <f>HYPERLINK("http://www.twitter.com/NathanBLawrence/status/987297803692015617", "987297803692015617")</f>
        <v/>
      </c>
      <c r="B2137" s="2" t="n">
        <v>43210.494375</v>
      </c>
      <c r="C2137" t="n">
        <v>1</v>
      </c>
      <c r="D2137" t="n">
        <v>0</v>
      </c>
      <c r="E2137" t="s">
        <v>2145</v>
      </c>
      <c r="F2137" t="s"/>
      <c r="G2137" t="s"/>
      <c r="H2137" t="s"/>
      <c r="I2137" t="s"/>
      <c r="J2137" t="n">
        <v>0.4019</v>
      </c>
      <c r="K2137" t="n">
        <v>0</v>
      </c>
      <c r="L2137" t="n">
        <v>0.838</v>
      </c>
      <c r="M2137" t="n">
        <v>0.162</v>
      </c>
    </row>
    <row r="2138" spans="1:13">
      <c r="A2138" s="1">
        <f>HYPERLINK("http://www.twitter.com/NathanBLawrence/status/987296819209293824", "987296819209293824")</f>
        <v/>
      </c>
      <c r="B2138" s="2" t="n">
        <v>43210.49165509259</v>
      </c>
      <c r="C2138" t="n">
        <v>0</v>
      </c>
      <c r="D2138" t="n">
        <v>1</v>
      </c>
      <c r="E2138" t="s">
        <v>2146</v>
      </c>
      <c r="F2138" t="s"/>
      <c r="G2138" t="s"/>
      <c r="H2138" t="s"/>
      <c r="I2138" t="s"/>
      <c r="J2138" t="n">
        <v>0</v>
      </c>
      <c r="K2138" t="n">
        <v>0</v>
      </c>
      <c r="L2138" t="n">
        <v>1</v>
      </c>
      <c r="M2138" t="n">
        <v>0</v>
      </c>
    </row>
    <row r="2139" spans="1:13">
      <c r="A2139" s="1">
        <f>HYPERLINK("http://www.twitter.com/NathanBLawrence/status/987296605782118400", "987296605782118400")</f>
        <v/>
      </c>
      <c r="B2139" s="2" t="n">
        <v>43210.49106481481</v>
      </c>
      <c r="C2139" t="n">
        <v>2</v>
      </c>
      <c r="D2139" t="n">
        <v>0</v>
      </c>
      <c r="E2139" t="s">
        <v>2147</v>
      </c>
      <c r="F2139" t="s"/>
      <c r="G2139" t="s"/>
      <c r="H2139" t="s"/>
      <c r="I2139" t="s"/>
      <c r="J2139" t="n">
        <v>0.6597</v>
      </c>
      <c r="K2139" t="n">
        <v>0</v>
      </c>
      <c r="L2139" t="n">
        <v>0.6899999999999999</v>
      </c>
      <c r="M2139" t="n">
        <v>0.31</v>
      </c>
    </row>
    <row r="2140" spans="1:13">
      <c r="A2140" s="1">
        <f>HYPERLINK("http://www.twitter.com/NathanBLawrence/status/987296371962236929", "987296371962236929")</f>
        <v/>
      </c>
      <c r="B2140" s="2" t="n">
        <v>43210.49041666667</v>
      </c>
      <c r="C2140" t="n">
        <v>0</v>
      </c>
      <c r="D2140" t="n">
        <v>1</v>
      </c>
      <c r="E2140" t="s">
        <v>2148</v>
      </c>
      <c r="F2140" t="s"/>
      <c r="G2140" t="s"/>
      <c r="H2140" t="s"/>
      <c r="I2140" t="s"/>
      <c r="J2140" t="n">
        <v>0</v>
      </c>
      <c r="K2140" t="n">
        <v>0</v>
      </c>
      <c r="L2140" t="n">
        <v>1</v>
      </c>
      <c r="M2140" t="n">
        <v>0</v>
      </c>
    </row>
    <row r="2141" spans="1:13">
      <c r="A2141" s="1">
        <f>HYPERLINK("http://www.twitter.com/NathanBLawrence/status/987296205758697476", "987296205758697476")</f>
        <v/>
      </c>
      <c r="B2141" s="2" t="n">
        <v>43210.48996527777</v>
      </c>
      <c r="C2141" t="n">
        <v>0</v>
      </c>
      <c r="D2141" t="n">
        <v>1</v>
      </c>
      <c r="E2141" t="s">
        <v>2149</v>
      </c>
      <c r="F2141" t="s"/>
      <c r="G2141" t="s"/>
      <c r="H2141" t="s"/>
      <c r="I2141" t="s"/>
      <c r="J2141" t="n">
        <v>0</v>
      </c>
      <c r="K2141" t="n">
        <v>0</v>
      </c>
      <c r="L2141" t="n">
        <v>1</v>
      </c>
      <c r="M2141" t="n">
        <v>0</v>
      </c>
    </row>
    <row r="2142" spans="1:13">
      <c r="A2142" s="1">
        <f>HYPERLINK("http://www.twitter.com/NathanBLawrence/status/987168327108845568", "987168327108845568")</f>
        <v/>
      </c>
      <c r="B2142" s="2" t="n">
        <v>43210.13708333333</v>
      </c>
      <c r="C2142" t="n">
        <v>3</v>
      </c>
      <c r="D2142" t="n">
        <v>1</v>
      </c>
      <c r="E2142" t="s">
        <v>2150</v>
      </c>
      <c r="F2142" t="s"/>
      <c r="G2142" t="s"/>
      <c r="H2142" t="s"/>
      <c r="I2142" t="s"/>
      <c r="J2142" t="n">
        <v>0.7351</v>
      </c>
      <c r="K2142" t="n">
        <v>0</v>
      </c>
      <c r="L2142" t="n">
        <v>0.617</v>
      </c>
      <c r="M2142" t="n">
        <v>0.383</v>
      </c>
    </row>
    <row r="2143" spans="1:13">
      <c r="A2143" s="1">
        <f>HYPERLINK("http://www.twitter.com/NathanBLawrence/status/987167046151606274", "987167046151606274")</f>
        <v/>
      </c>
      <c r="B2143" s="2" t="n">
        <v>43210.13355324074</v>
      </c>
      <c r="C2143" t="n">
        <v>2</v>
      </c>
      <c r="D2143" t="n">
        <v>0</v>
      </c>
      <c r="E2143" t="s">
        <v>2151</v>
      </c>
      <c r="F2143" t="s"/>
      <c r="G2143" t="s"/>
      <c r="H2143" t="s"/>
      <c r="I2143" t="s"/>
      <c r="J2143" t="n">
        <v>-0.4215</v>
      </c>
      <c r="K2143" t="n">
        <v>0.149</v>
      </c>
      <c r="L2143" t="n">
        <v>0.851</v>
      </c>
      <c r="M2143" t="n">
        <v>0</v>
      </c>
    </row>
    <row r="2144" spans="1:13">
      <c r="A2144" s="1">
        <f>HYPERLINK("http://www.twitter.com/NathanBLawrence/status/987164673610059776", "987164673610059776")</f>
        <v/>
      </c>
      <c r="B2144" s="2" t="n">
        <v>43210.12700231482</v>
      </c>
      <c r="C2144" t="n">
        <v>8</v>
      </c>
      <c r="D2144" t="n">
        <v>3</v>
      </c>
      <c r="E2144" t="s">
        <v>2152</v>
      </c>
      <c r="F2144" t="s"/>
      <c r="G2144" t="s"/>
      <c r="H2144" t="s"/>
      <c r="I2144" t="s"/>
      <c r="J2144" t="n">
        <v>-0.296</v>
      </c>
      <c r="K2144" t="n">
        <v>0.184</v>
      </c>
      <c r="L2144" t="n">
        <v>0.714</v>
      </c>
      <c r="M2144" t="n">
        <v>0.102</v>
      </c>
    </row>
    <row r="2145" spans="1:13">
      <c r="A2145" s="1">
        <f>HYPERLINK("http://www.twitter.com/NathanBLawrence/status/987148309981749250", "987148309981749250")</f>
        <v/>
      </c>
      <c r="B2145" s="2" t="n">
        <v>43210.08185185185</v>
      </c>
      <c r="C2145" t="n">
        <v>0</v>
      </c>
      <c r="D2145" t="n">
        <v>3</v>
      </c>
      <c r="E2145" t="s">
        <v>2153</v>
      </c>
      <c r="F2145" t="s"/>
      <c r="G2145" t="s"/>
      <c r="H2145" t="s"/>
      <c r="I2145" t="s"/>
      <c r="J2145" t="n">
        <v>0.7579</v>
      </c>
      <c r="K2145" t="n">
        <v>0</v>
      </c>
      <c r="L2145" t="n">
        <v>0.679</v>
      </c>
      <c r="M2145" t="n">
        <v>0.321</v>
      </c>
    </row>
    <row r="2146" spans="1:13">
      <c r="A2146" s="1">
        <f>HYPERLINK("http://www.twitter.com/NathanBLawrence/status/987148266092494850", "987148266092494850")</f>
        <v/>
      </c>
      <c r="B2146" s="2" t="n">
        <v>43210.08172453703</v>
      </c>
      <c r="C2146" t="n">
        <v>0</v>
      </c>
      <c r="D2146" t="n">
        <v>2</v>
      </c>
      <c r="E2146" t="s">
        <v>2154</v>
      </c>
      <c r="F2146" t="s"/>
      <c r="G2146" t="s"/>
      <c r="H2146" t="s"/>
      <c r="I2146" t="s"/>
      <c r="J2146" t="n">
        <v>0.7783</v>
      </c>
      <c r="K2146" t="n">
        <v>0</v>
      </c>
      <c r="L2146" t="n">
        <v>0.736</v>
      </c>
      <c r="M2146" t="n">
        <v>0.264</v>
      </c>
    </row>
    <row r="2147" spans="1:13">
      <c r="A2147" s="1">
        <f>HYPERLINK("http://www.twitter.com/NathanBLawrence/status/987136242008690689", "987136242008690689")</f>
        <v/>
      </c>
      <c r="B2147" s="2" t="n">
        <v>43210.04854166666</v>
      </c>
      <c r="C2147" t="n">
        <v>1</v>
      </c>
      <c r="D2147" t="n">
        <v>0</v>
      </c>
      <c r="E2147" t="s">
        <v>2155</v>
      </c>
      <c r="F2147" t="s"/>
      <c r="G2147" t="s"/>
      <c r="H2147" t="s"/>
      <c r="I2147" t="s"/>
      <c r="J2147" t="n">
        <v>-0.3412</v>
      </c>
      <c r="K2147" t="n">
        <v>0.08799999999999999</v>
      </c>
      <c r="L2147" t="n">
        <v>0.912</v>
      </c>
      <c r="M2147" t="n">
        <v>0</v>
      </c>
    </row>
    <row r="2148" spans="1:13">
      <c r="A2148" s="1">
        <f>HYPERLINK("http://www.twitter.com/NathanBLawrence/status/987135722204385280", "987135722204385280")</f>
        <v/>
      </c>
      <c r="B2148" s="2" t="n">
        <v>43210.04710648148</v>
      </c>
      <c r="C2148" t="n">
        <v>0</v>
      </c>
      <c r="D2148" t="n">
        <v>12</v>
      </c>
      <c r="E2148" t="s">
        <v>2156</v>
      </c>
      <c r="F2148">
        <f>HYPERLINK("http://pbs.twimg.com/media/DbMCIh_UMAE8Xl4.jpg", "http://pbs.twimg.com/media/DbMCIh_UMAE8Xl4.jpg")</f>
        <v/>
      </c>
      <c r="G2148" t="s"/>
      <c r="H2148" t="s"/>
      <c r="I2148" t="s"/>
      <c r="J2148" t="n">
        <v>0.4391</v>
      </c>
      <c r="K2148" t="n">
        <v>0</v>
      </c>
      <c r="L2148" t="n">
        <v>0.888</v>
      </c>
      <c r="M2148" t="n">
        <v>0.112</v>
      </c>
    </row>
    <row r="2149" spans="1:13">
      <c r="A2149" s="1">
        <f>HYPERLINK("http://www.twitter.com/NathanBLawrence/status/987135041800228866", "987135041800228866")</f>
        <v/>
      </c>
      <c r="B2149" s="2" t="n">
        <v>43210.04523148148</v>
      </c>
      <c r="C2149" t="n">
        <v>1</v>
      </c>
      <c r="D2149" t="n">
        <v>0</v>
      </c>
      <c r="E2149" t="s">
        <v>2157</v>
      </c>
      <c r="F2149">
        <f>HYPERLINK("http://pbs.twimg.com/media/DbMCFXeV4AACHuI.jpg", "http://pbs.twimg.com/media/DbMCFXeV4AACHuI.jpg")</f>
        <v/>
      </c>
      <c r="G2149" t="s"/>
      <c r="H2149" t="s"/>
      <c r="I2149" t="s"/>
      <c r="J2149" t="n">
        <v>-0.3612</v>
      </c>
      <c r="K2149" t="n">
        <v>0.238</v>
      </c>
      <c r="L2149" t="n">
        <v>0.762</v>
      </c>
      <c r="M2149" t="n">
        <v>0</v>
      </c>
    </row>
    <row r="2150" spans="1:13">
      <c r="A2150" s="1">
        <f>HYPERLINK("http://www.twitter.com/NathanBLawrence/status/987133960986775552", "987133960986775552")</f>
        <v/>
      </c>
      <c r="B2150" s="2" t="n">
        <v>43210.04225694444</v>
      </c>
      <c r="C2150" t="n">
        <v>0</v>
      </c>
      <c r="D2150" t="n">
        <v>0</v>
      </c>
      <c r="E2150" t="s">
        <v>2158</v>
      </c>
      <c r="F2150" t="s"/>
      <c r="G2150" t="s"/>
      <c r="H2150" t="s"/>
      <c r="I2150" t="s"/>
      <c r="J2150" t="n">
        <v>0</v>
      </c>
      <c r="K2150" t="n">
        <v>0</v>
      </c>
      <c r="L2150" t="n">
        <v>1</v>
      </c>
      <c r="M2150" t="n">
        <v>0</v>
      </c>
    </row>
    <row r="2151" spans="1:13">
      <c r="A2151" s="1">
        <f>HYPERLINK("http://www.twitter.com/NathanBLawrence/status/987133732191653888", "987133732191653888")</f>
        <v/>
      </c>
      <c r="B2151" s="2" t="n">
        <v>43210.04162037037</v>
      </c>
      <c r="C2151" t="n">
        <v>1</v>
      </c>
      <c r="D2151" t="n">
        <v>0</v>
      </c>
      <c r="E2151" t="s">
        <v>2159</v>
      </c>
      <c r="F2151" t="s"/>
      <c r="G2151" t="s"/>
      <c r="H2151" t="s"/>
      <c r="I2151" t="s"/>
      <c r="J2151" t="n">
        <v>0.3612</v>
      </c>
      <c r="K2151" t="n">
        <v>0</v>
      </c>
      <c r="L2151" t="n">
        <v>0.828</v>
      </c>
      <c r="M2151" t="n">
        <v>0.172</v>
      </c>
    </row>
    <row r="2152" spans="1:13">
      <c r="A2152" s="1">
        <f>HYPERLINK("http://www.twitter.com/NathanBLawrence/status/987132825928335360", "987132825928335360")</f>
        <v/>
      </c>
      <c r="B2152" s="2" t="n">
        <v>43210.03912037037</v>
      </c>
      <c r="C2152" t="n">
        <v>1</v>
      </c>
      <c r="D2152" t="n">
        <v>0</v>
      </c>
      <c r="E2152" t="s">
        <v>2160</v>
      </c>
      <c r="F2152" t="s"/>
      <c r="G2152" t="s"/>
      <c r="H2152" t="s"/>
      <c r="I2152" t="s"/>
      <c r="J2152" t="n">
        <v>0.8807</v>
      </c>
      <c r="K2152" t="n">
        <v>0</v>
      </c>
      <c r="L2152" t="n">
        <v>0.836</v>
      </c>
      <c r="M2152" t="n">
        <v>0.164</v>
      </c>
    </row>
    <row r="2153" spans="1:13">
      <c r="A2153" s="1">
        <f>HYPERLINK("http://www.twitter.com/NathanBLawrence/status/987131423239888896", "987131423239888896")</f>
        <v/>
      </c>
      <c r="B2153" s="2" t="n">
        <v>43210.03524305556</v>
      </c>
      <c r="C2153" t="n">
        <v>2</v>
      </c>
      <c r="D2153" t="n">
        <v>1</v>
      </c>
      <c r="E2153" t="s">
        <v>2161</v>
      </c>
      <c r="F2153" t="s"/>
      <c r="G2153" t="s"/>
      <c r="H2153" t="s"/>
      <c r="I2153" t="s"/>
      <c r="J2153" t="n">
        <v>-0.6808</v>
      </c>
      <c r="K2153" t="n">
        <v>0.123</v>
      </c>
      <c r="L2153" t="n">
        <v>0.877</v>
      </c>
      <c r="M2153" t="n">
        <v>0</v>
      </c>
    </row>
    <row r="2154" spans="1:13">
      <c r="A2154" s="1">
        <f>HYPERLINK("http://www.twitter.com/NathanBLawrence/status/987110838246035461", "987110838246035461")</f>
        <v/>
      </c>
      <c r="B2154" s="2" t="n">
        <v>43209.97844907407</v>
      </c>
      <c r="C2154" t="n">
        <v>0</v>
      </c>
      <c r="D2154" t="n">
        <v>0</v>
      </c>
      <c r="E2154" t="s">
        <v>2162</v>
      </c>
      <c r="F2154" t="s"/>
      <c r="G2154" t="s"/>
      <c r="H2154" t="s"/>
      <c r="I2154" t="s"/>
      <c r="J2154" t="n">
        <v>0</v>
      </c>
      <c r="K2154" t="n">
        <v>0</v>
      </c>
      <c r="L2154" t="n">
        <v>1</v>
      </c>
      <c r="M2154" t="n">
        <v>0</v>
      </c>
    </row>
    <row r="2155" spans="1:13">
      <c r="A2155" s="1">
        <f>HYPERLINK("http://www.twitter.com/NathanBLawrence/status/987110360573505536", "987110360573505536")</f>
        <v/>
      </c>
      <c r="B2155" s="2" t="n">
        <v>43209.97712962963</v>
      </c>
      <c r="C2155" t="n">
        <v>0</v>
      </c>
      <c r="D2155" t="n">
        <v>5</v>
      </c>
      <c r="E2155" t="s">
        <v>2163</v>
      </c>
      <c r="F2155" t="s"/>
      <c r="G2155" t="s"/>
      <c r="H2155" t="s"/>
      <c r="I2155" t="s"/>
      <c r="J2155" t="n">
        <v>0</v>
      </c>
      <c r="K2155" t="n">
        <v>0</v>
      </c>
      <c r="L2155" t="n">
        <v>1</v>
      </c>
      <c r="M2155" t="n">
        <v>0</v>
      </c>
    </row>
    <row r="2156" spans="1:13">
      <c r="A2156" s="1">
        <f>HYPERLINK("http://www.twitter.com/NathanBLawrence/status/987110065097379840", "987110065097379840")</f>
        <v/>
      </c>
      <c r="B2156" s="2" t="n">
        <v>43209.97630787037</v>
      </c>
      <c r="C2156" t="n">
        <v>0</v>
      </c>
      <c r="D2156" t="n">
        <v>12</v>
      </c>
      <c r="E2156" t="s">
        <v>2164</v>
      </c>
      <c r="F2156" t="s"/>
      <c r="G2156" t="s"/>
      <c r="H2156" t="s"/>
      <c r="I2156" t="s"/>
      <c r="J2156" t="n">
        <v>0.296</v>
      </c>
      <c r="K2156" t="n">
        <v>0.16</v>
      </c>
      <c r="L2156" t="n">
        <v>0.634</v>
      </c>
      <c r="M2156" t="n">
        <v>0.205</v>
      </c>
    </row>
    <row r="2157" spans="1:13">
      <c r="A2157" s="1">
        <f>HYPERLINK("http://www.twitter.com/NathanBLawrence/status/987109609935704064", "987109609935704064")</f>
        <v/>
      </c>
      <c r="B2157" s="2" t="n">
        <v>43209.97505787037</v>
      </c>
      <c r="C2157" t="n">
        <v>0</v>
      </c>
      <c r="D2157" t="n">
        <v>4</v>
      </c>
      <c r="E2157" t="s">
        <v>2165</v>
      </c>
      <c r="F2157" t="s"/>
      <c r="G2157" t="s"/>
      <c r="H2157" t="s"/>
      <c r="I2157" t="s"/>
      <c r="J2157" t="n">
        <v>0</v>
      </c>
      <c r="K2157" t="n">
        <v>0</v>
      </c>
      <c r="L2157" t="n">
        <v>1</v>
      </c>
      <c r="M2157" t="n">
        <v>0</v>
      </c>
    </row>
    <row r="2158" spans="1:13">
      <c r="A2158" s="1">
        <f>HYPERLINK("http://www.twitter.com/NathanBLawrence/status/987106302005514241", "987106302005514241")</f>
        <v/>
      </c>
      <c r="B2158" s="2" t="n">
        <v>43209.96592592593</v>
      </c>
      <c r="C2158" t="n">
        <v>4</v>
      </c>
      <c r="D2158" t="n">
        <v>3</v>
      </c>
      <c r="E2158" t="s">
        <v>2166</v>
      </c>
      <c r="F2158" t="s"/>
      <c r="G2158" t="s"/>
      <c r="H2158" t="s"/>
      <c r="I2158" t="s"/>
      <c r="J2158" t="n">
        <v>-0.8834</v>
      </c>
      <c r="K2158" t="n">
        <v>0.212</v>
      </c>
      <c r="L2158" t="n">
        <v>0.788</v>
      </c>
      <c r="M2158" t="n">
        <v>0</v>
      </c>
    </row>
    <row r="2159" spans="1:13">
      <c r="A2159" s="1">
        <f>HYPERLINK("http://www.twitter.com/NathanBLawrence/status/987096464060047360", "987096464060047360")</f>
        <v/>
      </c>
      <c r="B2159" s="2" t="n">
        <v>43209.93878472222</v>
      </c>
      <c r="C2159" t="n">
        <v>2</v>
      </c>
      <c r="D2159" t="n">
        <v>1</v>
      </c>
      <c r="E2159" t="s">
        <v>2167</v>
      </c>
      <c r="F2159" t="s"/>
      <c r="G2159" t="s"/>
      <c r="H2159" t="s"/>
      <c r="I2159" t="s"/>
      <c r="J2159" t="n">
        <v>0</v>
      </c>
      <c r="K2159" t="n">
        <v>0</v>
      </c>
      <c r="L2159" t="n">
        <v>1</v>
      </c>
      <c r="M2159" t="n">
        <v>0</v>
      </c>
    </row>
    <row r="2160" spans="1:13">
      <c r="A2160" s="1">
        <f>HYPERLINK("http://www.twitter.com/NathanBLawrence/status/987087628158881792", "987087628158881792")</f>
        <v/>
      </c>
      <c r="B2160" s="2" t="n">
        <v>43209.91439814815</v>
      </c>
      <c r="C2160" t="n">
        <v>1</v>
      </c>
      <c r="D2160" t="n">
        <v>0</v>
      </c>
      <c r="E2160" t="s">
        <v>2168</v>
      </c>
      <c r="F2160" t="s"/>
      <c r="G2160" t="s"/>
      <c r="H2160" t="s"/>
      <c r="I2160" t="s"/>
      <c r="J2160" t="n">
        <v>-0.2458</v>
      </c>
      <c r="K2160" t="n">
        <v>0.255</v>
      </c>
      <c r="L2160" t="n">
        <v>0.588</v>
      </c>
      <c r="M2160" t="n">
        <v>0.158</v>
      </c>
    </row>
    <row r="2161" spans="1:13">
      <c r="A2161" s="1">
        <f>HYPERLINK("http://www.twitter.com/NathanBLawrence/status/987086111813066757", "987086111813066757")</f>
        <v/>
      </c>
      <c r="B2161" s="2" t="n">
        <v>43209.91020833333</v>
      </c>
      <c r="C2161" t="n">
        <v>0</v>
      </c>
      <c r="D2161" t="n">
        <v>7</v>
      </c>
      <c r="E2161" t="s">
        <v>2169</v>
      </c>
      <c r="F2161" t="s"/>
      <c r="G2161" t="s"/>
      <c r="H2161" t="s"/>
      <c r="I2161" t="s"/>
      <c r="J2161" t="n">
        <v>0.5063</v>
      </c>
      <c r="K2161" t="n">
        <v>0.07199999999999999</v>
      </c>
      <c r="L2161" t="n">
        <v>0.729</v>
      </c>
      <c r="M2161" t="n">
        <v>0.198</v>
      </c>
    </row>
    <row r="2162" spans="1:13">
      <c r="A2162" s="1">
        <f>HYPERLINK("http://www.twitter.com/NathanBLawrence/status/987077369000316928", "987077369000316928")</f>
        <v/>
      </c>
      <c r="B2162" s="2" t="n">
        <v>43209.88608796296</v>
      </c>
      <c r="C2162" t="n">
        <v>0</v>
      </c>
      <c r="D2162" t="n">
        <v>0</v>
      </c>
      <c r="E2162" t="s">
        <v>2170</v>
      </c>
      <c r="F2162" t="s"/>
      <c r="G2162" t="s"/>
      <c r="H2162" t="s"/>
      <c r="I2162" t="s"/>
      <c r="J2162" t="n">
        <v>0.7469</v>
      </c>
      <c r="K2162" t="n">
        <v>0</v>
      </c>
      <c r="L2162" t="n">
        <v>0.866</v>
      </c>
      <c r="M2162" t="n">
        <v>0.134</v>
      </c>
    </row>
    <row r="2163" spans="1:13">
      <c r="A2163" s="1">
        <f>HYPERLINK("http://www.twitter.com/NathanBLawrence/status/987076519494410241", "987076519494410241")</f>
        <v/>
      </c>
      <c r="B2163" s="2" t="n">
        <v>43209.88373842592</v>
      </c>
      <c r="C2163" t="n">
        <v>0</v>
      </c>
      <c r="D2163" t="n">
        <v>4</v>
      </c>
      <c r="E2163" t="s">
        <v>2171</v>
      </c>
      <c r="F2163" t="s"/>
      <c r="G2163" t="s"/>
      <c r="H2163" t="s"/>
      <c r="I2163" t="s"/>
      <c r="J2163" t="n">
        <v>0.2565</v>
      </c>
      <c r="K2163" t="n">
        <v>0</v>
      </c>
      <c r="L2163" t="n">
        <v>0.899</v>
      </c>
      <c r="M2163" t="n">
        <v>0.101</v>
      </c>
    </row>
    <row r="2164" spans="1:13">
      <c r="A2164" s="1">
        <f>HYPERLINK("http://www.twitter.com/NathanBLawrence/status/987076076290609152", "987076076290609152")</f>
        <v/>
      </c>
      <c r="B2164" s="2" t="n">
        <v>43209.88252314815</v>
      </c>
      <c r="C2164" t="n">
        <v>0</v>
      </c>
      <c r="D2164" t="n">
        <v>5</v>
      </c>
      <c r="E2164" t="s">
        <v>2172</v>
      </c>
      <c r="F2164" t="s"/>
      <c r="G2164" t="s"/>
      <c r="H2164" t="s"/>
      <c r="I2164" t="s"/>
      <c r="J2164" t="n">
        <v>0.6588000000000001</v>
      </c>
      <c r="K2164" t="n">
        <v>0</v>
      </c>
      <c r="L2164" t="n">
        <v>0.695</v>
      </c>
      <c r="M2164" t="n">
        <v>0.305</v>
      </c>
    </row>
    <row r="2165" spans="1:13">
      <c r="A2165" s="1">
        <f>HYPERLINK("http://www.twitter.com/NathanBLawrence/status/987076037640146945", "987076037640146945")</f>
        <v/>
      </c>
      <c r="B2165" s="2" t="n">
        <v>43209.88241898148</v>
      </c>
      <c r="C2165" t="n">
        <v>3</v>
      </c>
      <c r="D2165" t="n">
        <v>2</v>
      </c>
      <c r="E2165" t="s">
        <v>2173</v>
      </c>
      <c r="F2165" t="s"/>
      <c r="G2165" t="s"/>
      <c r="H2165" t="s"/>
      <c r="I2165" t="s"/>
      <c r="J2165" t="n">
        <v>0.0772</v>
      </c>
      <c r="K2165" t="n">
        <v>0.253</v>
      </c>
      <c r="L2165" t="n">
        <v>0.46</v>
      </c>
      <c r="M2165" t="n">
        <v>0.287</v>
      </c>
    </row>
    <row r="2166" spans="1:13">
      <c r="A2166" s="1">
        <f>HYPERLINK("http://www.twitter.com/NathanBLawrence/status/987074479842123776", "987074479842123776")</f>
        <v/>
      </c>
      <c r="B2166" s="2" t="n">
        <v>43209.87811342593</v>
      </c>
      <c r="C2166" t="n">
        <v>0</v>
      </c>
      <c r="D2166" t="n">
        <v>2</v>
      </c>
      <c r="E2166" t="s">
        <v>2174</v>
      </c>
      <c r="F2166" t="s"/>
      <c r="G2166" t="s"/>
      <c r="H2166" t="s"/>
      <c r="I2166" t="s"/>
      <c r="J2166" t="n">
        <v>-0.4404</v>
      </c>
      <c r="K2166" t="n">
        <v>0.266</v>
      </c>
      <c r="L2166" t="n">
        <v>0.734</v>
      </c>
      <c r="M2166" t="n">
        <v>0</v>
      </c>
    </row>
    <row r="2167" spans="1:13">
      <c r="A2167" s="1">
        <f>HYPERLINK("http://www.twitter.com/NathanBLawrence/status/987074401525956610", "987074401525956610")</f>
        <v/>
      </c>
      <c r="B2167" s="2" t="n">
        <v>43209.87789351852</v>
      </c>
      <c r="C2167" t="n">
        <v>4</v>
      </c>
      <c r="D2167" t="n">
        <v>2</v>
      </c>
      <c r="E2167" t="s">
        <v>2175</v>
      </c>
      <c r="F2167" t="s"/>
      <c r="G2167" t="s"/>
      <c r="H2167" t="s"/>
      <c r="I2167" t="s"/>
      <c r="J2167" t="n">
        <v>0</v>
      </c>
      <c r="K2167" t="n">
        <v>0</v>
      </c>
      <c r="L2167" t="n">
        <v>1</v>
      </c>
      <c r="M2167" t="n">
        <v>0</v>
      </c>
    </row>
    <row r="2168" spans="1:13">
      <c r="A2168" s="1">
        <f>HYPERLINK("http://www.twitter.com/NathanBLawrence/status/987064706300104707", "987064706300104707")</f>
        <v/>
      </c>
      <c r="B2168" s="2" t="n">
        <v>43209.85114583333</v>
      </c>
      <c r="C2168" t="n">
        <v>0</v>
      </c>
      <c r="D2168" t="n">
        <v>17</v>
      </c>
      <c r="E2168" t="s">
        <v>2176</v>
      </c>
      <c r="F2168">
        <f>HYPERLINK("http://pbs.twimg.com/media/DbLAcxfWkAAohV2.jpg", "http://pbs.twimg.com/media/DbLAcxfWkAAohV2.jpg")</f>
        <v/>
      </c>
      <c r="G2168" t="s"/>
      <c r="H2168" t="s"/>
      <c r="I2168" t="s"/>
      <c r="J2168" t="n">
        <v>-0.8411999999999999</v>
      </c>
      <c r="K2168" t="n">
        <v>0.347</v>
      </c>
      <c r="L2168" t="n">
        <v>0.653</v>
      </c>
      <c r="M2168" t="n">
        <v>0</v>
      </c>
    </row>
    <row r="2169" spans="1:13">
      <c r="A2169" s="1">
        <f>HYPERLINK("http://www.twitter.com/NathanBLawrence/status/987057100542152706", "987057100542152706")</f>
        <v/>
      </c>
      <c r="B2169" s="2" t="n">
        <v>43209.83016203704</v>
      </c>
      <c r="C2169" t="n">
        <v>0</v>
      </c>
      <c r="D2169" t="n">
        <v>10</v>
      </c>
      <c r="E2169" t="s">
        <v>1852</v>
      </c>
      <c r="F2169" t="s"/>
      <c r="G2169" t="s"/>
      <c r="H2169" t="s"/>
      <c r="I2169" t="s"/>
      <c r="J2169" t="n">
        <v>-0.8070000000000001</v>
      </c>
      <c r="K2169" t="n">
        <v>0.328</v>
      </c>
      <c r="L2169" t="n">
        <v>0.672</v>
      </c>
      <c r="M2169" t="n">
        <v>0</v>
      </c>
    </row>
    <row r="2170" spans="1:13">
      <c r="A2170" s="1">
        <f>HYPERLINK("http://www.twitter.com/NathanBLawrence/status/987054336239980546", "987054336239980546")</f>
        <v/>
      </c>
      <c r="B2170" s="2" t="n">
        <v>43209.82252314815</v>
      </c>
      <c r="C2170" t="n">
        <v>0</v>
      </c>
      <c r="D2170" t="n">
        <v>9</v>
      </c>
      <c r="E2170" t="s">
        <v>2177</v>
      </c>
      <c r="F2170" t="s"/>
      <c r="G2170" t="s"/>
      <c r="H2170" t="s"/>
      <c r="I2170" t="s"/>
      <c r="J2170" t="n">
        <v>0.6124000000000001</v>
      </c>
      <c r="K2170" t="n">
        <v>0</v>
      </c>
      <c r="L2170" t="n">
        <v>0.783</v>
      </c>
      <c r="M2170" t="n">
        <v>0.217</v>
      </c>
    </row>
    <row r="2171" spans="1:13">
      <c r="A2171" s="1">
        <f>HYPERLINK("http://www.twitter.com/NathanBLawrence/status/987054323099164673", "987054323099164673")</f>
        <v/>
      </c>
      <c r="B2171" s="2" t="n">
        <v>43209.82248842593</v>
      </c>
      <c r="C2171" t="n">
        <v>0</v>
      </c>
      <c r="D2171" t="n">
        <v>4</v>
      </c>
      <c r="E2171" t="s">
        <v>2178</v>
      </c>
      <c r="F2171" t="s"/>
      <c r="G2171" t="s"/>
      <c r="H2171" t="s"/>
      <c r="I2171" t="s"/>
      <c r="J2171" t="n">
        <v>-0.3182</v>
      </c>
      <c r="K2171" t="n">
        <v>0.176</v>
      </c>
      <c r="L2171" t="n">
        <v>0.733</v>
      </c>
      <c r="M2171" t="n">
        <v>0.092</v>
      </c>
    </row>
    <row r="2172" spans="1:13">
      <c r="A2172" s="1">
        <f>HYPERLINK("http://www.twitter.com/NathanBLawrence/status/987044779031752704", "987044779031752704")</f>
        <v/>
      </c>
      <c r="B2172" s="2" t="n">
        <v>43209.79615740741</v>
      </c>
      <c r="C2172" t="n">
        <v>0</v>
      </c>
      <c r="D2172" t="n">
        <v>1</v>
      </c>
      <c r="E2172" t="s">
        <v>2179</v>
      </c>
      <c r="F2172" t="s"/>
      <c r="G2172" t="s"/>
      <c r="H2172" t="s"/>
      <c r="I2172" t="s"/>
      <c r="J2172" t="n">
        <v>-0.3417</v>
      </c>
      <c r="K2172" t="n">
        <v>0.297</v>
      </c>
      <c r="L2172" t="n">
        <v>0.466</v>
      </c>
      <c r="M2172" t="n">
        <v>0.237</v>
      </c>
    </row>
    <row r="2173" spans="1:13">
      <c r="A2173" s="1">
        <f>HYPERLINK("http://www.twitter.com/NathanBLawrence/status/987039159566131200", "987039159566131200")</f>
        <v/>
      </c>
      <c r="B2173" s="2" t="n">
        <v>43209.78064814815</v>
      </c>
      <c r="C2173" t="n">
        <v>1</v>
      </c>
      <c r="D2173" t="n">
        <v>0</v>
      </c>
      <c r="E2173" t="s">
        <v>2180</v>
      </c>
      <c r="F2173" t="s"/>
      <c r="G2173" t="s"/>
      <c r="H2173" t="s"/>
      <c r="I2173" t="s"/>
      <c r="J2173" t="n">
        <v>-0.5994</v>
      </c>
      <c r="K2173" t="n">
        <v>0.173</v>
      </c>
      <c r="L2173" t="n">
        <v>0.759</v>
      </c>
      <c r="M2173" t="n">
        <v>0.068</v>
      </c>
    </row>
    <row r="2174" spans="1:13">
      <c r="A2174" s="1">
        <f>HYPERLINK("http://www.twitter.com/NathanBLawrence/status/987038154061500416", "987038154061500416")</f>
        <v/>
      </c>
      <c r="B2174" s="2" t="n">
        <v>43209.77787037037</v>
      </c>
      <c r="C2174" t="n">
        <v>0</v>
      </c>
      <c r="D2174" t="n">
        <v>0</v>
      </c>
      <c r="E2174" t="s">
        <v>2181</v>
      </c>
      <c r="F2174" t="s"/>
      <c r="G2174" t="s"/>
      <c r="H2174" t="s"/>
      <c r="I2174" t="s"/>
      <c r="J2174" t="n">
        <v>0.3182</v>
      </c>
      <c r="K2174" t="n">
        <v>0</v>
      </c>
      <c r="L2174" t="n">
        <v>0.897</v>
      </c>
      <c r="M2174" t="n">
        <v>0.103</v>
      </c>
    </row>
    <row r="2175" spans="1:13">
      <c r="A2175" s="1">
        <f>HYPERLINK("http://www.twitter.com/NathanBLawrence/status/987035939598946305", "987035939598946305")</f>
        <v/>
      </c>
      <c r="B2175" s="2" t="n">
        <v>43209.77175925926</v>
      </c>
      <c r="C2175" t="n">
        <v>3</v>
      </c>
      <c r="D2175" t="n">
        <v>1</v>
      </c>
      <c r="E2175" t="s">
        <v>2182</v>
      </c>
      <c r="F2175" t="s"/>
      <c r="G2175" t="s"/>
      <c r="H2175" t="s"/>
      <c r="I2175" t="s"/>
      <c r="J2175" t="n">
        <v>-0.6486</v>
      </c>
      <c r="K2175" t="n">
        <v>0.185</v>
      </c>
      <c r="L2175" t="n">
        <v>0.8149999999999999</v>
      </c>
      <c r="M2175" t="n">
        <v>0</v>
      </c>
    </row>
    <row r="2176" spans="1:13">
      <c r="A2176" s="1">
        <f>HYPERLINK("http://www.twitter.com/NathanBLawrence/status/987029082138402816", "987029082138402816")</f>
        <v/>
      </c>
      <c r="B2176" s="2" t="n">
        <v>43209.75283564815</v>
      </c>
      <c r="C2176" t="n">
        <v>2</v>
      </c>
      <c r="D2176" t="n">
        <v>0</v>
      </c>
      <c r="E2176" t="s">
        <v>2183</v>
      </c>
      <c r="F2176" t="s"/>
      <c r="G2176" t="s"/>
      <c r="H2176" t="s"/>
      <c r="I2176" t="s"/>
      <c r="J2176" t="n">
        <v>0.5184</v>
      </c>
      <c r="K2176" t="n">
        <v>0.049</v>
      </c>
      <c r="L2176" t="n">
        <v>0.787</v>
      </c>
      <c r="M2176" t="n">
        <v>0.164</v>
      </c>
    </row>
    <row r="2177" spans="1:13">
      <c r="A2177" s="1">
        <f>HYPERLINK("http://www.twitter.com/NathanBLawrence/status/987027240427847681", "987027240427847681")</f>
        <v/>
      </c>
      <c r="B2177" s="2" t="n">
        <v>43209.74775462963</v>
      </c>
      <c r="C2177" t="n">
        <v>2</v>
      </c>
      <c r="D2177" t="n">
        <v>0</v>
      </c>
      <c r="E2177" t="s">
        <v>2184</v>
      </c>
      <c r="F2177" t="s"/>
      <c r="G2177" t="s"/>
      <c r="H2177" t="s"/>
      <c r="I2177" t="s"/>
      <c r="J2177" t="n">
        <v>0.8016</v>
      </c>
      <c r="K2177" t="n">
        <v>0</v>
      </c>
      <c r="L2177" t="n">
        <v>0.745</v>
      </c>
      <c r="M2177" t="n">
        <v>0.255</v>
      </c>
    </row>
    <row r="2178" spans="1:13">
      <c r="A2178" s="1">
        <f>HYPERLINK("http://www.twitter.com/NathanBLawrence/status/987024351957540865", "987024351957540865")</f>
        <v/>
      </c>
      <c r="B2178" s="2" t="n">
        <v>43209.73979166667</v>
      </c>
      <c r="C2178" t="n">
        <v>0</v>
      </c>
      <c r="D2178" t="n">
        <v>1</v>
      </c>
      <c r="E2178" t="s">
        <v>2185</v>
      </c>
      <c r="F2178" t="s"/>
      <c r="G2178" t="s"/>
      <c r="H2178" t="s"/>
      <c r="I2178" t="s"/>
      <c r="J2178" t="n">
        <v>0</v>
      </c>
      <c r="K2178" t="n">
        <v>0</v>
      </c>
      <c r="L2178" t="n">
        <v>1</v>
      </c>
      <c r="M2178" t="n">
        <v>0</v>
      </c>
    </row>
    <row r="2179" spans="1:13">
      <c r="A2179" s="1">
        <f>HYPERLINK("http://www.twitter.com/NathanBLawrence/status/987023566238638080", "987023566238638080")</f>
        <v/>
      </c>
      <c r="B2179" s="2" t="n">
        <v>43209.73761574074</v>
      </c>
      <c r="C2179" t="n">
        <v>0</v>
      </c>
      <c r="D2179" t="n">
        <v>30</v>
      </c>
      <c r="E2179" t="s">
        <v>2186</v>
      </c>
      <c r="F2179" t="s"/>
      <c r="G2179" t="s"/>
      <c r="H2179" t="s"/>
      <c r="I2179" t="s"/>
      <c r="J2179" t="n">
        <v>0.128</v>
      </c>
      <c r="K2179" t="n">
        <v>0</v>
      </c>
      <c r="L2179" t="n">
        <v>0.88</v>
      </c>
      <c r="M2179" t="n">
        <v>0.12</v>
      </c>
    </row>
    <row r="2180" spans="1:13">
      <c r="A2180" s="1">
        <f>HYPERLINK("http://www.twitter.com/NathanBLawrence/status/987023540149981186", "987023540149981186")</f>
        <v/>
      </c>
      <c r="B2180" s="2" t="n">
        <v>43209.7375462963</v>
      </c>
      <c r="C2180" t="n">
        <v>1</v>
      </c>
      <c r="D2180" t="n">
        <v>0</v>
      </c>
      <c r="E2180" t="s">
        <v>2187</v>
      </c>
      <c r="F2180" t="s"/>
      <c r="G2180" t="s"/>
      <c r="H2180" t="s"/>
      <c r="I2180" t="s"/>
      <c r="J2180" t="n">
        <v>0.4404</v>
      </c>
      <c r="K2180" t="n">
        <v>0</v>
      </c>
      <c r="L2180" t="n">
        <v>0.674</v>
      </c>
      <c r="M2180" t="n">
        <v>0.326</v>
      </c>
    </row>
    <row r="2181" spans="1:13">
      <c r="A2181" s="1">
        <f>HYPERLINK("http://www.twitter.com/NathanBLawrence/status/987013279246675968", "987013279246675968")</f>
        <v/>
      </c>
      <c r="B2181" s="2" t="n">
        <v>43209.70923611111</v>
      </c>
      <c r="C2181" t="n">
        <v>0</v>
      </c>
      <c r="D2181" t="n">
        <v>8</v>
      </c>
      <c r="E2181" t="s">
        <v>2188</v>
      </c>
      <c r="F2181" t="s"/>
      <c r="G2181" t="s"/>
      <c r="H2181" t="s"/>
      <c r="I2181" t="s"/>
      <c r="J2181" t="n">
        <v>-0.2887</v>
      </c>
      <c r="K2181" t="n">
        <v>0.126</v>
      </c>
      <c r="L2181" t="n">
        <v>0.79</v>
      </c>
      <c r="M2181" t="n">
        <v>0.08400000000000001</v>
      </c>
    </row>
    <row r="2182" spans="1:13">
      <c r="A2182" s="1">
        <f>HYPERLINK("http://www.twitter.com/NathanBLawrence/status/987012607453335552", "987012607453335552")</f>
        <v/>
      </c>
      <c r="B2182" s="2" t="n">
        <v>43209.70738425926</v>
      </c>
      <c r="C2182" t="n">
        <v>0</v>
      </c>
      <c r="D2182" t="n">
        <v>0</v>
      </c>
      <c r="E2182" t="s">
        <v>2189</v>
      </c>
      <c r="F2182" t="s"/>
      <c r="G2182" t="s"/>
      <c r="H2182" t="s"/>
      <c r="I2182" t="s"/>
      <c r="J2182" t="n">
        <v>0.0516</v>
      </c>
      <c r="K2182" t="n">
        <v>0.223</v>
      </c>
      <c r="L2182" t="n">
        <v>0.538</v>
      </c>
      <c r="M2182" t="n">
        <v>0.238</v>
      </c>
    </row>
    <row r="2183" spans="1:13">
      <c r="A2183" s="1">
        <f>HYPERLINK("http://www.twitter.com/NathanBLawrence/status/987012162433572864", "987012162433572864")</f>
        <v/>
      </c>
      <c r="B2183" s="2" t="n">
        <v>43209.70614583333</v>
      </c>
      <c r="C2183" t="n">
        <v>0</v>
      </c>
      <c r="D2183" t="n">
        <v>11</v>
      </c>
      <c r="E2183" t="s">
        <v>2190</v>
      </c>
      <c r="F2183">
        <f>HYPERLINK("http://pbs.twimg.com/media/DbJr3SIUwAIncqt.jpg", "http://pbs.twimg.com/media/DbJr3SIUwAIncqt.jpg")</f>
        <v/>
      </c>
      <c r="G2183" t="s"/>
      <c r="H2183" t="s"/>
      <c r="I2183" t="s"/>
      <c r="J2183" t="n">
        <v>-0.4753</v>
      </c>
      <c r="K2183" t="n">
        <v>0.134</v>
      </c>
      <c r="L2183" t="n">
        <v>0.866</v>
      </c>
      <c r="M2183" t="n">
        <v>0</v>
      </c>
    </row>
    <row r="2184" spans="1:13">
      <c r="A2184" s="1">
        <f>HYPERLINK("http://www.twitter.com/NathanBLawrence/status/987011759851687936", "987011759851687936")</f>
        <v/>
      </c>
      <c r="B2184" s="2" t="n">
        <v>43209.70503472222</v>
      </c>
      <c r="C2184" t="n">
        <v>0</v>
      </c>
      <c r="D2184" t="n">
        <v>0</v>
      </c>
      <c r="E2184" t="s">
        <v>2191</v>
      </c>
      <c r="F2184" t="s"/>
      <c r="G2184" t="s"/>
      <c r="H2184" t="s"/>
      <c r="I2184" t="s"/>
      <c r="J2184" t="n">
        <v>0.7042</v>
      </c>
      <c r="K2184" t="n">
        <v>0</v>
      </c>
      <c r="L2184" t="n">
        <v>0.827</v>
      </c>
      <c r="M2184" t="n">
        <v>0.173</v>
      </c>
    </row>
    <row r="2185" spans="1:13">
      <c r="A2185" s="1">
        <f>HYPERLINK("http://www.twitter.com/NathanBLawrence/status/987011298436308992", "987011298436308992")</f>
        <v/>
      </c>
      <c r="B2185" s="2" t="n">
        <v>43209.70376157408</v>
      </c>
      <c r="C2185" t="n">
        <v>0</v>
      </c>
      <c r="D2185" t="n">
        <v>8</v>
      </c>
      <c r="E2185" t="s">
        <v>2192</v>
      </c>
      <c r="F2185" t="s"/>
      <c r="G2185" t="s"/>
      <c r="H2185" t="s"/>
      <c r="I2185" t="s"/>
      <c r="J2185" t="n">
        <v>0</v>
      </c>
      <c r="K2185" t="n">
        <v>0</v>
      </c>
      <c r="L2185" t="n">
        <v>1</v>
      </c>
      <c r="M2185" t="n">
        <v>0</v>
      </c>
    </row>
    <row r="2186" spans="1:13">
      <c r="A2186" s="1">
        <f>HYPERLINK("http://www.twitter.com/NathanBLawrence/status/987010248711041025", "987010248711041025")</f>
        <v/>
      </c>
      <c r="B2186" s="2" t="n">
        <v>43209.70086805556</v>
      </c>
      <c r="C2186" t="n">
        <v>0</v>
      </c>
      <c r="D2186" t="n">
        <v>0</v>
      </c>
      <c r="E2186" t="s">
        <v>2193</v>
      </c>
      <c r="F2186" t="s"/>
      <c r="G2186" t="s"/>
      <c r="H2186" t="s"/>
      <c r="I2186" t="s"/>
      <c r="J2186" t="n">
        <v>0.9043</v>
      </c>
      <c r="K2186" t="n">
        <v>0</v>
      </c>
      <c r="L2186" t="n">
        <v>0.596</v>
      </c>
      <c r="M2186" t="n">
        <v>0.404</v>
      </c>
    </row>
    <row r="2187" spans="1:13">
      <c r="A2187" s="1">
        <f>HYPERLINK("http://www.twitter.com/NathanBLawrence/status/987009185815711744", "987009185815711744")</f>
        <v/>
      </c>
      <c r="B2187" s="2" t="n">
        <v>43209.69793981482</v>
      </c>
      <c r="C2187" t="n">
        <v>0</v>
      </c>
      <c r="D2187" t="n">
        <v>1</v>
      </c>
      <c r="E2187" t="s">
        <v>2194</v>
      </c>
      <c r="F2187" t="s"/>
      <c r="G2187" t="s"/>
      <c r="H2187" t="s"/>
      <c r="I2187" t="s"/>
      <c r="J2187" t="n">
        <v>-0.3657</v>
      </c>
      <c r="K2187" t="n">
        <v>0.213</v>
      </c>
      <c r="L2187" t="n">
        <v>0.681</v>
      </c>
      <c r="M2187" t="n">
        <v>0.106</v>
      </c>
    </row>
    <row r="2188" spans="1:13">
      <c r="A2188" s="1">
        <f>HYPERLINK("http://www.twitter.com/NathanBLawrence/status/987009018685247490", "987009018685247490")</f>
        <v/>
      </c>
      <c r="B2188" s="2" t="n">
        <v>43209.69747685185</v>
      </c>
      <c r="C2188" t="n">
        <v>0</v>
      </c>
      <c r="D2188" t="n">
        <v>1</v>
      </c>
      <c r="E2188" t="s">
        <v>2195</v>
      </c>
      <c r="F2188" t="s"/>
      <c r="G2188" t="s"/>
      <c r="H2188" t="s"/>
      <c r="I2188" t="s"/>
      <c r="J2188" t="n">
        <v>-0.1548</v>
      </c>
      <c r="K2188" t="n">
        <v>0.162</v>
      </c>
      <c r="L2188" t="n">
        <v>0.702</v>
      </c>
      <c r="M2188" t="n">
        <v>0.136</v>
      </c>
    </row>
    <row r="2189" spans="1:13">
      <c r="A2189" s="1">
        <f>HYPERLINK("http://www.twitter.com/NathanBLawrence/status/986989474637864960", "986989474637864960")</f>
        <v/>
      </c>
      <c r="B2189" s="2" t="n">
        <v>43209.64354166666</v>
      </c>
      <c r="C2189" t="n">
        <v>0</v>
      </c>
      <c r="D2189" t="n">
        <v>19</v>
      </c>
      <c r="E2189" t="s">
        <v>2196</v>
      </c>
      <c r="F2189" t="s"/>
      <c r="G2189" t="s"/>
      <c r="H2189" t="s"/>
      <c r="I2189" t="s"/>
      <c r="J2189" t="n">
        <v>0.7118</v>
      </c>
      <c r="K2189" t="n">
        <v>0</v>
      </c>
      <c r="L2189" t="n">
        <v>0.8169999999999999</v>
      </c>
      <c r="M2189" t="n">
        <v>0.183</v>
      </c>
    </row>
    <row r="2190" spans="1:13">
      <c r="A2190" s="1">
        <f>HYPERLINK("http://www.twitter.com/NathanBLawrence/status/986988887959588864", "986988887959588864")</f>
        <v/>
      </c>
      <c r="B2190" s="2" t="n">
        <v>43209.64192129629</v>
      </c>
      <c r="C2190" t="n">
        <v>2</v>
      </c>
      <c r="D2190" t="n">
        <v>1</v>
      </c>
      <c r="E2190" t="s">
        <v>2197</v>
      </c>
      <c r="F2190" t="s"/>
      <c r="G2190" t="s"/>
      <c r="H2190" t="s"/>
      <c r="I2190" t="s"/>
      <c r="J2190" t="n">
        <v>-0.2755</v>
      </c>
      <c r="K2190" t="n">
        <v>0.19</v>
      </c>
      <c r="L2190" t="n">
        <v>0.8100000000000001</v>
      </c>
      <c r="M2190" t="n">
        <v>0</v>
      </c>
    </row>
    <row r="2191" spans="1:13">
      <c r="A2191" s="1">
        <f>HYPERLINK("http://www.twitter.com/NathanBLawrence/status/986988698490286080", "986988698490286080")</f>
        <v/>
      </c>
      <c r="B2191" s="2" t="n">
        <v>43209.64140046296</v>
      </c>
      <c r="C2191" t="n">
        <v>0</v>
      </c>
      <c r="D2191" t="n">
        <v>7</v>
      </c>
      <c r="E2191" t="s">
        <v>2198</v>
      </c>
      <c r="F2191" t="s"/>
      <c r="G2191" t="s"/>
      <c r="H2191" t="s"/>
      <c r="I2191" t="s"/>
      <c r="J2191" t="n">
        <v>0.3612</v>
      </c>
      <c r="K2191" t="n">
        <v>0</v>
      </c>
      <c r="L2191" t="n">
        <v>0.902</v>
      </c>
      <c r="M2191" t="n">
        <v>0.098</v>
      </c>
    </row>
    <row r="2192" spans="1:13">
      <c r="A2192" s="1">
        <f>HYPERLINK("http://www.twitter.com/NathanBLawrence/status/986981439240536065", "986981439240536065")</f>
        <v/>
      </c>
      <c r="B2192" s="2" t="n">
        <v>43209.62137731481</v>
      </c>
      <c r="C2192" t="n">
        <v>0</v>
      </c>
      <c r="D2192" t="n">
        <v>0</v>
      </c>
      <c r="E2192" t="s">
        <v>2199</v>
      </c>
      <c r="F2192" t="s"/>
      <c r="G2192" t="s"/>
      <c r="H2192" t="s"/>
      <c r="I2192" t="s"/>
      <c r="J2192" t="n">
        <v>0</v>
      </c>
      <c r="K2192" t="n">
        <v>0</v>
      </c>
      <c r="L2192" t="n">
        <v>1</v>
      </c>
      <c r="M2192" t="n">
        <v>0</v>
      </c>
    </row>
    <row r="2193" spans="1:13">
      <c r="A2193" s="1">
        <f>HYPERLINK("http://www.twitter.com/NathanBLawrence/status/986976110331047937", "986976110331047937")</f>
        <v/>
      </c>
      <c r="B2193" s="2" t="n">
        <v>43209.60666666667</v>
      </c>
      <c r="C2193" t="n">
        <v>0</v>
      </c>
      <c r="D2193" t="n">
        <v>0</v>
      </c>
      <c r="E2193" t="s">
        <v>2200</v>
      </c>
      <c r="F2193" t="s"/>
      <c r="G2193" t="s"/>
      <c r="H2193" t="s"/>
      <c r="I2193" t="s"/>
      <c r="J2193" t="n">
        <v>0.4195</v>
      </c>
      <c r="K2193" t="n">
        <v>0.129</v>
      </c>
      <c r="L2193" t="n">
        <v>0.711</v>
      </c>
      <c r="M2193" t="n">
        <v>0.16</v>
      </c>
    </row>
    <row r="2194" spans="1:13">
      <c r="A2194" s="1">
        <f>HYPERLINK("http://www.twitter.com/NathanBLawrence/status/986973697205555200", "986973697205555200")</f>
        <v/>
      </c>
      <c r="B2194" s="2" t="n">
        <v>43209.60001157408</v>
      </c>
      <c r="C2194" t="n">
        <v>0</v>
      </c>
      <c r="D2194" t="n">
        <v>0</v>
      </c>
      <c r="E2194" t="s">
        <v>2201</v>
      </c>
      <c r="F2194" t="s"/>
      <c r="G2194" t="s"/>
      <c r="H2194" t="s"/>
      <c r="I2194" t="s"/>
      <c r="J2194" t="n">
        <v>0.4404</v>
      </c>
      <c r="K2194" t="n">
        <v>0</v>
      </c>
      <c r="L2194" t="n">
        <v>0.805</v>
      </c>
      <c r="M2194" t="n">
        <v>0.195</v>
      </c>
    </row>
    <row r="2195" spans="1:13">
      <c r="A2195" s="1">
        <f>HYPERLINK("http://www.twitter.com/NathanBLawrence/status/986973174230331392", "986973174230331392")</f>
        <v/>
      </c>
      <c r="B2195" s="2" t="n">
        <v>43209.59856481481</v>
      </c>
      <c r="C2195" t="n">
        <v>13</v>
      </c>
      <c r="D2195" t="n">
        <v>8</v>
      </c>
      <c r="E2195" t="s">
        <v>2202</v>
      </c>
      <c r="F2195">
        <f>HYPERLINK("http://pbs.twimg.com/media/DbJu3DzVQAAYkRv.jpg", "http://pbs.twimg.com/media/DbJu3DzVQAAYkRv.jpg")</f>
        <v/>
      </c>
      <c r="G2195" t="s"/>
      <c r="H2195" t="s"/>
      <c r="I2195" t="s"/>
      <c r="J2195" t="n">
        <v>-0.3527</v>
      </c>
      <c r="K2195" t="n">
        <v>0.119</v>
      </c>
      <c r="L2195" t="n">
        <v>0.8120000000000001</v>
      </c>
      <c r="M2195" t="n">
        <v>0.06900000000000001</v>
      </c>
    </row>
    <row r="2196" spans="1:13">
      <c r="A2196" s="1">
        <f>HYPERLINK("http://www.twitter.com/NathanBLawrence/status/986966557569048576", "986966557569048576")</f>
        <v/>
      </c>
      <c r="B2196" s="2" t="n">
        <v>43209.58030092593</v>
      </c>
      <c r="C2196" t="n">
        <v>7</v>
      </c>
      <c r="D2196" t="n">
        <v>4</v>
      </c>
      <c r="E2196" t="s">
        <v>2203</v>
      </c>
      <c r="F2196" t="s"/>
      <c r="G2196" t="s"/>
      <c r="H2196" t="s"/>
      <c r="I2196" t="s"/>
      <c r="J2196" t="n">
        <v>-0.8777</v>
      </c>
      <c r="K2196" t="n">
        <v>0.24</v>
      </c>
      <c r="L2196" t="n">
        <v>0.76</v>
      </c>
      <c r="M2196" t="n">
        <v>0</v>
      </c>
    </row>
    <row r="2197" spans="1:13">
      <c r="A2197" s="1">
        <f>HYPERLINK("http://www.twitter.com/NathanBLawrence/status/986956219159121920", "986956219159121920")</f>
        <v/>
      </c>
      <c r="B2197" s="2" t="n">
        <v>43209.5517824074</v>
      </c>
      <c r="C2197" t="n">
        <v>0</v>
      </c>
      <c r="D2197" t="n">
        <v>2</v>
      </c>
      <c r="E2197" t="s">
        <v>2204</v>
      </c>
      <c r="F2197" t="s"/>
      <c r="G2197" t="s"/>
      <c r="H2197" t="s"/>
      <c r="I2197" t="s"/>
      <c r="J2197" t="n">
        <v>0</v>
      </c>
      <c r="K2197" t="n">
        <v>0</v>
      </c>
      <c r="L2197" t="n">
        <v>1</v>
      </c>
      <c r="M2197" t="n">
        <v>0</v>
      </c>
    </row>
    <row r="2198" spans="1:13">
      <c r="A2198" s="1">
        <f>HYPERLINK("http://www.twitter.com/NathanBLawrence/status/986956021213159425", "986956021213159425")</f>
        <v/>
      </c>
      <c r="B2198" s="2" t="n">
        <v>43209.55122685185</v>
      </c>
      <c r="C2198" t="n">
        <v>0</v>
      </c>
      <c r="D2198" t="n">
        <v>2</v>
      </c>
      <c r="E2198" t="s">
        <v>2205</v>
      </c>
      <c r="F2198" t="s"/>
      <c r="G2198" t="s"/>
      <c r="H2198" t="s"/>
      <c r="I2198" t="s"/>
      <c r="J2198" t="n">
        <v>0</v>
      </c>
      <c r="K2198" t="n">
        <v>0</v>
      </c>
      <c r="L2198" t="n">
        <v>1</v>
      </c>
      <c r="M2198" t="n">
        <v>0</v>
      </c>
    </row>
    <row r="2199" spans="1:13">
      <c r="A2199" s="1">
        <f>HYPERLINK("http://www.twitter.com/NathanBLawrence/status/986955567380992001", "986955567380992001")</f>
        <v/>
      </c>
      <c r="B2199" s="2" t="n">
        <v>43209.54997685185</v>
      </c>
      <c r="C2199" t="n">
        <v>3</v>
      </c>
      <c r="D2199" t="n">
        <v>1</v>
      </c>
      <c r="E2199" t="s">
        <v>2206</v>
      </c>
      <c r="F2199" t="s"/>
      <c r="G2199" t="s"/>
      <c r="H2199" t="s"/>
      <c r="I2199" t="s"/>
      <c r="J2199" t="n">
        <v>0.5719</v>
      </c>
      <c r="K2199" t="n">
        <v>0.06</v>
      </c>
      <c r="L2199" t="n">
        <v>0.796</v>
      </c>
      <c r="M2199" t="n">
        <v>0.143</v>
      </c>
    </row>
    <row r="2200" spans="1:13">
      <c r="A2200" s="1">
        <f>HYPERLINK("http://www.twitter.com/NathanBLawrence/status/986946568233287680", "986946568233287680")</f>
        <v/>
      </c>
      <c r="B2200" s="2" t="n">
        <v>43209.52515046296</v>
      </c>
      <c r="C2200" t="n">
        <v>0</v>
      </c>
      <c r="D2200" t="n">
        <v>1</v>
      </c>
      <c r="E2200" t="s">
        <v>2207</v>
      </c>
      <c r="F2200" t="s"/>
      <c r="G2200" t="s"/>
      <c r="H2200" t="s"/>
      <c r="I2200" t="s"/>
      <c r="J2200" t="n">
        <v>-0.2263</v>
      </c>
      <c r="K2200" t="n">
        <v>0.245</v>
      </c>
      <c r="L2200" t="n">
        <v>0.576</v>
      </c>
      <c r="M2200" t="n">
        <v>0.18</v>
      </c>
    </row>
    <row r="2201" spans="1:13">
      <c r="A2201" s="1">
        <f>HYPERLINK("http://www.twitter.com/NathanBLawrence/status/986946535421341696", "986946535421341696")</f>
        <v/>
      </c>
      <c r="B2201" s="2" t="n">
        <v>43209.52505787037</v>
      </c>
      <c r="C2201" t="n">
        <v>0</v>
      </c>
      <c r="D2201" t="n">
        <v>1</v>
      </c>
      <c r="E2201" t="s">
        <v>2208</v>
      </c>
      <c r="F2201">
        <f>HYPERLINK("http://pbs.twimg.com/media/DbIDjMKU0AAnpF7.jpg", "http://pbs.twimg.com/media/DbIDjMKU0AAnpF7.jpg")</f>
        <v/>
      </c>
      <c r="G2201" t="s"/>
      <c r="H2201" t="s"/>
      <c r="I2201" t="s"/>
      <c r="J2201" t="n">
        <v>-0.3382</v>
      </c>
      <c r="K2201" t="n">
        <v>0.138</v>
      </c>
      <c r="L2201" t="n">
        <v>0.862</v>
      </c>
      <c r="M2201" t="n">
        <v>0</v>
      </c>
    </row>
    <row r="2202" spans="1:13">
      <c r="A2202" s="1">
        <f>HYPERLINK("http://www.twitter.com/NathanBLawrence/status/986945960470294528", "986945960470294528")</f>
        <v/>
      </c>
      <c r="B2202" s="2" t="n">
        <v>43209.52347222222</v>
      </c>
      <c r="C2202" t="n">
        <v>0</v>
      </c>
      <c r="D2202" t="n">
        <v>1</v>
      </c>
      <c r="E2202" t="s">
        <v>2209</v>
      </c>
      <c r="F2202" t="s"/>
      <c r="G2202" t="s"/>
      <c r="H2202" t="s"/>
      <c r="I2202" t="s"/>
      <c r="J2202" t="n">
        <v>-0.6908</v>
      </c>
      <c r="K2202" t="n">
        <v>0.289</v>
      </c>
      <c r="L2202" t="n">
        <v>0.711</v>
      </c>
      <c r="M2202" t="n">
        <v>0</v>
      </c>
    </row>
    <row r="2203" spans="1:13">
      <c r="A2203" s="1">
        <f>HYPERLINK("http://www.twitter.com/NathanBLawrence/status/986945692890468353", "986945692890468353")</f>
        <v/>
      </c>
      <c r="B2203" s="2" t="n">
        <v>43209.52273148148</v>
      </c>
      <c r="C2203" t="n">
        <v>0</v>
      </c>
      <c r="D2203" t="n">
        <v>14</v>
      </c>
      <c r="E2203" t="s">
        <v>2210</v>
      </c>
      <c r="F2203" t="s"/>
      <c r="G2203" t="s"/>
      <c r="H2203" t="s"/>
      <c r="I2203" t="s"/>
      <c r="J2203" t="n">
        <v>-0.3612</v>
      </c>
      <c r="K2203" t="n">
        <v>0.094</v>
      </c>
      <c r="L2203" t="n">
        <v>0.906</v>
      </c>
      <c r="M2203" t="n">
        <v>0</v>
      </c>
    </row>
    <row r="2204" spans="1:13">
      <c r="A2204" s="1">
        <f>HYPERLINK("http://www.twitter.com/NathanBLawrence/status/986944364990619648", "986944364990619648")</f>
        <v/>
      </c>
      <c r="B2204" s="2" t="n">
        <v>43209.5190625</v>
      </c>
      <c r="C2204" t="n">
        <v>0</v>
      </c>
      <c r="D2204" t="n">
        <v>0</v>
      </c>
      <c r="E2204" t="s">
        <v>2211</v>
      </c>
      <c r="F2204" t="s"/>
      <c r="G2204" t="s"/>
      <c r="H2204" t="s"/>
      <c r="I2204" t="s"/>
      <c r="J2204" t="n">
        <v>0.7964</v>
      </c>
      <c r="K2204" t="n">
        <v>0</v>
      </c>
      <c r="L2204" t="n">
        <v>0.497</v>
      </c>
      <c r="M2204" t="n">
        <v>0.503</v>
      </c>
    </row>
    <row r="2205" spans="1:13">
      <c r="A2205" s="1">
        <f>HYPERLINK("http://www.twitter.com/NathanBLawrence/status/986940114722082816", "986940114722082816")</f>
        <v/>
      </c>
      <c r="B2205" s="2" t="n">
        <v>43209.50733796296</v>
      </c>
      <c r="C2205" t="n">
        <v>1</v>
      </c>
      <c r="D2205" t="n">
        <v>0</v>
      </c>
      <c r="E2205" t="s">
        <v>2212</v>
      </c>
      <c r="F2205" t="s"/>
      <c r="G2205" t="s"/>
      <c r="H2205" t="s"/>
      <c r="I2205" t="s"/>
      <c r="J2205" t="n">
        <v>-0.2714</v>
      </c>
      <c r="K2205" t="n">
        <v>0.245</v>
      </c>
      <c r="L2205" t="n">
        <v>0.581</v>
      </c>
      <c r="M2205" t="n">
        <v>0.174</v>
      </c>
    </row>
    <row r="2206" spans="1:13">
      <c r="A2206" s="1">
        <f>HYPERLINK("http://www.twitter.com/NathanBLawrence/status/986938293714653184", "986938293714653184")</f>
        <v/>
      </c>
      <c r="B2206" s="2" t="n">
        <v>43209.50231481482</v>
      </c>
      <c r="C2206" t="n">
        <v>0</v>
      </c>
      <c r="D2206" t="n">
        <v>14</v>
      </c>
      <c r="E2206" t="s">
        <v>2213</v>
      </c>
      <c r="F2206" t="s"/>
      <c r="G2206" t="s"/>
      <c r="H2206" t="s"/>
      <c r="I2206" t="s"/>
      <c r="J2206" t="n">
        <v>-0.908</v>
      </c>
      <c r="K2206" t="n">
        <v>0.443</v>
      </c>
      <c r="L2206" t="n">
        <v>0.478</v>
      </c>
      <c r="M2206" t="n">
        <v>0.08</v>
      </c>
    </row>
    <row r="2207" spans="1:13">
      <c r="A2207" s="1">
        <f>HYPERLINK("http://www.twitter.com/NathanBLawrence/status/986937458754506752", "986937458754506752")</f>
        <v/>
      </c>
      <c r="B2207" s="2" t="n">
        <v>43209.50001157408</v>
      </c>
      <c r="C2207" t="n">
        <v>0</v>
      </c>
      <c r="D2207" t="n">
        <v>0</v>
      </c>
      <c r="E2207" t="s">
        <v>2214</v>
      </c>
      <c r="F2207" t="s"/>
      <c r="G2207" t="s"/>
      <c r="H2207" t="s"/>
      <c r="I2207" t="s"/>
      <c r="J2207" t="n">
        <v>0.25</v>
      </c>
      <c r="K2207" t="n">
        <v>0</v>
      </c>
      <c r="L2207" t="n">
        <v>0.92</v>
      </c>
      <c r="M2207" t="n">
        <v>0.08</v>
      </c>
    </row>
    <row r="2208" spans="1:13">
      <c r="A2208" s="1">
        <f>HYPERLINK("http://www.twitter.com/NathanBLawrence/status/986936399713701888", "986936399713701888")</f>
        <v/>
      </c>
      <c r="B2208" s="2" t="n">
        <v>43209.49708333334</v>
      </c>
      <c r="C2208" t="n">
        <v>2</v>
      </c>
      <c r="D2208" t="n">
        <v>1</v>
      </c>
      <c r="E2208" t="s">
        <v>2215</v>
      </c>
      <c r="F2208" t="s"/>
      <c r="G2208" t="s"/>
      <c r="H2208" t="s"/>
      <c r="I2208" t="s"/>
      <c r="J2208" t="n">
        <v>0</v>
      </c>
      <c r="K2208" t="n">
        <v>0</v>
      </c>
      <c r="L2208" t="n">
        <v>1</v>
      </c>
      <c r="M2208" t="n">
        <v>0</v>
      </c>
    </row>
    <row r="2209" spans="1:13">
      <c r="A2209" s="1">
        <f>HYPERLINK("http://www.twitter.com/NathanBLawrence/status/986935592364707840", "986935592364707840")</f>
        <v/>
      </c>
      <c r="B2209" s="2" t="n">
        <v>43209.49486111111</v>
      </c>
      <c r="C2209" t="n">
        <v>1</v>
      </c>
      <c r="D2209" t="n">
        <v>1</v>
      </c>
      <c r="E2209" t="s">
        <v>2216</v>
      </c>
      <c r="F2209" t="s"/>
      <c r="G2209" t="s"/>
      <c r="H2209" t="s"/>
      <c r="I2209" t="s"/>
      <c r="J2209" t="n">
        <v>0.3182</v>
      </c>
      <c r="K2209" t="n">
        <v>0</v>
      </c>
      <c r="L2209" t="n">
        <v>0.796</v>
      </c>
      <c r="M2209" t="n">
        <v>0.204</v>
      </c>
    </row>
    <row r="2210" spans="1:13">
      <c r="A2210" s="1">
        <f>HYPERLINK("http://www.twitter.com/NathanBLawrence/status/986935112372817921", "986935112372817921")</f>
        <v/>
      </c>
      <c r="B2210" s="2" t="n">
        <v>43209.49353009259</v>
      </c>
      <c r="C2210" t="n">
        <v>2</v>
      </c>
      <c r="D2210" t="n">
        <v>1</v>
      </c>
      <c r="E2210" t="s">
        <v>2217</v>
      </c>
      <c r="F2210" t="s"/>
      <c r="G2210" t="s"/>
      <c r="H2210" t="s"/>
      <c r="I2210" t="s"/>
      <c r="J2210" t="n">
        <v>0.6971000000000001</v>
      </c>
      <c r="K2210" t="n">
        <v>0</v>
      </c>
      <c r="L2210" t="n">
        <v>0.571</v>
      </c>
      <c r="M2210" t="n">
        <v>0.429</v>
      </c>
    </row>
    <row r="2211" spans="1:13">
      <c r="A2211" s="1">
        <f>HYPERLINK("http://www.twitter.com/NathanBLawrence/status/986931356172242944", "986931356172242944")</f>
        <v/>
      </c>
      <c r="B2211" s="2" t="n">
        <v>43209.4831712963</v>
      </c>
      <c r="C2211" t="n">
        <v>1</v>
      </c>
      <c r="D2211" t="n">
        <v>0</v>
      </c>
      <c r="E2211" t="s">
        <v>2218</v>
      </c>
      <c r="F2211" t="s"/>
      <c r="G2211" t="s"/>
      <c r="H2211" t="s"/>
      <c r="I2211" t="s"/>
      <c r="J2211" t="n">
        <v>0</v>
      </c>
      <c r="K2211" t="n">
        <v>0</v>
      </c>
      <c r="L2211" t="n">
        <v>1</v>
      </c>
      <c r="M2211" t="n">
        <v>0</v>
      </c>
    </row>
    <row r="2212" spans="1:13">
      <c r="A2212" s="1">
        <f>HYPERLINK("http://www.twitter.com/NathanBLawrence/status/986931141449052160", "986931141449052160")</f>
        <v/>
      </c>
      <c r="B2212" s="2" t="n">
        <v>43209.48258101852</v>
      </c>
      <c r="C2212" t="n">
        <v>0</v>
      </c>
      <c r="D2212" t="n">
        <v>1</v>
      </c>
      <c r="E2212" t="s">
        <v>2219</v>
      </c>
      <c r="F2212" t="s"/>
      <c r="G2212" t="s"/>
      <c r="H2212" t="s"/>
      <c r="I2212" t="s"/>
      <c r="J2212" t="n">
        <v>-0.1779</v>
      </c>
      <c r="K2212" t="n">
        <v>0.183</v>
      </c>
      <c r="L2212" t="n">
        <v>0.696</v>
      </c>
      <c r="M2212" t="n">
        <v>0.122</v>
      </c>
    </row>
    <row r="2213" spans="1:13">
      <c r="A2213" s="1">
        <f>HYPERLINK("http://www.twitter.com/NathanBLawrence/status/986930008898842626", "986930008898842626")</f>
        <v/>
      </c>
      <c r="B2213" s="2" t="n">
        <v>43209.47945601852</v>
      </c>
      <c r="C2213" t="n">
        <v>1</v>
      </c>
      <c r="D2213" t="n">
        <v>1</v>
      </c>
      <c r="E2213" t="s">
        <v>2220</v>
      </c>
      <c r="F2213" t="s"/>
      <c r="G2213" t="s"/>
      <c r="H2213" t="s"/>
      <c r="I2213" t="s"/>
      <c r="J2213" t="n">
        <v>0.6249</v>
      </c>
      <c r="K2213" t="n">
        <v>0</v>
      </c>
      <c r="L2213" t="n">
        <v>0.662</v>
      </c>
      <c r="M2213" t="n">
        <v>0.338</v>
      </c>
    </row>
    <row r="2214" spans="1:13">
      <c r="A2214" s="1">
        <f>HYPERLINK("http://www.twitter.com/NathanBLawrence/status/986927169921220608", "986927169921220608")</f>
        <v/>
      </c>
      <c r="B2214" s="2" t="n">
        <v>43209.47162037037</v>
      </c>
      <c r="C2214" t="n">
        <v>0</v>
      </c>
      <c r="D2214" t="n">
        <v>0</v>
      </c>
      <c r="E2214" t="s">
        <v>2221</v>
      </c>
      <c r="F2214" t="s"/>
      <c r="G2214" t="s"/>
      <c r="H2214" t="s"/>
      <c r="I2214" t="s"/>
      <c r="J2214" t="n">
        <v>0</v>
      </c>
      <c r="K2214" t="n">
        <v>0</v>
      </c>
      <c r="L2214" t="n">
        <v>1</v>
      </c>
      <c r="M2214" t="n">
        <v>0</v>
      </c>
    </row>
    <row r="2215" spans="1:13">
      <c r="A2215" s="1">
        <f>HYPERLINK("http://www.twitter.com/NathanBLawrence/status/986925333311033344", "986925333311033344")</f>
        <v/>
      </c>
      <c r="B2215" s="2" t="n">
        <v>43209.46655092593</v>
      </c>
      <c r="C2215" t="n">
        <v>0</v>
      </c>
      <c r="D2215" t="n">
        <v>0</v>
      </c>
      <c r="E2215" t="s">
        <v>2222</v>
      </c>
      <c r="F2215" t="s"/>
      <c r="G2215" t="s"/>
      <c r="H2215" t="s"/>
      <c r="I2215" t="s"/>
      <c r="J2215" t="n">
        <v>0.8519</v>
      </c>
      <c r="K2215" t="n">
        <v>0</v>
      </c>
      <c r="L2215" t="n">
        <v>0.628</v>
      </c>
      <c r="M2215" t="n">
        <v>0.372</v>
      </c>
    </row>
    <row r="2216" spans="1:13">
      <c r="A2216" s="1">
        <f>HYPERLINK("http://www.twitter.com/NathanBLawrence/status/986924396299345920", "986924396299345920")</f>
        <v/>
      </c>
      <c r="B2216" s="2" t="n">
        <v>43209.46395833333</v>
      </c>
      <c r="C2216" t="n">
        <v>0</v>
      </c>
      <c r="D2216" t="n">
        <v>0</v>
      </c>
      <c r="E2216" t="s">
        <v>2223</v>
      </c>
      <c r="F2216" t="s"/>
      <c r="G2216" t="s"/>
      <c r="H2216" t="s"/>
      <c r="I2216" t="s"/>
      <c r="J2216" t="n">
        <v>0.8591</v>
      </c>
      <c r="K2216" t="n">
        <v>0</v>
      </c>
      <c r="L2216" t="n">
        <v>0.759</v>
      </c>
      <c r="M2216" t="n">
        <v>0.241</v>
      </c>
    </row>
    <row r="2217" spans="1:13">
      <c r="A2217" s="1">
        <f>HYPERLINK("http://www.twitter.com/NathanBLawrence/status/986922877709705217", "986922877709705217")</f>
        <v/>
      </c>
      <c r="B2217" s="2" t="n">
        <v>43209.45976851852</v>
      </c>
      <c r="C2217" t="n">
        <v>0</v>
      </c>
      <c r="D2217" t="n">
        <v>0</v>
      </c>
      <c r="E2217" t="s">
        <v>2224</v>
      </c>
      <c r="F2217" t="s"/>
      <c r="G2217" t="s"/>
      <c r="H2217" t="s"/>
      <c r="I2217" t="s"/>
      <c r="J2217" t="n">
        <v>0</v>
      </c>
      <c r="K2217" t="n">
        <v>0</v>
      </c>
      <c r="L2217" t="n">
        <v>1</v>
      </c>
      <c r="M2217" t="n">
        <v>0</v>
      </c>
    </row>
    <row r="2218" spans="1:13">
      <c r="A2218" s="1">
        <f>HYPERLINK("http://www.twitter.com/NathanBLawrence/status/986922050076934144", "986922050076934144")</f>
        <v/>
      </c>
      <c r="B2218" s="2" t="n">
        <v>43209.45748842593</v>
      </c>
      <c r="C2218" t="n">
        <v>0</v>
      </c>
      <c r="D2218" t="n">
        <v>0</v>
      </c>
      <c r="E2218" t="s">
        <v>2225</v>
      </c>
      <c r="F2218" t="s"/>
      <c r="G2218" t="s"/>
      <c r="H2218" t="s"/>
      <c r="I2218" t="s"/>
      <c r="J2218" t="n">
        <v>-0.6486</v>
      </c>
      <c r="K2218" t="n">
        <v>0.589</v>
      </c>
      <c r="L2218" t="n">
        <v>0.411</v>
      </c>
      <c r="M2218" t="n">
        <v>0</v>
      </c>
    </row>
    <row r="2219" spans="1:13">
      <c r="A2219" s="1">
        <f>HYPERLINK("http://www.twitter.com/NathanBLawrence/status/986921827275628545", "986921827275628545")</f>
        <v/>
      </c>
      <c r="B2219" s="2" t="n">
        <v>43209.456875</v>
      </c>
      <c r="C2219" t="n">
        <v>1</v>
      </c>
      <c r="D2219" t="n">
        <v>0</v>
      </c>
      <c r="E2219" t="s">
        <v>2226</v>
      </c>
      <c r="F2219" t="s"/>
      <c r="G2219" t="s"/>
      <c r="H2219" t="s"/>
      <c r="I2219" t="s"/>
      <c r="J2219" t="n">
        <v>0.2057</v>
      </c>
      <c r="K2219" t="n">
        <v>0</v>
      </c>
      <c r="L2219" t="n">
        <v>0.908</v>
      </c>
      <c r="M2219" t="n">
        <v>0.092</v>
      </c>
    </row>
    <row r="2220" spans="1:13">
      <c r="A2220" s="1">
        <f>HYPERLINK("http://www.twitter.com/NathanBLawrence/status/986920167899910144", "986920167899910144")</f>
        <v/>
      </c>
      <c r="B2220" s="2" t="n">
        <v>43209.45229166667</v>
      </c>
      <c r="C2220" t="n">
        <v>2</v>
      </c>
      <c r="D2220" t="n">
        <v>1</v>
      </c>
      <c r="E2220" t="s">
        <v>2227</v>
      </c>
      <c r="F2220" t="s"/>
      <c r="G2220" t="s"/>
      <c r="H2220" t="s"/>
      <c r="I2220" t="s"/>
      <c r="J2220" t="n">
        <v>-0.6249</v>
      </c>
      <c r="K2220" t="n">
        <v>0.134</v>
      </c>
      <c r="L2220" t="n">
        <v>0.8179999999999999</v>
      </c>
      <c r="M2220" t="n">
        <v>0.048</v>
      </c>
    </row>
    <row r="2221" spans="1:13">
      <c r="A2221" s="1">
        <f>HYPERLINK("http://www.twitter.com/NathanBLawrence/status/986916049261088768", "986916049261088768")</f>
        <v/>
      </c>
      <c r="B2221" s="2" t="n">
        <v>43209.44092592593</v>
      </c>
      <c r="C2221" t="n">
        <v>1</v>
      </c>
      <c r="D2221" t="n">
        <v>0</v>
      </c>
      <c r="E2221" t="s">
        <v>2228</v>
      </c>
      <c r="F2221" t="s"/>
      <c r="G2221" t="s"/>
      <c r="H2221" t="s"/>
      <c r="I2221" t="s"/>
      <c r="J2221" t="n">
        <v>0.0258</v>
      </c>
      <c r="K2221" t="n">
        <v>0</v>
      </c>
      <c r="L2221" t="n">
        <v>0.961</v>
      </c>
      <c r="M2221" t="n">
        <v>0.039</v>
      </c>
    </row>
    <row r="2222" spans="1:13">
      <c r="A2222" s="1">
        <f>HYPERLINK("http://www.twitter.com/NathanBLawrence/status/986913420304961536", "986913420304961536")</f>
        <v/>
      </c>
      <c r="B2222" s="2" t="n">
        <v>43209.43368055556</v>
      </c>
      <c r="C2222" t="n">
        <v>0</v>
      </c>
      <c r="D2222" t="n">
        <v>15</v>
      </c>
      <c r="E2222" t="s">
        <v>2229</v>
      </c>
      <c r="F2222" t="s"/>
      <c r="G2222" t="s"/>
      <c r="H2222" t="s"/>
      <c r="I2222" t="s"/>
      <c r="J2222" t="n">
        <v>0.507</v>
      </c>
      <c r="K2222" t="n">
        <v>0.115</v>
      </c>
      <c r="L2222" t="n">
        <v>0.698</v>
      </c>
      <c r="M2222" t="n">
        <v>0.187</v>
      </c>
    </row>
    <row r="2223" spans="1:13">
      <c r="A2223" s="1">
        <f>HYPERLINK("http://www.twitter.com/NathanBLawrence/status/986912915172347904", "986912915172347904")</f>
        <v/>
      </c>
      <c r="B2223" s="2" t="n">
        <v>43209.43228009259</v>
      </c>
      <c r="C2223" t="n">
        <v>0</v>
      </c>
      <c r="D2223" t="n">
        <v>13</v>
      </c>
      <c r="E2223" t="s">
        <v>2230</v>
      </c>
      <c r="F2223" t="s"/>
      <c r="G2223" t="s"/>
      <c r="H2223" t="s"/>
      <c r="I2223" t="s"/>
      <c r="J2223" t="n">
        <v>0</v>
      </c>
      <c r="K2223" t="n">
        <v>0</v>
      </c>
      <c r="L2223" t="n">
        <v>1</v>
      </c>
      <c r="M2223" t="n">
        <v>0</v>
      </c>
    </row>
    <row r="2224" spans="1:13">
      <c r="A2224" s="1">
        <f>HYPERLINK("http://www.twitter.com/NathanBLawrence/status/986825026371538945", "986825026371538945")</f>
        <v/>
      </c>
      <c r="B2224" s="2" t="n">
        <v>43209.18975694444</v>
      </c>
      <c r="C2224" t="n">
        <v>0</v>
      </c>
      <c r="D2224" t="n">
        <v>0</v>
      </c>
      <c r="E2224" t="s">
        <v>2231</v>
      </c>
      <c r="F2224" t="s"/>
      <c r="G2224" t="s"/>
      <c r="H2224" t="s"/>
      <c r="I2224" t="s"/>
      <c r="J2224" t="n">
        <v>-0.8158</v>
      </c>
      <c r="K2224" t="n">
        <v>0.271</v>
      </c>
      <c r="L2224" t="n">
        <v>0.665</v>
      </c>
      <c r="M2224" t="n">
        <v>0.064</v>
      </c>
    </row>
    <row r="2225" spans="1:13">
      <c r="A2225" s="1">
        <f>HYPERLINK("http://www.twitter.com/NathanBLawrence/status/986824184067215360", "986824184067215360")</f>
        <v/>
      </c>
      <c r="B2225" s="2" t="n">
        <v>43209.18743055555</v>
      </c>
      <c r="C2225" t="n">
        <v>0</v>
      </c>
      <c r="D2225" t="n">
        <v>9</v>
      </c>
      <c r="E2225" t="s">
        <v>2232</v>
      </c>
      <c r="F2225" t="s"/>
      <c r="G2225" t="s"/>
      <c r="H2225" t="s"/>
      <c r="I2225" t="s"/>
      <c r="J2225" t="n">
        <v>-0.7322</v>
      </c>
      <c r="K2225" t="n">
        <v>0.255</v>
      </c>
      <c r="L2225" t="n">
        <v>0.745</v>
      </c>
      <c r="M2225" t="n">
        <v>0</v>
      </c>
    </row>
    <row r="2226" spans="1:13">
      <c r="A2226" s="1">
        <f>HYPERLINK("http://www.twitter.com/NathanBLawrence/status/986819922620755969", "986819922620755969")</f>
        <v/>
      </c>
      <c r="B2226" s="2" t="n">
        <v>43209.1756712963</v>
      </c>
      <c r="C2226" t="n">
        <v>0</v>
      </c>
      <c r="D2226" t="n">
        <v>47</v>
      </c>
      <c r="E2226" t="s">
        <v>2233</v>
      </c>
      <c r="F2226">
        <f>HYPERLINK("http://pbs.twimg.com/media/DbGRJkDUMAAg8Oh.jpg", "http://pbs.twimg.com/media/DbGRJkDUMAAg8Oh.jpg")</f>
        <v/>
      </c>
      <c r="G2226" t="s"/>
      <c r="H2226" t="s"/>
      <c r="I2226" t="s"/>
      <c r="J2226" t="n">
        <v>0.6249</v>
      </c>
      <c r="K2226" t="n">
        <v>0</v>
      </c>
      <c r="L2226" t="n">
        <v>0.823</v>
      </c>
      <c r="M2226" t="n">
        <v>0.177</v>
      </c>
    </row>
    <row r="2227" spans="1:13">
      <c r="A2227" s="1">
        <f>HYPERLINK("http://www.twitter.com/NathanBLawrence/status/986819763224629248", "986819763224629248")</f>
        <v/>
      </c>
      <c r="B2227" s="2" t="n">
        <v>43209.17523148148</v>
      </c>
      <c r="C2227" t="n">
        <v>0</v>
      </c>
      <c r="D2227" t="n">
        <v>0</v>
      </c>
      <c r="E2227" t="s">
        <v>2234</v>
      </c>
      <c r="F2227" t="s"/>
      <c r="G2227" t="s"/>
      <c r="H2227" t="s"/>
      <c r="I2227" t="s"/>
      <c r="J2227" t="n">
        <v>0</v>
      </c>
      <c r="K2227" t="n">
        <v>0</v>
      </c>
      <c r="L2227" t="n">
        <v>1</v>
      </c>
      <c r="M2227" t="n">
        <v>0</v>
      </c>
    </row>
    <row r="2228" spans="1:13">
      <c r="A2228" s="1">
        <f>HYPERLINK("http://www.twitter.com/NathanBLawrence/status/986818514483859456", "986818514483859456")</f>
        <v/>
      </c>
      <c r="B2228" s="2" t="n">
        <v>43209.17178240741</v>
      </c>
      <c r="C2228" t="n">
        <v>3</v>
      </c>
      <c r="D2228" t="n">
        <v>0</v>
      </c>
      <c r="E2228" t="s">
        <v>2235</v>
      </c>
      <c r="F2228" t="s"/>
      <c r="G2228" t="s"/>
      <c r="H2228" t="s"/>
      <c r="I2228" t="s"/>
      <c r="J2228" t="n">
        <v>-0.296</v>
      </c>
      <c r="K2228" t="n">
        <v>0.068</v>
      </c>
      <c r="L2228" t="n">
        <v>0.9320000000000001</v>
      </c>
      <c r="M2228" t="n">
        <v>0</v>
      </c>
    </row>
    <row r="2229" spans="1:13">
      <c r="A2229" s="1">
        <f>HYPERLINK("http://www.twitter.com/NathanBLawrence/status/986817514901594114", "986817514901594114")</f>
        <v/>
      </c>
      <c r="B2229" s="2" t="n">
        <v>43209.16902777777</v>
      </c>
      <c r="C2229" t="n">
        <v>2</v>
      </c>
      <c r="D2229" t="n">
        <v>0</v>
      </c>
      <c r="E2229" t="s">
        <v>2236</v>
      </c>
      <c r="F2229" t="s"/>
      <c r="G2229" t="s"/>
      <c r="H2229" t="s"/>
      <c r="I2229" t="s"/>
      <c r="J2229" t="n">
        <v>0</v>
      </c>
      <c r="K2229" t="n">
        <v>0</v>
      </c>
      <c r="L2229" t="n">
        <v>1</v>
      </c>
      <c r="M2229" t="n">
        <v>0</v>
      </c>
    </row>
    <row r="2230" spans="1:13">
      <c r="A2230" s="1">
        <f>HYPERLINK("http://www.twitter.com/NathanBLawrence/status/986810077364531200", "986810077364531200")</f>
        <v/>
      </c>
      <c r="B2230" s="2" t="n">
        <v>43209.14850694445</v>
      </c>
      <c r="C2230" t="n">
        <v>0</v>
      </c>
      <c r="D2230" t="n">
        <v>0</v>
      </c>
      <c r="E2230" t="s">
        <v>2237</v>
      </c>
      <c r="F2230" t="s"/>
      <c r="G2230" t="s"/>
      <c r="H2230" t="s"/>
      <c r="I2230" t="s"/>
      <c r="J2230" t="n">
        <v>0.3612</v>
      </c>
      <c r="K2230" t="n">
        <v>0</v>
      </c>
      <c r="L2230" t="n">
        <v>0.857</v>
      </c>
      <c r="M2230" t="n">
        <v>0.143</v>
      </c>
    </row>
    <row r="2231" spans="1:13">
      <c r="A2231" s="1">
        <f>HYPERLINK("http://www.twitter.com/NathanBLawrence/status/986797254202839041", "986797254202839041")</f>
        <v/>
      </c>
      <c r="B2231" s="2" t="n">
        <v>43209.11311342593</v>
      </c>
      <c r="C2231" t="n">
        <v>0</v>
      </c>
      <c r="D2231" t="n">
        <v>5</v>
      </c>
      <c r="E2231" t="s">
        <v>2238</v>
      </c>
      <c r="F2231" t="s"/>
      <c r="G2231" t="s"/>
      <c r="H2231" t="s"/>
      <c r="I2231" t="s"/>
      <c r="J2231" t="n">
        <v>0</v>
      </c>
      <c r="K2231" t="n">
        <v>0</v>
      </c>
      <c r="L2231" t="n">
        <v>1</v>
      </c>
      <c r="M2231" t="n">
        <v>0</v>
      </c>
    </row>
    <row r="2232" spans="1:13">
      <c r="A2232" s="1">
        <f>HYPERLINK("http://www.twitter.com/NathanBLawrence/status/986793061761142784", "986793061761142784")</f>
        <v/>
      </c>
      <c r="B2232" s="2" t="n">
        <v>43209.10155092592</v>
      </c>
      <c r="C2232" t="n">
        <v>2</v>
      </c>
      <c r="D2232" t="n">
        <v>0</v>
      </c>
      <c r="E2232" t="s">
        <v>2239</v>
      </c>
      <c r="F2232" t="s"/>
      <c r="G2232" t="s"/>
      <c r="H2232" t="s"/>
      <c r="I2232" t="s"/>
      <c r="J2232" t="n">
        <v>0.9062</v>
      </c>
      <c r="K2232" t="n">
        <v>0</v>
      </c>
      <c r="L2232" t="n">
        <v>0.751</v>
      </c>
      <c r="M2232" t="n">
        <v>0.249</v>
      </c>
    </row>
    <row r="2233" spans="1:13">
      <c r="A2233" s="1">
        <f>HYPERLINK("http://www.twitter.com/NathanBLawrence/status/986791681105080321", "986791681105080321")</f>
        <v/>
      </c>
      <c r="B2233" s="2" t="n">
        <v>43209.09774305556</v>
      </c>
      <c r="C2233" t="n">
        <v>6</v>
      </c>
      <c r="D2233" t="n">
        <v>4</v>
      </c>
      <c r="E2233" t="s">
        <v>2240</v>
      </c>
      <c r="F2233" t="s"/>
      <c r="G2233" t="s"/>
      <c r="H2233" t="s"/>
      <c r="I2233" t="s"/>
      <c r="J2233" t="n">
        <v>0.4588</v>
      </c>
      <c r="K2233" t="n">
        <v>0</v>
      </c>
      <c r="L2233" t="n">
        <v>0.86</v>
      </c>
      <c r="M2233" t="n">
        <v>0.14</v>
      </c>
    </row>
    <row r="2234" spans="1:13">
      <c r="A2234" s="1">
        <f>HYPERLINK("http://www.twitter.com/NathanBLawrence/status/986784186957737985", "986784186957737985")</f>
        <v/>
      </c>
      <c r="B2234" s="2" t="n">
        <v>43209.07706018518</v>
      </c>
      <c r="C2234" t="n">
        <v>0</v>
      </c>
      <c r="D2234" t="n">
        <v>0</v>
      </c>
      <c r="E2234" t="s">
        <v>2241</v>
      </c>
      <c r="F2234" t="s"/>
      <c r="G2234" t="s"/>
      <c r="H2234" t="s"/>
      <c r="I2234" t="s"/>
      <c r="J2234" t="n">
        <v>0.7644</v>
      </c>
      <c r="K2234" t="n">
        <v>0</v>
      </c>
      <c r="L2234" t="n">
        <v>0.774</v>
      </c>
      <c r="M2234" t="n">
        <v>0.226</v>
      </c>
    </row>
    <row r="2235" spans="1:13">
      <c r="A2235" s="1">
        <f>HYPERLINK("http://www.twitter.com/NathanBLawrence/status/986782414247784453", "986782414247784453")</f>
        <v/>
      </c>
      <c r="B2235" s="2" t="n">
        <v>43209.07216435186</v>
      </c>
      <c r="C2235" t="n">
        <v>11</v>
      </c>
      <c r="D2235" t="n">
        <v>7</v>
      </c>
      <c r="E2235" t="s">
        <v>2242</v>
      </c>
      <c r="F2235" t="s"/>
      <c r="G2235" t="s"/>
      <c r="H2235" t="s"/>
      <c r="I2235" t="s"/>
      <c r="J2235" t="n">
        <v>0.1759</v>
      </c>
      <c r="K2235" t="n">
        <v>0.048</v>
      </c>
      <c r="L2235" t="n">
        <v>0.89</v>
      </c>
      <c r="M2235" t="n">
        <v>0.063</v>
      </c>
    </row>
    <row r="2236" spans="1:13">
      <c r="A2236" s="1">
        <f>HYPERLINK("http://www.twitter.com/NathanBLawrence/status/986777138861887488", "986777138861887488")</f>
        <v/>
      </c>
      <c r="B2236" s="2" t="n">
        <v>43209.05760416666</v>
      </c>
      <c r="C2236" t="n">
        <v>1</v>
      </c>
      <c r="D2236" t="n">
        <v>0</v>
      </c>
      <c r="E2236" t="s">
        <v>2243</v>
      </c>
      <c r="F2236" t="s"/>
      <c r="G2236" t="s"/>
      <c r="H2236" t="s"/>
      <c r="I2236" t="s"/>
      <c r="J2236" t="n">
        <v>-0.8225</v>
      </c>
      <c r="K2236" t="n">
        <v>0.183</v>
      </c>
      <c r="L2236" t="n">
        <v>0.8169999999999999</v>
      </c>
      <c r="M2236" t="n">
        <v>0</v>
      </c>
    </row>
    <row r="2237" spans="1:13">
      <c r="A2237" s="1">
        <f>HYPERLINK("http://www.twitter.com/NathanBLawrence/status/986774095294496768", "986774095294496768")</f>
        <v/>
      </c>
      <c r="B2237" s="2" t="n">
        <v>43209.04921296296</v>
      </c>
      <c r="C2237" t="n">
        <v>0</v>
      </c>
      <c r="D2237" t="n">
        <v>0</v>
      </c>
      <c r="E2237" t="s">
        <v>2244</v>
      </c>
      <c r="F2237" t="s"/>
      <c r="G2237" t="s"/>
      <c r="H2237" t="s"/>
      <c r="I2237" t="s"/>
      <c r="J2237" t="n">
        <v>0.2263</v>
      </c>
      <c r="K2237" t="n">
        <v>0</v>
      </c>
      <c r="L2237" t="n">
        <v>0.8080000000000001</v>
      </c>
      <c r="M2237" t="n">
        <v>0.192</v>
      </c>
    </row>
    <row r="2238" spans="1:13">
      <c r="A2238" s="1">
        <f>HYPERLINK("http://www.twitter.com/NathanBLawrence/status/986773493009338368", "986773493009338368")</f>
        <v/>
      </c>
      <c r="B2238" s="2" t="n">
        <v>43209.04754629629</v>
      </c>
      <c r="C2238" t="n">
        <v>1</v>
      </c>
      <c r="D2238" t="n">
        <v>0</v>
      </c>
      <c r="E2238" t="s">
        <v>2245</v>
      </c>
      <c r="F2238" t="s"/>
      <c r="G2238" t="s"/>
      <c r="H2238" t="s"/>
      <c r="I2238" t="s"/>
      <c r="J2238" t="n">
        <v>0</v>
      </c>
      <c r="K2238" t="n">
        <v>0</v>
      </c>
      <c r="L2238" t="n">
        <v>1</v>
      </c>
      <c r="M2238" t="n">
        <v>0</v>
      </c>
    </row>
    <row r="2239" spans="1:13">
      <c r="A2239" s="1">
        <f>HYPERLINK("http://www.twitter.com/NathanBLawrence/status/986772628789702658", "986772628789702658")</f>
        <v/>
      </c>
      <c r="B2239" s="2" t="n">
        <v>43209.04516203704</v>
      </c>
      <c r="C2239" t="n">
        <v>0</v>
      </c>
      <c r="D2239" t="n">
        <v>32</v>
      </c>
      <c r="E2239" t="s">
        <v>2246</v>
      </c>
      <c r="F2239" t="s"/>
      <c r="G2239" t="s"/>
      <c r="H2239" t="s"/>
      <c r="I2239" t="s"/>
      <c r="J2239" t="n">
        <v>-0.7845</v>
      </c>
      <c r="K2239" t="n">
        <v>0.273</v>
      </c>
      <c r="L2239" t="n">
        <v>0.727</v>
      </c>
      <c r="M2239" t="n">
        <v>0</v>
      </c>
    </row>
    <row r="2240" spans="1:13">
      <c r="A2240" s="1">
        <f>HYPERLINK("http://www.twitter.com/NathanBLawrence/status/986771568234827778", "986771568234827778")</f>
        <v/>
      </c>
      <c r="B2240" s="2" t="n">
        <v>43209.0422337963</v>
      </c>
      <c r="C2240" t="n">
        <v>0</v>
      </c>
      <c r="D2240" t="n">
        <v>78</v>
      </c>
      <c r="E2240" t="s">
        <v>2247</v>
      </c>
      <c r="F2240" t="s"/>
      <c r="G2240" t="s"/>
      <c r="H2240" t="s"/>
      <c r="I2240" t="s"/>
      <c r="J2240" t="n">
        <v>0</v>
      </c>
      <c r="K2240" t="n">
        <v>0</v>
      </c>
      <c r="L2240" t="n">
        <v>1</v>
      </c>
      <c r="M2240" t="n">
        <v>0</v>
      </c>
    </row>
    <row r="2241" spans="1:13">
      <c r="A2241" s="1">
        <f>HYPERLINK("http://www.twitter.com/NathanBLawrence/status/986764166680768512", "986764166680768512")</f>
        <v/>
      </c>
      <c r="B2241" s="2" t="n">
        <v>43209.02181712963</v>
      </c>
      <c r="C2241" t="n">
        <v>0</v>
      </c>
      <c r="D2241" t="n">
        <v>12</v>
      </c>
      <c r="E2241" t="s">
        <v>2248</v>
      </c>
      <c r="F2241" t="s"/>
      <c r="G2241" t="s"/>
      <c r="H2241" t="s"/>
      <c r="I2241" t="s"/>
      <c r="J2241" t="n">
        <v>0</v>
      </c>
      <c r="K2241" t="n">
        <v>0</v>
      </c>
      <c r="L2241" t="n">
        <v>1</v>
      </c>
      <c r="M2241" t="n">
        <v>0</v>
      </c>
    </row>
    <row r="2242" spans="1:13">
      <c r="A2242" s="1">
        <f>HYPERLINK("http://www.twitter.com/NathanBLawrence/status/986752863677362177", "986752863677362177")</f>
        <v/>
      </c>
      <c r="B2242" s="2" t="n">
        <v>43208.990625</v>
      </c>
      <c r="C2242" t="n">
        <v>3</v>
      </c>
      <c r="D2242" t="n">
        <v>0</v>
      </c>
      <c r="E2242" t="s">
        <v>2249</v>
      </c>
      <c r="F2242" t="s"/>
      <c r="G2242" t="s"/>
      <c r="H2242" t="s"/>
      <c r="I2242" t="s"/>
      <c r="J2242" t="n">
        <v>-0.2198</v>
      </c>
      <c r="K2242" t="n">
        <v>0.166</v>
      </c>
      <c r="L2242" t="n">
        <v>0.647</v>
      </c>
      <c r="M2242" t="n">
        <v>0.187</v>
      </c>
    </row>
    <row r="2243" spans="1:13">
      <c r="A2243" s="1">
        <f>HYPERLINK("http://www.twitter.com/NathanBLawrence/status/986749458443591680", "986749458443591680")</f>
        <v/>
      </c>
      <c r="B2243" s="2" t="n">
        <v>43208.98122685185</v>
      </c>
      <c r="C2243" t="n">
        <v>3</v>
      </c>
      <c r="D2243" t="n">
        <v>0</v>
      </c>
      <c r="E2243" t="s">
        <v>2250</v>
      </c>
      <c r="F2243" t="s"/>
      <c r="G2243" t="s"/>
      <c r="H2243" t="s"/>
      <c r="I2243" t="s"/>
      <c r="J2243" t="n">
        <v>-0.5106000000000001</v>
      </c>
      <c r="K2243" t="n">
        <v>0.171</v>
      </c>
      <c r="L2243" t="n">
        <v>0.829</v>
      </c>
      <c r="M2243" t="n">
        <v>0</v>
      </c>
    </row>
    <row r="2244" spans="1:13">
      <c r="A2244" s="1">
        <f>HYPERLINK("http://www.twitter.com/NathanBLawrence/status/986746278020288512", "986746278020288512")</f>
        <v/>
      </c>
      <c r="B2244" s="2" t="n">
        <v>43208.9724537037</v>
      </c>
      <c r="C2244" t="n">
        <v>9</v>
      </c>
      <c r="D2244" t="n">
        <v>5</v>
      </c>
      <c r="E2244" t="s">
        <v>2251</v>
      </c>
      <c r="F2244" t="s"/>
      <c r="G2244" t="s"/>
      <c r="H2244" t="s"/>
      <c r="I2244" t="s"/>
      <c r="J2244" t="n">
        <v>-0.4199</v>
      </c>
      <c r="K2244" t="n">
        <v>0.121</v>
      </c>
      <c r="L2244" t="n">
        <v>0.819</v>
      </c>
      <c r="M2244" t="n">
        <v>0.06</v>
      </c>
    </row>
    <row r="2245" spans="1:13">
      <c r="A2245" s="1">
        <f>HYPERLINK("http://www.twitter.com/NathanBLawrence/status/986744812346007553", "986744812346007553")</f>
        <v/>
      </c>
      <c r="B2245" s="2" t="n">
        <v>43208.96840277778</v>
      </c>
      <c r="C2245" t="n">
        <v>0</v>
      </c>
      <c r="D2245" t="n">
        <v>20</v>
      </c>
      <c r="E2245" t="s">
        <v>2252</v>
      </c>
      <c r="F2245" t="s"/>
      <c r="G2245" t="s"/>
      <c r="H2245" t="s"/>
      <c r="I2245" t="s"/>
      <c r="J2245" t="n">
        <v>0.25</v>
      </c>
      <c r="K2245" t="n">
        <v>0.083</v>
      </c>
      <c r="L2245" t="n">
        <v>0.795</v>
      </c>
      <c r="M2245" t="n">
        <v>0.121</v>
      </c>
    </row>
    <row r="2246" spans="1:13">
      <c r="A2246" s="1">
        <f>HYPERLINK("http://www.twitter.com/NathanBLawrence/status/986744624898338817", "986744624898338817")</f>
        <v/>
      </c>
      <c r="B2246" s="2" t="n">
        <v>43208.96789351852</v>
      </c>
      <c r="C2246" t="n">
        <v>4</v>
      </c>
      <c r="D2246" t="n">
        <v>1</v>
      </c>
      <c r="E2246" t="s">
        <v>2253</v>
      </c>
      <c r="F2246" t="s"/>
      <c r="G2246" t="s"/>
      <c r="H2246" t="s"/>
      <c r="I2246" t="s"/>
      <c r="J2246" t="n">
        <v>0.8597</v>
      </c>
      <c r="K2246" t="n">
        <v>0</v>
      </c>
      <c r="L2246" t="n">
        <v>0.746</v>
      </c>
      <c r="M2246" t="n">
        <v>0.254</v>
      </c>
    </row>
    <row r="2247" spans="1:13">
      <c r="A2247" s="1">
        <f>HYPERLINK("http://www.twitter.com/NathanBLawrence/status/986742901370707974", "986742901370707974")</f>
        <v/>
      </c>
      <c r="B2247" s="2" t="n">
        <v>43208.96313657407</v>
      </c>
      <c r="C2247" t="n">
        <v>10</v>
      </c>
      <c r="D2247" t="n">
        <v>3</v>
      </c>
      <c r="E2247" t="s">
        <v>2254</v>
      </c>
      <c r="F2247" t="s"/>
      <c r="G2247" t="s"/>
      <c r="H2247" t="s"/>
      <c r="I2247" t="s"/>
      <c r="J2247" t="n">
        <v>0.3182</v>
      </c>
      <c r="K2247" t="n">
        <v>0</v>
      </c>
      <c r="L2247" t="n">
        <v>0.944</v>
      </c>
      <c r="M2247" t="n">
        <v>0.056</v>
      </c>
    </row>
    <row r="2248" spans="1:13">
      <c r="A2248" s="1">
        <f>HYPERLINK("http://www.twitter.com/NathanBLawrence/status/986740367671382016", "986740367671382016")</f>
        <v/>
      </c>
      <c r="B2248" s="2" t="n">
        <v>43208.95614583333</v>
      </c>
      <c r="C2248" t="n">
        <v>0</v>
      </c>
      <c r="D2248" t="n">
        <v>0</v>
      </c>
      <c r="E2248" t="s">
        <v>2255</v>
      </c>
      <c r="F2248" t="s"/>
      <c r="G2248" t="s"/>
      <c r="H2248" t="s"/>
      <c r="I2248" t="s"/>
      <c r="J2248" t="n">
        <v>0.3182</v>
      </c>
      <c r="K2248" t="n">
        <v>0</v>
      </c>
      <c r="L2248" t="n">
        <v>0.8129999999999999</v>
      </c>
      <c r="M2248" t="n">
        <v>0.187</v>
      </c>
    </row>
    <row r="2249" spans="1:13">
      <c r="A2249" s="1">
        <f>HYPERLINK("http://www.twitter.com/NathanBLawrence/status/986739923838521345", "986739923838521345")</f>
        <v/>
      </c>
      <c r="B2249" s="2" t="n">
        <v>43208.95491898148</v>
      </c>
      <c r="C2249" t="n">
        <v>0</v>
      </c>
      <c r="D2249" t="n">
        <v>0</v>
      </c>
      <c r="E2249" t="s">
        <v>2256</v>
      </c>
      <c r="F2249" t="s"/>
      <c r="G2249" t="s"/>
      <c r="H2249" t="s"/>
      <c r="I2249" t="s"/>
      <c r="J2249" t="n">
        <v>0</v>
      </c>
      <c r="K2249" t="n">
        <v>0</v>
      </c>
      <c r="L2249" t="n">
        <v>1</v>
      </c>
      <c r="M2249" t="n">
        <v>0</v>
      </c>
    </row>
    <row r="2250" spans="1:13">
      <c r="A2250" s="1">
        <f>HYPERLINK("http://www.twitter.com/NathanBLawrence/status/986739691864150017", "986739691864150017")</f>
        <v/>
      </c>
      <c r="B2250" s="2" t="n">
        <v>43208.95427083333</v>
      </c>
      <c r="C2250" t="n">
        <v>1</v>
      </c>
      <c r="D2250" t="n">
        <v>1</v>
      </c>
      <c r="E2250" t="s">
        <v>2257</v>
      </c>
      <c r="F2250" t="s"/>
      <c r="G2250" t="s"/>
      <c r="H2250" t="s"/>
      <c r="I2250" t="s"/>
      <c r="J2250" t="n">
        <v>0</v>
      </c>
      <c r="K2250" t="n">
        <v>0</v>
      </c>
      <c r="L2250" t="n">
        <v>1</v>
      </c>
      <c r="M2250" t="n">
        <v>0</v>
      </c>
    </row>
    <row r="2251" spans="1:13">
      <c r="A2251" s="1">
        <f>HYPERLINK("http://www.twitter.com/NathanBLawrence/status/986738549549608961", "986738549549608961")</f>
        <v/>
      </c>
      <c r="B2251" s="2" t="n">
        <v>43208.95112268518</v>
      </c>
      <c r="C2251" t="n">
        <v>6</v>
      </c>
      <c r="D2251" t="n">
        <v>2</v>
      </c>
      <c r="E2251" t="s">
        <v>2258</v>
      </c>
      <c r="F2251" t="s"/>
      <c r="G2251" t="s"/>
      <c r="H2251" t="s"/>
      <c r="I2251" t="s"/>
      <c r="J2251" t="n">
        <v>-0.4215</v>
      </c>
      <c r="K2251" t="n">
        <v>0.091</v>
      </c>
      <c r="L2251" t="n">
        <v>0.909</v>
      </c>
      <c r="M2251" t="n">
        <v>0</v>
      </c>
    </row>
    <row r="2252" spans="1:13">
      <c r="A2252" s="1">
        <f>HYPERLINK("http://www.twitter.com/NathanBLawrence/status/986736470043045888", "986736470043045888")</f>
        <v/>
      </c>
      <c r="B2252" s="2" t="n">
        <v>43208.94538194445</v>
      </c>
      <c r="C2252" t="n">
        <v>0</v>
      </c>
      <c r="D2252" t="n">
        <v>1</v>
      </c>
      <c r="E2252" t="s">
        <v>2259</v>
      </c>
      <c r="F2252" t="s"/>
      <c r="G2252" t="s"/>
      <c r="H2252" t="s"/>
      <c r="I2252" t="s"/>
      <c r="J2252" t="n">
        <v>0</v>
      </c>
      <c r="K2252" t="n">
        <v>0</v>
      </c>
      <c r="L2252" t="n">
        <v>1</v>
      </c>
      <c r="M2252" t="n">
        <v>0</v>
      </c>
    </row>
    <row r="2253" spans="1:13">
      <c r="A2253" s="1">
        <f>HYPERLINK("http://www.twitter.com/NathanBLawrence/status/986735734160797697", "986735734160797697")</f>
        <v/>
      </c>
      <c r="B2253" s="2" t="n">
        <v>43208.94335648148</v>
      </c>
      <c r="C2253" t="n">
        <v>5</v>
      </c>
      <c r="D2253" t="n">
        <v>5</v>
      </c>
      <c r="E2253" t="s">
        <v>2260</v>
      </c>
      <c r="F2253" t="s"/>
      <c r="G2253" t="s"/>
      <c r="H2253" t="s"/>
      <c r="I2253" t="s"/>
      <c r="J2253" t="n">
        <v>-0.4939</v>
      </c>
      <c r="K2253" t="n">
        <v>0.186</v>
      </c>
      <c r="L2253" t="n">
        <v>0.8139999999999999</v>
      </c>
      <c r="M2253" t="n">
        <v>0</v>
      </c>
    </row>
    <row r="2254" spans="1:13">
      <c r="A2254" s="1">
        <f>HYPERLINK("http://www.twitter.com/NathanBLawrence/status/986734890849914882", "986734890849914882")</f>
        <v/>
      </c>
      <c r="B2254" s="2" t="n">
        <v>43208.9410300926</v>
      </c>
      <c r="C2254" t="n">
        <v>0</v>
      </c>
      <c r="D2254" t="n">
        <v>9</v>
      </c>
      <c r="E2254" t="s">
        <v>2261</v>
      </c>
      <c r="F2254" t="s"/>
      <c r="G2254" t="s"/>
      <c r="H2254" t="s"/>
      <c r="I2254" t="s"/>
      <c r="J2254" t="n">
        <v>0.3595</v>
      </c>
      <c r="K2254" t="n">
        <v>0</v>
      </c>
      <c r="L2254" t="n">
        <v>0.868</v>
      </c>
      <c r="M2254" t="n">
        <v>0.132</v>
      </c>
    </row>
    <row r="2255" spans="1:13">
      <c r="A2255" s="1">
        <f>HYPERLINK("http://www.twitter.com/NathanBLawrence/status/986734612058656769", "986734612058656769")</f>
        <v/>
      </c>
      <c r="B2255" s="2" t="n">
        <v>43208.94025462963</v>
      </c>
      <c r="C2255" t="n">
        <v>10</v>
      </c>
      <c r="D2255" t="n">
        <v>10</v>
      </c>
      <c r="E2255" t="s">
        <v>2262</v>
      </c>
      <c r="F2255" t="s"/>
      <c r="G2255" t="s"/>
      <c r="H2255" t="s"/>
      <c r="I2255" t="s"/>
      <c r="J2255" t="n">
        <v>-0.1779</v>
      </c>
      <c r="K2255" t="n">
        <v>0.118</v>
      </c>
      <c r="L2255" t="n">
        <v>0.758</v>
      </c>
      <c r="M2255" t="n">
        <v>0.124</v>
      </c>
    </row>
    <row r="2256" spans="1:13">
      <c r="A2256" s="1">
        <f>HYPERLINK("http://www.twitter.com/NathanBLawrence/status/986695158765903872", "986695158765903872")</f>
        <v/>
      </c>
      <c r="B2256" s="2" t="n">
        <v>43208.83138888889</v>
      </c>
      <c r="C2256" t="n">
        <v>7</v>
      </c>
      <c r="D2256" t="n">
        <v>1</v>
      </c>
      <c r="E2256" t="s">
        <v>2263</v>
      </c>
      <c r="F2256" t="s"/>
      <c r="G2256" t="s"/>
      <c r="H2256" t="s"/>
      <c r="I2256" t="s"/>
      <c r="J2256" t="n">
        <v>0.8356</v>
      </c>
      <c r="K2256" t="n">
        <v>0.08799999999999999</v>
      </c>
      <c r="L2256" t="n">
        <v>0.57</v>
      </c>
      <c r="M2256" t="n">
        <v>0.342</v>
      </c>
    </row>
    <row r="2257" spans="1:13">
      <c r="A2257" s="1">
        <f>HYPERLINK("http://www.twitter.com/NathanBLawrence/status/986693986457980928", "986693986457980928")</f>
        <v/>
      </c>
      <c r="B2257" s="2" t="n">
        <v>43208.82814814815</v>
      </c>
      <c r="C2257" t="n">
        <v>0</v>
      </c>
      <c r="D2257" t="n">
        <v>7</v>
      </c>
      <c r="E2257" t="s">
        <v>2264</v>
      </c>
      <c r="F2257" t="s"/>
      <c r="G2257" t="s"/>
      <c r="H2257" t="s"/>
      <c r="I2257" t="s"/>
      <c r="J2257" t="n">
        <v>-0.7003</v>
      </c>
      <c r="K2257" t="n">
        <v>0.234</v>
      </c>
      <c r="L2257" t="n">
        <v>0.766</v>
      </c>
      <c r="M2257" t="n">
        <v>0</v>
      </c>
    </row>
    <row r="2258" spans="1:13">
      <c r="A2258" s="1">
        <f>HYPERLINK("http://www.twitter.com/NathanBLawrence/status/986687622625054721", "986687622625054721")</f>
        <v/>
      </c>
      <c r="B2258" s="2" t="n">
        <v>43208.81059027778</v>
      </c>
      <c r="C2258" t="n">
        <v>0</v>
      </c>
      <c r="D2258" t="n">
        <v>1</v>
      </c>
      <c r="E2258" t="s">
        <v>2265</v>
      </c>
      <c r="F2258" t="s"/>
      <c r="G2258" t="s"/>
      <c r="H2258" t="s"/>
      <c r="I2258" t="s"/>
      <c r="J2258" t="n">
        <v>0</v>
      </c>
      <c r="K2258" t="n">
        <v>0</v>
      </c>
      <c r="L2258" t="n">
        <v>1</v>
      </c>
      <c r="M2258" t="n">
        <v>0</v>
      </c>
    </row>
    <row r="2259" spans="1:13">
      <c r="A2259" s="1">
        <f>HYPERLINK("http://www.twitter.com/NathanBLawrence/status/986686389654835200", "986686389654835200")</f>
        <v/>
      </c>
      <c r="B2259" s="2" t="n">
        <v>43208.8071875</v>
      </c>
      <c r="C2259" t="n">
        <v>3</v>
      </c>
      <c r="D2259" t="n">
        <v>3</v>
      </c>
      <c r="E2259" t="s">
        <v>2266</v>
      </c>
      <c r="F2259" t="s"/>
      <c r="G2259" t="s"/>
      <c r="H2259" t="s"/>
      <c r="I2259" t="s"/>
      <c r="J2259" t="n">
        <v>0</v>
      </c>
      <c r="K2259" t="n">
        <v>0.081</v>
      </c>
      <c r="L2259" t="n">
        <v>0.838</v>
      </c>
      <c r="M2259" t="n">
        <v>0.081</v>
      </c>
    </row>
    <row r="2260" spans="1:13">
      <c r="A2260" s="1">
        <f>HYPERLINK("http://www.twitter.com/NathanBLawrence/status/986684466696523777", "986684466696523777")</f>
        <v/>
      </c>
      <c r="B2260" s="2" t="n">
        <v>43208.80188657407</v>
      </c>
      <c r="C2260" t="n">
        <v>7</v>
      </c>
      <c r="D2260" t="n">
        <v>4</v>
      </c>
      <c r="E2260" t="s">
        <v>2267</v>
      </c>
      <c r="F2260" t="s"/>
      <c r="G2260" t="s"/>
      <c r="H2260" t="s"/>
      <c r="I2260" t="s"/>
      <c r="J2260" t="n">
        <v>0.7059</v>
      </c>
      <c r="K2260" t="n">
        <v>0.043</v>
      </c>
      <c r="L2260" t="n">
        <v>0.8</v>
      </c>
      <c r="M2260" t="n">
        <v>0.157</v>
      </c>
    </row>
    <row r="2261" spans="1:13">
      <c r="A2261" s="1">
        <f>HYPERLINK("http://www.twitter.com/NathanBLawrence/status/986683904106123264", "986683904106123264")</f>
        <v/>
      </c>
      <c r="B2261" s="2" t="n">
        <v>43208.80033564815</v>
      </c>
      <c r="C2261" t="n">
        <v>3</v>
      </c>
      <c r="D2261" t="n">
        <v>1</v>
      </c>
      <c r="E2261" t="s">
        <v>2268</v>
      </c>
      <c r="F2261" t="s"/>
      <c r="G2261" t="s"/>
      <c r="H2261" t="s"/>
      <c r="I2261" t="s"/>
      <c r="J2261" t="n">
        <v>-0.3612</v>
      </c>
      <c r="K2261" t="n">
        <v>0.106</v>
      </c>
      <c r="L2261" t="n">
        <v>0.894</v>
      </c>
      <c r="M2261" t="n">
        <v>0</v>
      </c>
    </row>
    <row r="2262" spans="1:13">
      <c r="A2262" s="1">
        <f>HYPERLINK("http://www.twitter.com/NathanBLawrence/status/986682237100978177", "986682237100978177")</f>
        <v/>
      </c>
      <c r="B2262" s="2" t="n">
        <v>43208.79572916667</v>
      </c>
      <c r="C2262" t="n">
        <v>0</v>
      </c>
      <c r="D2262" t="n">
        <v>0</v>
      </c>
      <c r="E2262" t="s">
        <v>2269</v>
      </c>
      <c r="F2262" t="s"/>
      <c r="G2262" t="s"/>
      <c r="H2262" t="s"/>
      <c r="I2262" t="s"/>
      <c r="J2262" t="n">
        <v>-0.8316</v>
      </c>
      <c r="K2262" t="n">
        <v>0.328</v>
      </c>
      <c r="L2262" t="n">
        <v>0.672</v>
      </c>
      <c r="M2262" t="n">
        <v>0</v>
      </c>
    </row>
    <row r="2263" spans="1:13">
      <c r="A2263" s="1">
        <f>HYPERLINK("http://www.twitter.com/NathanBLawrence/status/986680407071645697", "986680407071645697")</f>
        <v/>
      </c>
      <c r="B2263" s="2" t="n">
        <v>43208.79068287037</v>
      </c>
      <c r="C2263" t="n">
        <v>2</v>
      </c>
      <c r="D2263" t="n">
        <v>0</v>
      </c>
      <c r="E2263" t="s">
        <v>2270</v>
      </c>
      <c r="F2263" t="s"/>
      <c r="G2263" t="s"/>
      <c r="H2263" t="s"/>
      <c r="I2263" t="s"/>
      <c r="J2263" t="n">
        <v>-0.3774</v>
      </c>
      <c r="K2263" t="n">
        <v>0.102</v>
      </c>
      <c r="L2263" t="n">
        <v>0.846</v>
      </c>
      <c r="M2263" t="n">
        <v>0.052</v>
      </c>
    </row>
    <row r="2264" spans="1:13">
      <c r="A2264" s="1">
        <f>HYPERLINK("http://www.twitter.com/NathanBLawrence/status/986679448958316546", "986679448958316546")</f>
        <v/>
      </c>
      <c r="B2264" s="2" t="n">
        <v>43208.78803240741</v>
      </c>
      <c r="C2264" t="n">
        <v>0</v>
      </c>
      <c r="D2264" t="n">
        <v>0</v>
      </c>
      <c r="E2264" t="s">
        <v>2271</v>
      </c>
      <c r="F2264" t="s"/>
      <c r="G2264" t="s"/>
      <c r="H2264" t="s"/>
      <c r="I2264" t="s"/>
      <c r="J2264" t="n">
        <v>-0.7964</v>
      </c>
      <c r="K2264" t="n">
        <v>0.197</v>
      </c>
      <c r="L2264" t="n">
        <v>0.751</v>
      </c>
      <c r="M2264" t="n">
        <v>0.052</v>
      </c>
    </row>
    <row r="2265" spans="1:13">
      <c r="A2265" s="1">
        <f>HYPERLINK("http://www.twitter.com/NathanBLawrence/status/986675949281345536", "986675949281345536")</f>
        <v/>
      </c>
      <c r="B2265" s="2" t="n">
        <v>43208.77837962963</v>
      </c>
      <c r="C2265" t="n">
        <v>1</v>
      </c>
      <c r="D2265" t="n">
        <v>0</v>
      </c>
      <c r="E2265" t="s">
        <v>2272</v>
      </c>
      <c r="F2265" t="s"/>
      <c r="G2265" t="s"/>
      <c r="H2265" t="s"/>
      <c r="I2265" t="s"/>
      <c r="J2265" t="n">
        <v>-0.3182</v>
      </c>
      <c r="K2265" t="n">
        <v>0.204</v>
      </c>
      <c r="L2265" t="n">
        <v>0.796</v>
      </c>
      <c r="M2265" t="n">
        <v>0</v>
      </c>
    </row>
    <row r="2266" spans="1:13">
      <c r="A2266" s="1">
        <f>HYPERLINK("http://www.twitter.com/NathanBLawrence/status/986674463021371393", "986674463021371393")</f>
        <v/>
      </c>
      <c r="B2266" s="2" t="n">
        <v>43208.77428240741</v>
      </c>
      <c r="C2266" t="n">
        <v>1</v>
      </c>
      <c r="D2266" t="n">
        <v>0</v>
      </c>
      <c r="E2266" t="s">
        <v>2273</v>
      </c>
      <c r="F2266" t="s"/>
      <c r="G2266" t="s"/>
      <c r="H2266" t="s"/>
      <c r="I2266" t="s"/>
      <c r="J2266" t="n">
        <v>0</v>
      </c>
      <c r="K2266" t="n">
        <v>0</v>
      </c>
      <c r="L2266" t="n">
        <v>1</v>
      </c>
      <c r="M2266" t="n">
        <v>0</v>
      </c>
    </row>
    <row r="2267" spans="1:13">
      <c r="A2267" s="1">
        <f>HYPERLINK("http://www.twitter.com/NathanBLawrence/status/986674383602233344", "986674383602233344")</f>
        <v/>
      </c>
      <c r="B2267" s="2" t="n">
        <v>43208.7740625</v>
      </c>
      <c r="C2267" t="n">
        <v>0</v>
      </c>
      <c r="D2267" t="n">
        <v>1</v>
      </c>
      <c r="E2267" t="s">
        <v>2274</v>
      </c>
      <c r="F2267" t="s"/>
      <c r="G2267" t="s"/>
      <c r="H2267" t="s"/>
      <c r="I2267" t="s"/>
      <c r="J2267" t="n">
        <v>-0.5719</v>
      </c>
      <c r="K2267" t="n">
        <v>0.207</v>
      </c>
      <c r="L2267" t="n">
        <v>0.793</v>
      </c>
      <c r="M2267" t="n">
        <v>0</v>
      </c>
    </row>
    <row r="2268" spans="1:13">
      <c r="A2268" s="1">
        <f>HYPERLINK("http://www.twitter.com/NathanBLawrence/status/986646199993360386", "986646199993360386")</f>
        <v/>
      </c>
      <c r="B2268" s="2" t="n">
        <v>43208.69628472222</v>
      </c>
      <c r="C2268" t="n">
        <v>0</v>
      </c>
      <c r="D2268" t="n">
        <v>15</v>
      </c>
      <c r="E2268" t="s">
        <v>2275</v>
      </c>
      <c r="F2268" t="s"/>
      <c r="G2268" t="s"/>
      <c r="H2268" t="s"/>
      <c r="I2268" t="s"/>
      <c r="J2268" t="n">
        <v>0.3054</v>
      </c>
      <c r="K2268" t="n">
        <v>0</v>
      </c>
      <c r="L2268" t="n">
        <v>0.899</v>
      </c>
      <c r="M2268" t="n">
        <v>0.101</v>
      </c>
    </row>
    <row r="2269" spans="1:13">
      <c r="A2269" s="1">
        <f>HYPERLINK("http://www.twitter.com/NathanBLawrence/status/986642592795365381", "986642592795365381")</f>
        <v/>
      </c>
      <c r="B2269" s="2" t="n">
        <v>43208.68633101852</v>
      </c>
      <c r="C2269" t="n">
        <v>0</v>
      </c>
      <c r="D2269" t="n">
        <v>0</v>
      </c>
      <c r="E2269" t="s">
        <v>2276</v>
      </c>
      <c r="F2269" t="s"/>
      <c r="G2269" t="s"/>
      <c r="H2269" t="s"/>
      <c r="I2269" t="s"/>
      <c r="J2269" t="n">
        <v>-0.6808</v>
      </c>
      <c r="K2269" t="n">
        <v>0.315</v>
      </c>
      <c r="L2269" t="n">
        <v>0.6850000000000001</v>
      </c>
      <c r="M2269" t="n">
        <v>0</v>
      </c>
    </row>
    <row r="2270" spans="1:13">
      <c r="A2270" s="1">
        <f>HYPERLINK("http://www.twitter.com/NathanBLawrence/status/986640822803357697", "986640822803357697")</f>
        <v/>
      </c>
      <c r="B2270" s="2" t="n">
        <v>43208.68144675926</v>
      </c>
      <c r="C2270" t="n">
        <v>0</v>
      </c>
      <c r="D2270" t="n">
        <v>0</v>
      </c>
      <c r="E2270" t="s">
        <v>2277</v>
      </c>
      <c r="F2270" t="s"/>
      <c r="G2270" t="s"/>
      <c r="H2270" t="s"/>
      <c r="I2270" t="s"/>
      <c r="J2270" t="n">
        <v>0.4019</v>
      </c>
      <c r="K2270" t="n">
        <v>0</v>
      </c>
      <c r="L2270" t="n">
        <v>0.863</v>
      </c>
      <c r="M2270" t="n">
        <v>0.137</v>
      </c>
    </row>
    <row r="2271" spans="1:13">
      <c r="A2271" s="1">
        <f>HYPERLINK("http://www.twitter.com/NathanBLawrence/status/986637873117122562", "986637873117122562")</f>
        <v/>
      </c>
      <c r="B2271" s="2" t="n">
        <v>43208.67331018519</v>
      </c>
      <c r="C2271" t="n">
        <v>5</v>
      </c>
      <c r="D2271" t="n">
        <v>1</v>
      </c>
      <c r="E2271" t="s">
        <v>2278</v>
      </c>
      <c r="F2271" t="s"/>
      <c r="G2271" t="s"/>
      <c r="H2271" t="s"/>
      <c r="I2271" t="s"/>
      <c r="J2271" t="n">
        <v>-0.8475</v>
      </c>
      <c r="K2271" t="n">
        <v>0.179</v>
      </c>
      <c r="L2271" t="n">
        <v>0.821</v>
      </c>
      <c r="M2271" t="n">
        <v>0</v>
      </c>
    </row>
    <row r="2272" spans="1:13">
      <c r="A2272" s="1">
        <f>HYPERLINK("http://www.twitter.com/NathanBLawrence/status/986636828194295808", "986636828194295808")</f>
        <v/>
      </c>
      <c r="B2272" s="2" t="n">
        <v>43208.67042824074</v>
      </c>
      <c r="C2272" t="n">
        <v>1</v>
      </c>
      <c r="D2272" t="n">
        <v>0</v>
      </c>
      <c r="E2272" t="s">
        <v>2279</v>
      </c>
      <c r="F2272" t="s"/>
      <c r="G2272" t="s"/>
      <c r="H2272" t="s"/>
      <c r="I2272" t="s"/>
      <c r="J2272" t="n">
        <v>0.3716</v>
      </c>
      <c r="K2272" t="n">
        <v>0</v>
      </c>
      <c r="L2272" t="n">
        <v>0.772</v>
      </c>
      <c r="M2272" t="n">
        <v>0.228</v>
      </c>
    </row>
    <row r="2273" spans="1:13">
      <c r="A2273" s="1">
        <f>HYPERLINK("http://www.twitter.com/NathanBLawrence/status/986633335391825920", "986633335391825920")</f>
        <v/>
      </c>
      <c r="B2273" s="2" t="n">
        <v>43208.66078703704</v>
      </c>
      <c r="C2273" t="n">
        <v>1</v>
      </c>
      <c r="D2273" t="n">
        <v>1</v>
      </c>
      <c r="E2273" t="s">
        <v>2280</v>
      </c>
      <c r="F2273" t="s"/>
      <c r="G2273" t="s"/>
      <c r="H2273" t="s"/>
      <c r="I2273" t="s"/>
      <c r="J2273" t="n">
        <v>0</v>
      </c>
      <c r="K2273" t="n">
        <v>0</v>
      </c>
      <c r="L2273" t="n">
        <v>1</v>
      </c>
      <c r="M2273" t="n">
        <v>0</v>
      </c>
    </row>
    <row r="2274" spans="1:13">
      <c r="A2274" s="1">
        <f>HYPERLINK("http://www.twitter.com/NathanBLawrence/status/986632723983949824", "986632723983949824")</f>
        <v/>
      </c>
      <c r="B2274" s="2" t="n">
        <v>43208.65909722223</v>
      </c>
      <c r="C2274" t="n">
        <v>0</v>
      </c>
      <c r="D2274" t="n">
        <v>1</v>
      </c>
      <c r="E2274" t="s">
        <v>2281</v>
      </c>
      <c r="F2274" t="s"/>
      <c r="G2274" t="s"/>
      <c r="H2274" t="s"/>
      <c r="I2274" t="s"/>
      <c r="J2274" t="n">
        <v>0</v>
      </c>
      <c r="K2274" t="n">
        <v>0</v>
      </c>
      <c r="L2274" t="n">
        <v>1</v>
      </c>
      <c r="M2274" t="n">
        <v>0</v>
      </c>
    </row>
    <row r="2275" spans="1:13">
      <c r="A2275" s="1">
        <f>HYPERLINK("http://www.twitter.com/NathanBLawrence/status/986632132343803905", "986632132343803905")</f>
        <v/>
      </c>
      <c r="B2275" s="2" t="n">
        <v>43208.65746527778</v>
      </c>
      <c r="C2275" t="n">
        <v>2</v>
      </c>
      <c r="D2275" t="n">
        <v>1</v>
      </c>
      <c r="E2275" t="s">
        <v>2282</v>
      </c>
      <c r="F2275" t="s"/>
      <c r="G2275" t="s"/>
      <c r="H2275" t="s"/>
      <c r="I2275" t="s"/>
      <c r="J2275" t="n">
        <v>0.2023</v>
      </c>
      <c r="K2275" t="n">
        <v>0.065</v>
      </c>
      <c r="L2275" t="n">
        <v>0.8120000000000001</v>
      </c>
      <c r="M2275" t="n">
        <v>0.123</v>
      </c>
    </row>
    <row r="2276" spans="1:13">
      <c r="A2276" s="1">
        <f>HYPERLINK("http://www.twitter.com/NathanBLawrence/status/986630905312706560", "986630905312706560")</f>
        <v/>
      </c>
      <c r="B2276" s="2" t="n">
        <v>43208.65408564815</v>
      </c>
      <c r="C2276" t="n">
        <v>0</v>
      </c>
      <c r="D2276" t="n">
        <v>4</v>
      </c>
      <c r="E2276" t="s">
        <v>2283</v>
      </c>
      <c r="F2276" t="s"/>
      <c r="G2276" t="s"/>
      <c r="H2276" t="s"/>
      <c r="I2276" t="s"/>
      <c r="J2276" t="n">
        <v>0.6369</v>
      </c>
      <c r="K2276" t="n">
        <v>0</v>
      </c>
      <c r="L2276" t="n">
        <v>0.743</v>
      </c>
      <c r="M2276" t="n">
        <v>0.257</v>
      </c>
    </row>
    <row r="2277" spans="1:13">
      <c r="A2277" s="1">
        <f>HYPERLINK("http://www.twitter.com/NathanBLawrence/status/986630888623628288", "986630888623628288")</f>
        <v/>
      </c>
      <c r="B2277" s="2" t="n">
        <v>43208.65403935185</v>
      </c>
      <c r="C2277" t="n">
        <v>0</v>
      </c>
      <c r="D2277" t="n">
        <v>4</v>
      </c>
      <c r="E2277" t="s">
        <v>2284</v>
      </c>
      <c r="F2277" t="s"/>
      <c r="G2277" t="s"/>
      <c r="H2277" t="s"/>
      <c r="I2277" t="s"/>
      <c r="J2277" t="n">
        <v>0.8395</v>
      </c>
      <c r="K2277" t="n">
        <v>0</v>
      </c>
      <c r="L2277" t="n">
        <v>0.667</v>
      </c>
      <c r="M2277" t="n">
        <v>0.333</v>
      </c>
    </row>
    <row r="2278" spans="1:13">
      <c r="A2278" s="1">
        <f>HYPERLINK("http://www.twitter.com/NathanBLawrence/status/986630774643417089", "986630774643417089")</f>
        <v/>
      </c>
      <c r="B2278" s="2" t="n">
        <v>43208.65372685185</v>
      </c>
      <c r="C2278" t="n">
        <v>0</v>
      </c>
      <c r="D2278" t="n">
        <v>6</v>
      </c>
      <c r="E2278" t="s">
        <v>2285</v>
      </c>
      <c r="F2278">
        <f>HYPERLINK("http://pbs.twimg.com/media/DbEuxM3X0AA8ZLK.jpg", "http://pbs.twimg.com/media/DbEuxM3X0AA8ZLK.jpg")</f>
        <v/>
      </c>
      <c r="G2278" t="s"/>
      <c r="H2278" t="s"/>
      <c r="I2278" t="s"/>
      <c r="J2278" t="n">
        <v>0</v>
      </c>
      <c r="K2278" t="n">
        <v>0</v>
      </c>
      <c r="L2278" t="n">
        <v>1</v>
      </c>
      <c r="M2278" t="n">
        <v>0</v>
      </c>
    </row>
    <row r="2279" spans="1:13">
      <c r="A2279" s="1">
        <f>HYPERLINK("http://www.twitter.com/NathanBLawrence/status/986630749297225728", "986630749297225728")</f>
        <v/>
      </c>
      <c r="B2279" s="2" t="n">
        <v>43208.65365740741</v>
      </c>
      <c r="C2279" t="n">
        <v>0</v>
      </c>
      <c r="D2279" t="n">
        <v>11</v>
      </c>
      <c r="E2279" t="s">
        <v>2286</v>
      </c>
      <c r="F2279" t="s"/>
      <c r="G2279" t="s"/>
      <c r="H2279" t="s"/>
      <c r="I2279" t="s"/>
      <c r="J2279" t="n">
        <v>0.2263</v>
      </c>
      <c r="K2279" t="n">
        <v>0</v>
      </c>
      <c r="L2279" t="n">
        <v>0.899</v>
      </c>
      <c r="M2279" t="n">
        <v>0.101</v>
      </c>
    </row>
    <row r="2280" spans="1:13">
      <c r="A2280" s="1">
        <f>HYPERLINK("http://www.twitter.com/NathanBLawrence/status/986630474230624257", "986630474230624257")</f>
        <v/>
      </c>
      <c r="B2280" s="2" t="n">
        <v>43208.65289351852</v>
      </c>
      <c r="C2280" t="n">
        <v>0</v>
      </c>
      <c r="D2280" t="n">
        <v>9</v>
      </c>
      <c r="E2280" t="s">
        <v>2287</v>
      </c>
      <c r="F2280" t="s"/>
      <c r="G2280" t="s"/>
      <c r="H2280" t="s"/>
      <c r="I2280" t="s"/>
      <c r="J2280" t="n">
        <v>0.34</v>
      </c>
      <c r="K2280" t="n">
        <v>0</v>
      </c>
      <c r="L2280" t="n">
        <v>0.897</v>
      </c>
      <c r="M2280" t="n">
        <v>0.103</v>
      </c>
    </row>
    <row r="2281" spans="1:13">
      <c r="A2281" s="1">
        <f>HYPERLINK("http://www.twitter.com/NathanBLawrence/status/986629095588057089", "986629095588057089")</f>
        <v/>
      </c>
      <c r="B2281" s="2" t="n">
        <v>43208.64908564815</v>
      </c>
      <c r="C2281" t="n">
        <v>1</v>
      </c>
      <c r="D2281" t="n">
        <v>0</v>
      </c>
      <c r="E2281" t="s">
        <v>2288</v>
      </c>
      <c r="F2281" t="s"/>
      <c r="G2281" t="s"/>
      <c r="H2281" t="s"/>
      <c r="I2281" t="s"/>
      <c r="J2281" t="n">
        <v>0.4215</v>
      </c>
      <c r="K2281" t="n">
        <v>0</v>
      </c>
      <c r="L2281" t="n">
        <v>0.899</v>
      </c>
      <c r="M2281" t="n">
        <v>0.101</v>
      </c>
    </row>
    <row r="2282" spans="1:13">
      <c r="A2282" s="1">
        <f>HYPERLINK("http://www.twitter.com/NathanBLawrence/status/986627560518963200", "986627560518963200")</f>
        <v/>
      </c>
      <c r="B2282" s="2" t="n">
        <v>43208.64484953704</v>
      </c>
      <c r="C2282" t="n">
        <v>0</v>
      </c>
      <c r="D2282" t="n">
        <v>3</v>
      </c>
      <c r="E2282" t="s">
        <v>2289</v>
      </c>
      <c r="F2282" t="s"/>
      <c r="G2282" t="s"/>
      <c r="H2282" t="s"/>
      <c r="I2282" t="s"/>
      <c r="J2282" t="n">
        <v>0</v>
      </c>
      <c r="K2282" t="n">
        <v>0</v>
      </c>
      <c r="L2282" t="n">
        <v>1</v>
      </c>
      <c r="M2282" t="n">
        <v>0</v>
      </c>
    </row>
    <row r="2283" spans="1:13">
      <c r="A2283" s="1">
        <f>HYPERLINK("http://www.twitter.com/NathanBLawrence/status/986626173026340864", "986626173026340864")</f>
        <v/>
      </c>
      <c r="B2283" s="2" t="n">
        <v>43208.64101851852</v>
      </c>
      <c r="C2283" t="n">
        <v>0</v>
      </c>
      <c r="D2283" t="n">
        <v>11</v>
      </c>
      <c r="E2283" t="s">
        <v>2290</v>
      </c>
      <c r="F2283" t="s"/>
      <c r="G2283" t="s"/>
      <c r="H2283" t="s"/>
      <c r="I2283" t="s"/>
      <c r="J2283" t="n">
        <v>-0.0772</v>
      </c>
      <c r="K2283" t="n">
        <v>0.058</v>
      </c>
      <c r="L2283" t="n">
        <v>0.9419999999999999</v>
      </c>
      <c r="M2283" t="n">
        <v>0</v>
      </c>
    </row>
    <row r="2284" spans="1:13">
      <c r="A2284" s="1">
        <f>HYPERLINK("http://www.twitter.com/NathanBLawrence/status/986617678860292096", "986617678860292096")</f>
        <v/>
      </c>
      <c r="B2284" s="2" t="n">
        <v>43208.61758101852</v>
      </c>
      <c r="C2284" t="n">
        <v>6</v>
      </c>
      <c r="D2284" t="n">
        <v>3</v>
      </c>
      <c r="E2284" t="s">
        <v>2291</v>
      </c>
      <c r="F2284" t="s"/>
      <c r="G2284" t="s"/>
      <c r="H2284" t="s"/>
      <c r="I2284" t="s"/>
      <c r="J2284" t="n">
        <v>0.4215</v>
      </c>
      <c r="K2284" t="n">
        <v>0.06</v>
      </c>
      <c r="L2284" t="n">
        <v>0.8129999999999999</v>
      </c>
      <c r="M2284" t="n">
        <v>0.127</v>
      </c>
    </row>
    <row r="2285" spans="1:13">
      <c r="A2285" s="1">
        <f>HYPERLINK("http://www.twitter.com/NathanBLawrence/status/986611915488223233", "986611915488223233")</f>
        <v/>
      </c>
      <c r="B2285" s="2" t="n">
        <v>43208.60167824074</v>
      </c>
      <c r="C2285" t="n">
        <v>18</v>
      </c>
      <c r="D2285" t="n">
        <v>11</v>
      </c>
      <c r="E2285" t="s">
        <v>2292</v>
      </c>
      <c r="F2285">
        <f>HYPERLINK("http://pbs.twimg.com/media/DbEmTdkUMAAVLLF.jpg", "http://pbs.twimg.com/media/DbEmTdkUMAAVLLF.jpg")</f>
        <v/>
      </c>
      <c r="G2285" t="s"/>
      <c r="H2285" t="s"/>
      <c r="I2285" t="s"/>
      <c r="J2285" t="n">
        <v>-0.5798</v>
      </c>
      <c r="K2285" t="n">
        <v>0.114</v>
      </c>
      <c r="L2285" t="n">
        <v>0.824</v>
      </c>
      <c r="M2285" t="n">
        <v>0.062</v>
      </c>
    </row>
    <row r="2286" spans="1:13">
      <c r="A2286" s="1">
        <f>HYPERLINK("http://www.twitter.com/NathanBLawrence/status/986609292093673472", "986609292093673472")</f>
        <v/>
      </c>
      <c r="B2286" s="2" t="n">
        <v>43208.59444444445</v>
      </c>
      <c r="C2286" t="n">
        <v>1</v>
      </c>
      <c r="D2286" t="n">
        <v>0</v>
      </c>
      <c r="E2286" t="s">
        <v>2293</v>
      </c>
      <c r="F2286" t="s"/>
      <c r="G2286" t="s"/>
      <c r="H2286" t="s"/>
      <c r="I2286" t="s"/>
      <c r="J2286" t="n">
        <v>-0.5994</v>
      </c>
      <c r="K2286" t="n">
        <v>0.187</v>
      </c>
      <c r="L2286" t="n">
        <v>0.8129999999999999</v>
      </c>
      <c r="M2286" t="n">
        <v>0</v>
      </c>
    </row>
    <row r="2287" spans="1:13">
      <c r="A2287" s="1">
        <f>HYPERLINK("http://www.twitter.com/NathanBLawrence/status/986593201862692864", "986593201862692864")</f>
        <v/>
      </c>
      <c r="B2287" s="2" t="n">
        <v>43208.55003472222</v>
      </c>
      <c r="C2287" t="n">
        <v>2</v>
      </c>
      <c r="D2287" t="n">
        <v>0</v>
      </c>
      <c r="E2287" t="s">
        <v>2294</v>
      </c>
      <c r="F2287" t="s"/>
      <c r="G2287" t="s"/>
      <c r="H2287" t="s"/>
      <c r="I2287" t="s"/>
      <c r="J2287" t="n">
        <v>-0.5423</v>
      </c>
      <c r="K2287" t="n">
        <v>0.125</v>
      </c>
      <c r="L2287" t="n">
        <v>0.828</v>
      </c>
      <c r="M2287" t="n">
        <v>0.047</v>
      </c>
    </row>
    <row r="2288" spans="1:13">
      <c r="A2288" s="1">
        <f>HYPERLINK("http://www.twitter.com/NathanBLawrence/status/986590388919169025", "986590388919169025")</f>
        <v/>
      </c>
      <c r="B2288" s="2" t="n">
        <v>43208.5422800926</v>
      </c>
      <c r="C2288" t="n">
        <v>2</v>
      </c>
      <c r="D2288" t="n">
        <v>0</v>
      </c>
      <c r="E2288" t="s">
        <v>2295</v>
      </c>
      <c r="F2288" t="s"/>
      <c r="G2288" t="s"/>
      <c r="H2288" t="s"/>
      <c r="I2288" t="s"/>
      <c r="J2288" t="n">
        <v>-0.6369</v>
      </c>
      <c r="K2288" t="n">
        <v>0.366</v>
      </c>
      <c r="L2288" t="n">
        <v>0.634</v>
      </c>
      <c r="M2288" t="n">
        <v>0</v>
      </c>
    </row>
    <row r="2289" spans="1:13">
      <c r="A2289" s="1">
        <f>HYPERLINK("http://www.twitter.com/NathanBLawrence/status/986581683666374657", "986581683666374657")</f>
        <v/>
      </c>
      <c r="B2289" s="2" t="n">
        <v>43208.51825231482</v>
      </c>
      <c r="C2289" t="n">
        <v>1</v>
      </c>
      <c r="D2289" t="n">
        <v>0</v>
      </c>
      <c r="E2289" t="s">
        <v>2296</v>
      </c>
      <c r="F2289" t="s"/>
      <c r="G2289" t="s"/>
      <c r="H2289" t="s"/>
      <c r="I2289" t="s"/>
      <c r="J2289" t="n">
        <v>0.3612</v>
      </c>
      <c r="K2289" t="n">
        <v>0</v>
      </c>
      <c r="L2289" t="n">
        <v>0.762</v>
      </c>
      <c r="M2289" t="n">
        <v>0.238</v>
      </c>
    </row>
    <row r="2290" spans="1:13">
      <c r="A2290" s="1">
        <f>HYPERLINK("http://www.twitter.com/NathanBLawrence/status/986580583676567553", "986580583676567553")</f>
        <v/>
      </c>
      <c r="B2290" s="2" t="n">
        <v>43208.51521990741</v>
      </c>
      <c r="C2290" t="n">
        <v>9</v>
      </c>
      <c r="D2290" t="n">
        <v>3</v>
      </c>
      <c r="E2290" t="s">
        <v>2297</v>
      </c>
      <c r="F2290" t="s"/>
      <c r="G2290" t="s"/>
      <c r="H2290" t="s"/>
      <c r="I2290" t="s"/>
      <c r="J2290" t="n">
        <v>-0.3094</v>
      </c>
      <c r="K2290" t="n">
        <v>0.124</v>
      </c>
      <c r="L2290" t="n">
        <v>0.793</v>
      </c>
      <c r="M2290" t="n">
        <v>0.083</v>
      </c>
    </row>
    <row r="2291" spans="1:13">
      <c r="A2291" s="1">
        <f>HYPERLINK("http://www.twitter.com/NathanBLawrence/status/986579351725662208", "986579351725662208")</f>
        <v/>
      </c>
      <c r="B2291" s="2" t="n">
        <v>43208.51181712963</v>
      </c>
      <c r="C2291" t="n">
        <v>3</v>
      </c>
      <c r="D2291" t="n">
        <v>0</v>
      </c>
      <c r="E2291" t="s">
        <v>2298</v>
      </c>
      <c r="F2291" t="s"/>
      <c r="G2291" t="s"/>
      <c r="H2291" t="s"/>
      <c r="I2291" t="s"/>
      <c r="J2291" t="n">
        <v>-0.8442</v>
      </c>
      <c r="K2291" t="n">
        <v>0.227</v>
      </c>
      <c r="L2291" t="n">
        <v>0.773</v>
      </c>
      <c r="M2291" t="n">
        <v>0</v>
      </c>
    </row>
    <row r="2292" spans="1:13">
      <c r="A2292" s="1">
        <f>HYPERLINK("http://www.twitter.com/NathanBLawrence/status/986578160388014080", "986578160388014080")</f>
        <v/>
      </c>
      <c r="B2292" s="2" t="n">
        <v>43208.50853009259</v>
      </c>
      <c r="C2292" t="n">
        <v>9</v>
      </c>
      <c r="D2292" t="n">
        <v>6</v>
      </c>
      <c r="E2292" t="s">
        <v>2299</v>
      </c>
      <c r="F2292" t="s"/>
      <c r="G2292" t="s"/>
      <c r="H2292" t="s"/>
      <c r="I2292" t="s"/>
      <c r="J2292" t="n">
        <v>-0.4003</v>
      </c>
      <c r="K2292" t="n">
        <v>0.058</v>
      </c>
      <c r="L2292" t="n">
        <v>0.9419999999999999</v>
      </c>
      <c r="M2292" t="n">
        <v>0</v>
      </c>
    </row>
    <row r="2293" spans="1:13">
      <c r="A2293" s="1">
        <f>HYPERLINK("http://www.twitter.com/NathanBLawrence/status/986576342085963776", "986576342085963776")</f>
        <v/>
      </c>
      <c r="B2293" s="2" t="n">
        <v>43208.50351851852</v>
      </c>
      <c r="C2293" t="n">
        <v>10</v>
      </c>
      <c r="D2293" t="n">
        <v>6</v>
      </c>
      <c r="E2293" t="s">
        <v>2300</v>
      </c>
      <c r="F2293" t="s"/>
      <c r="G2293" t="s"/>
      <c r="H2293" t="s"/>
      <c r="I2293" t="s"/>
      <c r="J2293" t="n">
        <v>0.0752</v>
      </c>
      <c r="K2293" t="n">
        <v>0.152</v>
      </c>
      <c r="L2293" t="n">
        <v>0.664</v>
      </c>
      <c r="M2293" t="n">
        <v>0.184</v>
      </c>
    </row>
    <row r="2294" spans="1:13">
      <c r="A2294" s="1">
        <f>HYPERLINK("http://www.twitter.com/NathanBLawrence/status/986575576130453506", "986575576130453506")</f>
        <v/>
      </c>
      <c r="B2294" s="2" t="n">
        <v>43208.50140046296</v>
      </c>
      <c r="C2294" t="n">
        <v>0</v>
      </c>
      <c r="D2294" t="n">
        <v>7</v>
      </c>
      <c r="E2294" t="s">
        <v>2301</v>
      </c>
      <c r="F2294" t="s"/>
      <c r="G2294" t="s"/>
      <c r="H2294" t="s"/>
      <c r="I2294" t="s"/>
      <c r="J2294" t="n">
        <v>-0.8074</v>
      </c>
      <c r="K2294" t="n">
        <v>0.278</v>
      </c>
      <c r="L2294" t="n">
        <v>0.722</v>
      </c>
      <c r="M2294" t="n">
        <v>0</v>
      </c>
    </row>
    <row r="2295" spans="1:13">
      <c r="A2295" s="1">
        <f>HYPERLINK("http://www.twitter.com/NathanBLawrence/status/986575518035267591", "986575518035267591")</f>
        <v/>
      </c>
      <c r="B2295" s="2" t="n">
        <v>43208.50123842592</v>
      </c>
      <c r="C2295" t="n">
        <v>0</v>
      </c>
      <c r="D2295" t="n">
        <v>7</v>
      </c>
      <c r="E2295" t="s">
        <v>2302</v>
      </c>
      <c r="F2295" t="s"/>
      <c r="G2295" t="s"/>
      <c r="H2295" t="s"/>
      <c r="I2295" t="s"/>
      <c r="J2295" t="n">
        <v>-0.4019</v>
      </c>
      <c r="K2295" t="n">
        <v>0.101</v>
      </c>
      <c r="L2295" t="n">
        <v>0.899</v>
      </c>
      <c r="M2295" t="n">
        <v>0</v>
      </c>
    </row>
    <row r="2296" spans="1:13">
      <c r="A2296" s="1">
        <f>HYPERLINK("http://www.twitter.com/NathanBLawrence/status/986573476281634817", "986573476281634817")</f>
        <v/>
      </c>
      <c r="B2296" s="2" t="n">
        <v>43208.49561342593</v>
      </c>
      <c r="C2296" t="n">
        <v>0</v>
      </c>
      <c r="D2296" t="n">
        <v>12</v>
      </c>
      <c r="E2296" t="s">
        <v>2303</v>
      </c>
      <c r="F2296">
        <f>HYPERLINK("http://pbs.twimg.com/media/Da8ROFCU0AA5HAM.jpg", "http://pbs.twimg.com/media/Da8ROFCU0AA5HAM.jpg")</f>
        <v/>
      </c>
      <c r="G2296" t="s"/>
      <c r="H2296" t="s"/>
      <c r="I2296" t="s"/>
      <c r="J2296" t="n">
        <v>0</v>
      </c>
      <c r="K2296" t="n">
        <v>0</v>
      </c>
      <c r="L2296" t="n">
        <v>1</v>
      </c>
      <c r="M2296" t="n">
        <v>0</v>
      </c>
    </row>
    <row r="2297" spans="1:13">
      <c r="A2297" s="1">
        <f>HYPERLINK("http://www.twitter.com/NathanBLawrence/status/986570885195882496", "986570885195882496")</f>
        <v/>
      </c>
      <c r="B2297" s="2" t="n">
        <v>43208.48846064815</v>
      </c>
      <c r="C2297" t="n">
        <v>2</v>
      </c>
      <c r="D2297" t="n">
        <v>0</v>
      </c>
      <c r="E2297" t="s">
        <v>2304</v>
      </c>
      <c r="F2297" t="s"/>
      <c r="G2297" t="s"/>
      <c r="H2297" t="s"/>
      <c r="I2297" t="s"/>
      <c r="J2297" t="n">
        <v>-0.2732</v>
      </c>
      <c r="K2297" t="n">
        <v>0.08699999999999999</v>
      </c>
      <c r="L2297" t="n">
        <v>0.913</v>
      </c>
      <c r="M2297" t="n">
        <v>0</v>
      </c>
    </row>
    <row r="2298" spans="1:13">
      <c r="A2298" s="1">
        <f>HYPERLINK("http://www.twitter.com/NathanBLawrence/status/986569633271635969", "986569633271635969")</f>
        <v/>
      </c>
      <c r="B2298" s="2" t="n">
        <v>43208.485</v>
      </c>
      <c r="C2298" t="n">
        <v>1</v>
      </c>
      <c r="D2298" t="n">
        <v>0</v>
      </c>
      <c r="E2298" t="s">
        <v>2305</v>
      </c>
      <c r="F2298" t="s"/>
      <c r="G2298" t="s"/>
      <c r="H2298" t="s"/>
      <c r="I2298" t="s"/>
      <c r="J2298" t="n">
        <v>-0.75</v>
      </c>
      <c r="K2298" t="n">
        <v>0.415</v>
      </c>
      <c r="L2298" t="n">
        <v>0.585</v>
      </c>
      <c r="M2298" t="n">
        <v>0</v>
      </c>
    </row>
    <row r="2299" spans="1:13">
      <c r="A2299" s="1">
        <f>HYPERLINK("http://www.twitter.com/NathanBLawrence/status/986568508103385088", "986568508103385088")</f>
        <v/>
      </c>
      <c r="B2299" s="2" t="n">
        <v>43208.48189814815</v>
      </c>
      <c r="C2299" t="n">
        <v>0</v>
      </c>
      <c r="D2299" t="n">
        <v>0</v>
      </c>
      <c r="E2299" t="s">
        <v>2306</v>
      </c>
      <c r="F2299" t="s"/>
      <c r="G2299" t="s"/>
      <c r="H2299" t="s"/>
      <c r="I2299" t="s"/>
      <c r="J2299" t="n">
        <v>0.7518</v>
      </c>
      <c r="K2299" t="n">
        <v>0</v>
      </c>
      <c r="L2299" t="n">
        <v>0.384</v>
      </c>
      <c r="M2299" t="n">
        <v>0.616</v>
      </c>
    </row>
    <row r="2300" spans="1:13">
      <c r="A2300" s="1">
        <f>HYPERLINK("http://www.twitter.com/NathanBLawrence/status/986568318827057153", "986568318827057153")</f>
        <v/>
      </c>
      <c r="B2300" s="2" t="n">
        <v>43208.48137731481</v>
      </c>
      <c r="C2300" t="n">
        <v>5</v>
      </c>
      <c r="D2300" t="n">
        <v>2</v>
      </c>
      <c r="E2300" t="s">
        <v>2307</v>
      </c>
      <c r="F2300" t="s"/>
      <c r="G2300" t="s"/>
      <c r="H2300" t="s"/>
      <c r="I2300" t="s"/>
      <c r="J2300" t="n">
        <v>-0.5803</v>
      </c>
      <c r="K2300" t="n">
        <v>0.111</v>
      </c>
      <c r="L2300" t="n">
        <v>0.889</v>
      </c>
      <c r="M2300" t="n">
        <v>0</v>
      </c>
    </row>
    <row r="2301" spans="1:13">
      <c r="A2301" s="1">
        <f>HYPERLINK("http://www.twitter.com/NathanBLawrence/status/986567264169332741", "986567264169332741")</f>
        <v/>
      </c>
      <c r="B2301" s="2" t="n">
        <v>43208.47846064815</v>
      </c>
      <c r="C2301" t="n">
        <v>0</v>
      </c>
      <c r="D2301" t="n">
        <v>0</v>
      </c>
      <c r="E2301" t="s">
        <v>2308</v>
      </c>
      <c r="F2301" t="s"/>
      <c r="G2301" t="s"/>
      <c r="H2301" t="s"/>
      <c r="I2301" t="s"/>
      <c r="J2301" t="n">
        <v>-0.5266999999999999</v>
      </c>
      <c r="K2301" t="n">
        <v>0.102</v>
      </c>
      <c r="L2301" t="n">
        <v>0.898</v>
      </c>
      <c r="M2301" t="n">
        <v>0</v>
      </c>
    </row>
    <row r="2302" spans="1:13">
      <c r="A2302" s="1">
        <f>HYPERLINK("http://www.twitter.com/NathanBLawrence/status/986566492278984704", "986566492278984704")</f>
        <v/>
      </c>
      <c r="B2302" s="2" t="n">
        <v>43208.47633101852</v>
      </c>
      <c r="C2302" t="n">
        <v>5</v>
      </c>
      <c r="D2302" t="n">
        <v>1</v>
      </c>
      <c r="E2302" t="s">
        <v>2309</v>
      </c>
      <c r="F2302" t="s"/>
      <c r="G2302" t="s"/>
      <c r="H2302" t="s"/>
      <c r="I2302" t="s"/>
      <c r="J2302" t="n">
        <v>0.0772</v>
      </c>
      <c r="K2302" t="n">
        <v>0.104</v>
      </c>
      <c r="L2302" t="n">
        <v>0.779</v>
      </c>
      <c r="M2302" t="n">
        <v>0.117</v>
      </c>
    </row>
    <row r="2303" spans="1:13">
      <c r="A2303" s="1">
        <f>HYPERLINK("http://www.twitter.com/NathanBLawrence/status/986565897966977024", "986565897966977024")</f>
        <v/>
      </c>
      <c r="B2303" s="2" t="n">
        <v>43208.47469907408</v>
      </c>
      <c r="C2303" t="n">
        <v>1</v>
      </c>
      <c r="D2303" t="n">
        <v>0</v>
      </c>
      <c r="E2303" t="s">
        <v>2310</v>
      </c>
      <c r="F2303" t="s"/>
      <c r="G2303" t="s"/>
      <c r="H2303" t="s"/>
      <c r="I2303" t="s"/>
      <c r="J2303" t="n">
        <v>-0.6808</v>
      </c>
      <c r="K2303" t="n">
        <v>0.203</v>
      </c>
      <c r="L2303" t="n">
        <v>0.797</v>
      </c>
      <c r="M2303" t="n">
        <v>0</v>
      </c>
    </row>
    <row r="2304" spans="1:13">
      <c r="A2304" s="1">
        <f>HYPERLINK("http://www.twitter.com/NathanBLawrence/status/986564975740284928", "986564975740284928")</f>
        <v/>
      </c>
      <c r="B2304" s="2" t="n">
        <v>43208.47215277778</v>
      </c>
      <c r="C2304" t="n">
        <v>0</v>
      </c>
      <c r="D2304" t="n">
        <v>1</v>
      </c>
      <c r="E2304" t="s">
        <v>2311</v>
      </c>
      <c r="F2304" t="s"/>
      <c r="G2304" t="s"/>
      <c r="H2304" t="s"/>
      <c r="I2304" t="s"/>
      <c r="J2304" t="n">
        <v>-0.34</v>
      </c>
      <c r="K2304" t="n">
        <v>0.138</v>
      </c>
      <c r="L2304" t="n">
        <v>0.862</v>
      </c>
      <c r="M2304" t="n">
        <v>0</v>
      </c>
    </row>
    <row r="2305" spans="1:13">
      <c r="A2305" s="1">
        <f>HYPERLINK("http://www.twitter.com/NathanBLawrence/status/986563978204676097", "986563978204676097")</f>
        <v/>
      </c>
      <c r="B2305" s="2" t="n">
        <v>43208.46939814815</v>
      </c>
      <c r="C2305" t="n">
        <v>3</v>
      </c>
      <c r="D2305" t="n">
        <v>1</v>
      </c>
      <c r="E2305" t="s">
        <v>2312</v>
      </c>
      <c r="F2305" t="s"/>
      <c r="G2305" t="s"/>
      <c r="H2305" t="s"/>
      <c r="I2305" t="s"/>
      <c r="J2305" t="n">
        <v>-0.7351</v>
      </c>
      <c r="K2305" t="n">
        <v>0.323</v>
      </c>
      <c r="L2305" t="n">
        <v>0.677</v>
      </c>
      <c r="M2305" t="n">
        <v>0</v>
      </c>
    </row>
    <row r="2306" spans="1:13">
      <c r="A2306" s="1">
        <f>HYPERLINK("http://www.twitter.com/NathanBLawrence/status/986561216989540352", "986561216989540352")</f>
        <v/>
      </c>
      <c r="B2306" s="2" t="n">
        <v>43208.46178240741</v>
      </c>
      <c r="C2306" t="n">
        <v>0</v>
      </c>
      <c r="D2306" t="n">
        <v>8</v>
      </c>
      <c r="E2306" t="s">
        <v>2313</v>
      </c>
      <c r="F2306" t="s"/>
      <c r="G2306" t="s"/>
      <c r="H2306" t="s"/>
      <c r="I2306" t="s"/>
      <c r="J2306" t="n">
        <v>0</v>
      </c>
      <c r="K2306" t="n">
        <v>0</v>
      </c>
      <c r="L2306" t="n">
        <v>1</v>
      </c>
      <c r="M2306" t="n">
        <v>0</v>
      </c>
    </row>
    <row r="2307" spans="1:13">
      <c r="A2307" s="1">
        <f>HYPERLINK("http://www.twitter.com/NathanBLawrence/status/986560126646710274", "986560126646710274")</f>
        <v/>
      </c>
      <c r="B2307" s="2" t="n">
        <v>43208.45877314815</v>
      </c>
      <c r="C2307" t="n">
        <v>0</v>
      </c>
      <c r="D2307" t="n">
        <v>0</v>
      </c>
      <c r="E2307" t="s">
        <v>2314</v>
      </c>
      <c r="F2307" t="s"/>
      <c r="G2307" t="s"/>
      <c r="H2307" t="s"/>
      <c r="I2307" t="s"/>
      <c r="J2307" t="n">
        <v>0.1027</v>
      </c>
      <c r="K2307" t="n">
        <v>0.175</v>
      </c>
      <c r="L2307" t="n">
        <v>0.583</v>
      </c>
      <c r="M2307" t="n">
        <v>0.243</v>
      </c>
    </row>
    <row r="2308" spans="1:13">
      <c r="A2308" s="1">
        <f>HYPERLINK("http://www.twitter.com/NathanBLawrence/status/986559317162844160", "986559317162844160")</f>
        <v/>
      </c>
      <c r="B2308" s="2" t="n">
        <v>43208.45653935185</v>
      </c>
      <c r="C2308" t="n">
        <v>0</v>
      </c>
      <c r="D2308" t="n">
        <v>0</v>
      </c>
      <c r="E2308" t="s">
        <v>2315</v>
      </c>
      <c r="F2308" t="s"/>
      <c r="G2308" t="s"/>
      <c r="H2308" t="s"/>
      <c r="I2308" t="s"/>
      <c r="J2308" t="n">
        <v>0.25</v>
      </c>
      <c r="K2308" t="n">
        <v>0.067</v>
      </c>
      <c r="L2308" t="n">
        <v>0.844</v>
      </c>
      <c r="M2308" t="n">
        <v>0.089</v>
      </c>
    </row>
    <row r="2309" spans="1:13">
      <c r="A2309" s="1">
        <f>HYPERLINK("http://www.twitter.com/NathanBLawrence/status/986558589182644226", "986558589182644226")</f>
        <v/>
      </c>
      <c r="B2309" s="2" t="n">
        <v>43208.45452546296</v>
      </c>
      <c r="C2309" t="n">
        <v>0</v>
      </c>
      <c r="D2309" t="n">
        <v>0</v>
      </c>
      <c r="E2309" t="s">
        <v>2316</v>
      </c>
      <c r="F2309">
        <f>HYPERLINK("http://pbs.twimg.com/media/DbD1zLlVQAAPZ7Q.jpg", "http://pbs.twimg.com/media/DbD1zLlVQAAPZ7Q.jpg")</f>
        <v/>
      </c>
      <c r="G2309" t="s"/>
      <c r="H2309" t="s"/>
      <c r="I2309" t="s"/>
      <c r="J2309" t="n">
        <v>-0.1027</v>
      </c>
      <c r="K2309" t="n">
        <v>0.078</v>
      </c>
      <c r="L2309" t="n">
        <v>0.856</v>
      </c>
      <c r="M2309" t="n">
        <v>0.067</v>
      </c>
    </row>
    <row r="2310" spans="1:13">
      <c r="A2310" s="1">
        <f>HYPERLINK("http://www.twitter.com/NathanBLawrence/status/986557372633174018", "986557372633174018")</f>
        <v/>
      </c>
      <c r="B2310" s="2" t="n">
        <v>43208.45116898148</v>
      </c>
      <c r="C2310" t="n">
        <v>0</v>
      </c>
      <c r="D2310" t="n">
        <v>0</v>
      </c>
      <c r="E2310" t="s">
        <v>2317</v>
      </c>
      <c r="F2310" t="s"/>
      <c r="G2310" t="s"/>
      <c r="H2310" t="s"/>
      <c r="I2310" t="s"/>
      <c r="J2310" t="n">
        <v>0.0248</v>
      </c>
      <c r="K2310" t="n">
        <v>0.08500000000000001</v>
      </c>
      <c r="L2310" t="n">
        <v>0.799</v>
      </c>
      <c r="M2310" t="n">
        <v>0.116</v>
      </c>
    </row>
    <row r="2311" spans="1:13">
      <c r="A2311" s="1">
        <f>HYPERLINK("http://www.twitter.com/NathanBLawrence/status/986556031273709568", "986556031273709568")</f>
        <v/>
      </c>
      <c r="B2311" s="2" t="n">
        <v>43208.44746527778</v>
      </c>
      <c r="C2311" t="n">
        <v>0</v>
      </c>
      <c r="D2311" t="n">
        <v>565</v>
      </c>
      <c r="E2311" t="s">
        <v>2318</v>
      </c>
      <c r="F2311" t="s"/>
      <c r="G2311" t="s"/>
      <c r="H2311" t="s"/>
      <c r="I2311" t="s"/>
      <c r="J2311" t="n">
        <v>0.2001</v>
      </c>
      <c r="K2311" t="n">
        <v>0</v>
      </c>
      <c r="L2311" t="n">
        <v>0.883</v>
      </c>
      <c r="M2311" t="n">
        <v>0.117</v>
      </c>
    </row>
    <row r="2312" spans="1:13">
      <c r="A2312" s="1">
        <f>HYPERLINK("http://www.twitter.com/NathanBLawrence/status/986555635692179461", "986555635692179461")</f>
        <v/>
      </c>
      <c r="B2312" s="2" t="n">
        <v>43208.44637731482</v>
      </c>
      <c r="C2312" t="n">
        <v>0</v>
      </c>
      <c r="D2312" t="n">
        <v>2</v>
      </c>
      <c r="E2312" t="s">
        <v>2319</v>
      </c>
      <c r="F2312" t="s"/>
      <c r="G2312" t="s"/>
      <c r="H2312" t="s"/>
      <c r="I2312" t="s"/>
      <c r="J2312" t="n">
        <v>-0.8442</v>
      </c>
      <c r="K2312" t="n">
        <v>0.349</v>
      </c>
      <c r="L2312" t="n">
        <v>0.651</v>
      </c>
      <c r="M2312" t="n">
        <v>0</v>
      </c>
    </row>
    <row r="2313" spans="1:13">
      <c r="A2313" s="1">
        <f>HYPERLINK("http://www.twitter.com/NathanBLawrence/status/986553846083346432", "986553846083346432")</f>
        <v/>
      </c>
      <c r="B2313" s="2" t="n">
        <v>43208.44143518519</v>
      </c>
      <c r="C2313" t="n">
        <v>0</v>
      </c>
      <c r="D2313" t="n">
        <v>0</v>
      </c>
      <c r="E2313" t="s">
        <v>2320</v>
      </c>
      <c r="F2313" t="s"/>
      <c r="G2313" t="s"/>
      <c r="H2313" t="s"/>
      <c r="I2313" t="s"/>
      <c r="J2313" t="n">
        <v>-0.6697</v>
      </c>
      <c r="K2313" t="n">
        <v>0.207</v>
      </c>
      <c r="L2313" t="n">
        <v>0.793</v>
      </c>
      <c r="M2313" t="n">
        <v>0</v>
      </c>
    </row>
    <row r="2314" spans="1:13">
      <c r="A2314" s="1">
        <f>HYPERLINK("http://www.twitter.com/NathanBLawrence/status/986553349158907904", "986553349158907904")</f>
        <v/>
      </c>
      <c r="B2314" s="2" t="n">
        <v>43208.44006944444</v>
      </c>
      <c r="C2314" t="n">
        <v>8</v>
      </c>
      <c r="D2314" t="n">
        <v>6</v>
      </c>
      <c r="E2314" t="s">
        <v>2321</v>
      </c>
      <c r="F2314" t="s"/>
      <c r="G2314" t="s"/>
      <c r="H2314" t="s"/>
      <c r="I2314" t="s"/>
      <c r="J2314" t="n">
        <v>0.6808</v>
      </c>
      <c r="K2314" t="n">
        <v>0.055</v>
      </c>
      <c r="L2314" t="n">
        <v>0.768</v>
      </c>
      <c r="M2314" t="n">
        <v>0.178</v>
      </c>
    </row>
    <row r="2315" spans="1:13">
      <c r="A2315" s="1">
        <f>HYPERLINK("http://www.twitter.com/NathanBLawrence/status/986550737382641665", "986550737382641665")</f>
        <v/>
      </c>
      <c r="B2315" s="2" t="n">
        <v>43208.4328587963</v>
      </c>
      <c r="C2315" t="n">
        <v>0</v>
      </c>
      <c r="D2315" t="n">
        <v>6</v>
      </c>
      <c r="E2315" t="s">
        <v>2322</v>
      </c>
      <c r="F2315" t="s"/>
      <c r="G2315" t="s"/>
      <c r="H2315" t="s"/>
      <c r="I2315" t="s"/>
      <c r="J2315" t="n">
        <v>0.0323</v>
      </c>
      <c r="K2315" t="n">
        <v>0</v>
      </c>
      <c r="L2315" t="n">
        <v>0.955</v>
      </c>
      <c r="M2315" t="n">
        <v>0.045</v>
      </c>
    </row>
    <row r="2316" spans="1:13">
      <c r="A2316" s="1">
        <f>HYPERLINK("http://www.twitter.com/NathanBLawrence/status/986550674350632962", "986550674350632962")</f>
        <v/>
      </c>
      <c r="B2316" s="2" t="n">
        <v>43208.43268518519</v>
      </c>
      <c r="C2316" t="n">
        <v>0</v>
      </c>
      <c r="D2316" t="n">
        <v>1</v>
      </c>
      <c r="E2316" t="s">
        <v>2323</v>
      </c>
      <c r="F2316" t="s"/>
      <c r="G2316" t="s"/>
      <c r="H2316" t="s"/>
      <c r="I2316" t="s"/>
      <c r="J2316" t="n">
        <v>0.6369</v>
      </c>
      <c r="K2316" t="n">
        <v>0</v>
      </c>
      <c r="L2316" t="n">
        <v>0.625</v>
      </c>
      <c r="M2316" t="n">
        <v>0.375</v>
      </c>
    </row>
    <row r="2317" spans="1:13">
      <c r="A2317" s="1">
        <f>HYPERLINK("http://www.twitter.com/NathanBLawrence/status/986550305159557121", "986550305159557121")</f>
        <v/>
      </c>
      <c r="B2317" s="2" t="n">
        <v>43208.43166666666</v>
      </c>
      <c r="C2317" t="n">
        <v>10</v>
      </c>
      <c r="D2317" t="n">
        <v>7</v>
      </c>
      <c r="E2317" t="s">
        <v>2324</v>
      </c>
      <c r="F2317" t="s"/>
      <c r="G2317" t="s"/>
      <c r="H2317" t="s"/>
      <c r="I2317" t="s"/>
      <c r="J2317" t="n">
        <v>-0.8313</v>
      </c>
      <c r="K2317" t="n">
        <v>0.17</v>
      </c>
      <c r="L2317" t="n">
        <v>0.83</v>
      </c>
      <c r="M2317" t="n">
        <v>0</v>
      </c>
    </row>
    <row r="2318" spans="1:13">
      <c r="A2318" s="1">
        <f>HYPERLINK("http://www.twitter.com/NathanBLawrence/status/986547539158732800", "986547539158732800")</f>
        <v/>
      </c>
      <c r="B2318" s="2" t="n">
        <v>43208.42403935185</v>
      </c>
      <c r="C2318" t="n">
        <v>0</v>
      </c>
      <c r="D2318" t="n">
        <v>1</v>
      </c>
      <c r="E2318" t="s">
        <v>2325</v>
      </c>
      <c r="F2318">
        <f>HYPERLINK("http://pbs.twimg.com/media/DbDKgsKXcAArQLv.jpg", "http://pbs.twimg.com/media/DbDKgsKXcAArQLv.jpg")</f>
        <v/>
      </c>
      <c r="G2318" t="s"/>
      <c r="H2318" t="s"/>
      <c r="I2318" t="s"/>
      <c r="J2318" t="n">
        <v>0.5574</v>
      </c>
      <c r="K2318" t="n">
        <v>0</v>
      </c>
      <c r="L2318" t="n">
        <v>0.806</v>
      </c>
      <c r="M2318" t="n">
        <v>0.194</v>
      </c>
    </row>
    <row r="2319" spans="1:13">
      <c r="A2319" s="1">
        <f>HYPERLINK("http://www.twitter.com/NathanBLawrence/status/986546501987065856", "986546501987065856")</f>
        <v/>
      </c>
      <c r="B2319" s="2" t="n">
        <v>43208.42116898148</v>
      </c>
      <c r="C2319" t="n">
        <v>0</v>
      </c>
      <c r="D2319" t="n">
        <v>0</v>
      </c>
      <c r="E2319" t="s">
        <v>2326</v>
      </c>
      <c r="F2319" t="s"/>
      <c r="G2319" t="s"/>
      <c r="H2319" t="s"/>
      <c r="I2319" t="s"/>
      <c r="J2319" t="n">
        <v>-0.2263</v>
      </c>
      <c r="K2319" t="n">
        <v>0.083</v>
      </c>
      <c r="L2319" t="n">
        <v>0.864</v>
      </c>
      <c r="M2319" t="n">
        <v>0.053</v>
      </c>
    </row>
    <row r="2320" spans="1:13">
      <c r="A2320" s="1">
        <f>HYPERLINK("http://www.twitter.com/NathanBLawrence/status/986544007353372672", "986544007353372672")</f>
        <v/>
      </c>
      <c r="B2320" s="2" t="n">
        <v>43208.41429398148</v>
      </c>
      <c r="C2320" t="n">
        <v>0</v>
      </c>
      <c r="D2320" t="n">
        <v>6</v>
      </c>
      <c r="E2320" t="s">
        <v>2327</v>
      </c>
      <c r="F2320" t="s"/>
      <c r="G2320" t="s"/>
      <c r="H2320" t="s"/>
      <c r="I2320" t="s"/>
      <c r="J2320" t="n">
        <v>0.128</v>
      </c>
      <c r="K2320" t="n">
        <v>0.092</v>
      </c>
      <c r="L2320" t="n">
        <v>0.795</v>
      </c>
      <c r="M2320" t="n">
        <v>0.113</v>
      </c>
    </row>
    <row r="2321" spans="1:13">
      <c r="A2321" s="1">
        <f>HYPERLINK("http://www.twitter.com/NathanBLawrence/status/986543930132127744", "986543930132127744")</f>
        <v/>
      </c>
      <c r="B2321" s="2" t="n">
        <v>43208.41407407408</v>
      </c>
      <c r="C2321" t="n">
        <v>0</v>
      </c>
      <c r="D2321" t="n">
        <v>8</v>
      </c>
      <c r="E2321" t="s">
        <v>2328</v>
      </c>
      <c r="F2321" t="s"/>
      <c r="G2321" t="s"/>
      <c r="H2321" t="s"/>
      <c r="I2321" t="s"/>
      <c r="J2321" t="n">
        <v>0</v>
      </c>
      <c r="K2321" t="n">
        <v>0</v>
      </c>
      <c r="L2321" t="n">
        <v>1</v>
      </c>
      <c r="M2321" t="n">
        <v>0</v>
      </c>
    </row>
    <row r="2322" spans="1:13">
      <c r="A2322" s="1">
        <f>HYPERLINK("http://www.twitter.com/NathanBLawrence/status/986543725114425345", "986543725114425345")</f>
        <v/>
      </c>
      <c r="B2322" s="2" t="n">
        <v>43208.41350694445</v>
      </c>
      <c r="C2322" t="n">
        <v>0</v>
      </c>
      <c r="D2322" t="n">
        <v>5</v>
      </c>
      <c r="E2322" t="s">
        <v>2329</v>
      </c>
      <c r="F2322" t="s"/>
      <c r="G2322" t="s"/>
      <c r="H2322" t="s"/>
      <c r="I2322" t="s"/>
      <c r="J2322" t="n">
        <v>0.3382</v>
      </c>
      <c r="K2322" t="n">
        <v>0</v>
      </c>
      <c r="L2322" t="n">
        <v>0.893</v>
      </c>
      <c r="M2322" t="n">
        <v>0.107</v>
      </c>
    </row>
    <row r="2323" spans="1:13">
      <c r="A2323" s="1">
        <f>HYPERLINK("http://www.twitter.com/NathanBLawrence/status/986543173781434368", "986543173781434368")</f>
        <v/>
      </c>
      <c r="B2323" s="2" t="n">
        <v>43208.41199074074</v>
      </c>
      <c r="C2323" t="n">
        <v>0</v>
      </c>
      <c r="D2323" t="n">
        <v>3</v>
      </c>
      <c r="E2323" t="s">
        <v>2330</v>
      </c>
      <c r="F2323" t="s"/>
      <c r="G2323" t="s"/>
      <c r="H2323" t="s"/>
      <c r="I2323" t="s"/>
      <c r="J2323" t="n">
        <v>-0.5106000000000001</v>
      </c>
      <c r="K2323" t="n">
        <v>0.13</v>
      </c>
      <c r="L2323" t="n">
        <v>0.87</v>
      </c>
      <c r="M2323" t="n">
        <v>0</v>
      </c>
    </row>
    <row r="2324" spans="1:13">
      <c r="A2324" s="1">
        <f>HYPERLINK("http://www.twitter.com/NathanBLawrence/status/986411073225089024", "986411073225089024")</f>
        <v/>
      </c>
      <c r="B2324" s="2" t="n">
        <v>43208.04746527778</v>
      </c>
      <c r="C2324" t="n">
        <v>0</v>
      </c>
      <c r="D2324" t="n">
        <v>22</v>
      </c>
      <c r="E2324" t="s">
        <v>2331</v>
      </c>
      <c r="F2324" t="s"/>
      <c r="G2324" t="s"/>
      <c r="H2324" t="s"/>
      <c r="I2324" t="s"/>
      <c r="J2324" t="n">
        <v>0.6037</v>
      </c>
      <c r="K2324" t="n">
        <v>0</v>
      </c>
      <c r="L2324" t="n">
        <v>0.859</v>
      </c>
      <c r="M2324" t="n">
        <v>0.141</v>
      </c>
    </row>
    <row r="2325" spans="1:13">
      <c r="A2325" s="1">
        <f>HYPERLINK("http://www.twitter.com/NathanBLawrence/status/986407147901718533", "986407147901718533")</f>
        <v/>
      </c>
      <c r="B2325" s="2" t="n">
        <v>43208.03663194444</v>
      </c>
      <c r="C2325" t="n">
        <v>0</v>
      </c>
      <c r="D2325" t="n">
        <v>9</v>
      </c>
      <c r="E2325" t="s">
        <v>2332</v>
      </c>
      <c r="F2325" t="s"/>
      <c r="G2325" t="s"/>
      <c r="H2325" t="s"/>
      <c r="I2325" t="s"/>
      <c r="J2325" t="n">
        <v>0.7717000000000001</v>
      </c>
      <c r="K2325" t="n">
        <v>0</v>
      </c>
      <c r="L2325" t="n">
        <v>0.6909999999999999</v>
      </c>
      <c r="M2325" t="n">
        <v>0.309</v>
      </c>
    </row>
    <row r="2326" spans="1:13">
      <c r="A2326" s="1">
        <f>HYPERLINK("http://www.twitter.com/NathanBLawrence/status/986404931342086145", "986404931342086145")</f>
        <v/>
      </c>
      <c r="B2326" s="2" t="n">
        <v>43208.03050925926</v>
      </c>
      <c r="C2326" t="n">
        <v>1</v>
      </c>
      <c r="D2326" t="n">
        <v>0</v>
      </c>
      <c r="E2326" t="s">
        <v>2333</v>
      </c>
      <c r="F2326" t="s"/>
      <c r="G2326" t="s"/>
      <c r="H2326" t="s"/>
      <c r="I2326" t="s"/>
      <c r="J2326" t="n">
        <v>0</v>
      </c>
      <c r="K2326" t="n">
        <v>0</v>
      </c>
      <c r="L2326" t="n">
        <v>1</v>
      </c>
      <c r="M2326" t="n">
        <v>0</v>
      </c>
    </row>
    <row r="2327" spans="1:13">
      <c r="A2327" s="1">
        <f>HYPERLINK("http://www.twitter.com/NathanBLawrence/status/986404689028763649", "986404689028763649")</f>
        <v/>
      </c>
      <c r="B2327" s="2" t="n">
        <v>43208.02984953704</v>
      </c>
      <c r="C2327" t="n">
        <v>6</v>
      </c>
      <c r="D2327" t="n">
        <v>3</v>
      </c>
      <c r="E2327" t="s">
        <v>2334</v>
      </c>
      <c r="F2327" t="s"/>
      <c r="G2327" t="s"/>
      <c r="H2327" t="s"/>
      <c r="I2327" t="s"/>
      <c r="J2327" t="n">
        <v>0.4199</v>
      </c>
      <c r="K2327" t="n">
        <v>0</v>
      </c>
      <c r="L2327" t="n">
        <v>0.6820000000000001</v>
      </c>
      <c r="M2327" t="n">
        <v>0.318</v>
      </c>
    </row>
    <row r="2328" spans="1:13">
      <c r="A2328" s="1">
        <f>HYPERLINK("http://www.twitter.com/NathanBLawrence/status/986404170646376449", "986404170646376449")</f>
        <v/>
      </c>
      <c r="B2328" s="2" t="n">
        <v>43208.02841435185</v>
      </c>
      <c r="C2328" t="n">
        <v>0</v>
      </c>
      <c r="D2328" t="n">
        <v>9</v>
      </c>
      <c r="E2328" t="s">
        <v>2335</v>
      </c>
      <c r="F2328" t="s"/>
      <c r="G2328" t="s"/>
      <c r="H2328" t="s"/>
      <c r="I2328" t="s"/>
      <c r="J2328" t="n">
        <v>0.1695</v>
      </c>
      <c r="K2328" t="n">
        <v>0</v>
      </c>
      <c r="L2328" t="n">
        <v>0.926</v>
      </c>
      <c r="M2328" t="n">
        <v>0.074</v>
      </c>
    </row>
    <row r="2329" spans="1:13">
      <c r="A2329" s="1">
        <f>HYPERLINK("http://www.twitter.com/NathanBLawrence/status/986401901494272001", "986401901494272001")</f>
        <v/>
      </c>
      <c r="B2329" s="2" t="n">
        <v>43208.02215277778</v>
      </c>
      <c r="C2329" t="n">
        <v>0</v>
      </c>
      <c r="D2329" t="n">
        <v>0</v>
      </c>
      <c r="E2329" t="s">
        <v>2336</v>
      </c>
      <c r="F2329" t="s"/>
      <c r="G2329" t="s"/>
      <c r="H2329" t="s"/>
      <c r="I2329" t="s"/>
      <c r="J2329" t="n">
        <v>-0.7269</v>
      </c>
      <c r="K2329" t="n">
        <v>0.244</v>
      </c>
      <c r="L2329" t="n">
        <v>0.756</v>
      </c>
      <c r="M2329" t="n">
        <v>0</v>
      </c>
    </row>
    <row r="2330" spans="1:13">
      <c r="A2330" s="1">
        <f>HYPERLINK("http://www.twitter.com/NathanBLawrence/status/986383392366317569", "986383392366317569")</f>
        <v/>
      </c>
      <c r="B2330" s="2" t="n">
        <v>43207.97107638889</v>
      </c>
      <c r="C2330" t="n">
        <v>2</v>
      </c>
      <c r="D2330" t="n">
        <v>0</v>
      </c>
      <c r="E2330" t="s">
        <v>2337</v>
      </c>
      <c r="F2330" t="s"/>
      <c r="G2330" t="s"/>
      <c r="H2330" t="s"/>
      <c r="I2330" t="s"/>
      <c r="J2330" t="n">
        <v>0.9423</v>
      </c>
      <c r="K2330" t="n">
        <v>0</v>
      </c>
      <c r="L2330" t="n">
        <v>0.68</v>
      </c>
      <c r="M2330" t="n">
        <v>0.32</v>
      </c>
    </row>
    <row r="2331" spans="1:13">
      <c r="A2331" s="1">
        <f>HYPERLINK("http://www.twitter.com/NathanBLawrence/status/986378987667587072", "986378987667587072")</f>
        <v/>
      </c>
      <c r="B2331" s="2" t="n">
        <v>43207.95892361111</v>
      </c>
      <c r="C2331" t="n">
        <v>0</v>
      </c>
      <c r="D2331" t="n">
        <v>0</v>
      </c>
      <c r="E2331" t="s">
        <v>2338</v>
      </c>
      <c r="F2331" t="s"/>
      <c r="G2331" t="s"/>
      <c r="H2331" t="s"/>
      <c r="I2331" t="s"/>
      <c r="J2331" t="n">
        <v>0</v>
      </c>
      <c r="K2331" t="n">
        <v>0</v>
      </c>
      <c r="L2331" t="n">
        <v>1</v>
      </c>
      <c r="M2331" t="n">
        <v>0</v>
      </c>
    </row>
    <row r="2332" spans="1:13">
      <c r="A2332" s="1">
        <f>HYPERLINK("http://www.twitter.com/NathanBLawrence/status/986366815248011264", "986366815248011264")</f>
        <v/>
      </c>
      <c r="B2332" s="2" t="n">
        <v>43207.92533564815</v>
      </c>
      <c r="C2332" t="n">
        <v>0</v>
      </c>
      <c r="D2332" t="n">
        <v>0</v>
      </c>
      <c r="E2332" t="s">
        <v>2339</v>
      </c>
      <c r="F2332" t="s"/>
      <c r="G2332" t="s"/>
      <c r="H2332" t="s"/>
      <c r="I2332" t="s"/>
      <c r="J2332" t="n">
        <v>0</v>
      </c>
      <c r="K2332" t="n">
        <v>0</v>
      </c>
      <c r="L2332" t="n">
        <v>1</v>
      </c>
      <c r="M2332" t="n">
        <v>0</v>
      </c>
    </row>
    <row r="2333" spans="1:13">
      <c r="A2333" s="1">
        <f>HYPERLINK("http://www.twitter.com/NathanBLawrence/status/986364450293866496", "986364450293866496")</f>
        <v/>
      </c>
      <c r="B2333" s="2" t="n">
        <v>43207.91880787037</v>
      </c>
      <c r="C2333" t="n">
        <v>1</v>
      </c>
      <c r="D2333" t="n">
        <v>1</v>
      </c>
      <c r="E2333" t="s">
        <v>2340</v>
      </c>
      <c r="F2333" t="s"/>
      <c r="G2333" t="s"/>
      <c r="H2333" t="s"/>
      <c r="I2333" t="s"/>
      <c r="J2333" t="n">
        <v>-0.1027</v>
      </c>
      <c r="K2333" t="n">
        <v>0.15</v>
      </c>
      <c r="L2333" t="n">
        <v>0.738</v>
      </c>
      <c r="M2333" t="n">
        <v>0.112</v>
      </c>
    </row>
    <row r="2334" spans="1:13">
      <c r="A2334" s="1">
        <f>HYPERLINK("http://www.twitter.com/NathanBLawrence/status/986362629391372291", "986362629391372291")</f>
        <v/>
      </c>
      <c r="B2334" s="2" t="n">
        <v>43207.91378472222</v>
      </c>
      <c r="C2334" t="n">
        <v>0</v>
      </c>
      <c r="D2334" t="n">
        <v>9</v>
      </c>
      <c r="E2334" t="s">
        <v>2341</v>
      </c>
      <c r="F2334" t="s"/>
      <c r="G2334" t="s"/>
      <c r="H2334" t="s"/>
      <c r="I2334" t="s"/>
      <c r="J2334" t="n">
        <v>0.3818</v>
      </c>
      <c r="K2334" t="n">
        <v>0</v>
      </c>
      <c r="L2334" t="n">
        <v>0.89</v>
      </c>
      <c r="M2334" t="n">
        <v>0.11</v>
      </c>
    </row>
    <row r="2335" spans="1:13">
      <c r="A2335" s="1">
        <f>HYPERLINK("http://www.twitter.com/NathanBLawrence/status/986359544153591810", "986359544153591810")</f>
        <v/>
      </c>
      <c r="B2335" s="2" t="n">
        <v>43207.90526620371</v>
      </c>
      <c r="C2335" t="n">
        <v>0</v>
      </c>
      <c r="D2335" t="n">
        <v>0</v>
      </c>
      <c r="E2335" t="s">
        <v>2342</v>
      </c>
      <c r="F2335" t="s"/>
      <c r="G2335" t="s"/>
      <c r="H2335" t="s"/>
      <c r="I2335" t="s"/>
      <c r="J2335" t="n">
        <v>0.3612</v>
      </c>
      <c r="K2335" t="n">
        <v>0</v>
      </c>
      <c r="L2335" t="n">
        <v>0.783</v>
      </c>
      <c r="M2335" t="n">
        <v>0.217</v>
      </c>
    </row>
    <row r="2336" spans="1:13">
      <c r="A2336" s="1">
        <f>HYPERLINK("http://www.twitter.com/NathanBLawrence/status/986358603270508544", "986358603270508544")</f>
        <v/>
      </c>
      <c r="B2336" s="2" t="n">
        <v>43207.90267361111</v>
      </c>
      <c r="C2336" t="n">
        <v>4</v>
      </c>
      <c r="D2336" t="n">
        <v>2</v>
      </c>
      <c r="E2336" t="s">
        <v>2343</v>
      </c>
      <c r="F2336" t="s"/>
      <c r="G2336" t="s"/>
      <c r="H2336" t="s"/>
      <c r="I2336" t="s"/>
      <c r="J2336" t="n">
        <v>0</v>
      </c>
      <c r="K2336" t="n">
        <v>0</v>
      </c>
      <c r="L2336" t="n">
        <v>1</v>
      </c>
      <c r="M2336" t="n">
        <v>0</v>
      </c>
    </row>
    <row r="2337" spans="1:13">
      <c r="A2337" s="1">
        <f>HYPERLINK("http://www.twitter.com/NathanBLawrence/status/986356595356553217", "986356595356553217")</f>
        <v/>
      </c>
      <c r="B2337" s="2" t="n">
        <v>43207.89712962963</v>
      </c>
      <c r="C2337" t="n">
        <v>0</v>
      </c>
      <c r="D2337" t="n">
        <v>0</v>
      </c>
      <c r="E2337" t="s">
        <v>2344</v>
      </c>
      <c r="F2337" t="s"/>
      <c r="G2337" t="s"/>
      <c r="H2337" t="s"/>
      <c r="I2337" t="s"/>
      <c r="J2337" t="n">
        <v>0</v>
      </c>
      <c r="K2337" t="n">
        <v>0</v>
      </c>
      <c r="L2337" t="n">
        <v>1</v>
      </c>
      <c r="M2337" t="n">
        <v>0</v>
      </c>
    </row>
    <row r="2338" spans="1:13">
      <c r="A2338" s="1">
        <f>HYPERLINK("http://www.twitter.com/NathanBLawrence/status/986356514372947968", "986356514372947968")</f>
        <v/>
      </c>
      <c r="B2338" s="2" t="n">
        <v>43207.89690972222</v>
      </c>
      <c r="C2338" t="n">
        <v>0</v>
      </c>
      <c r="D2338" t="n">
        <v>0</v>
      </c>
      <c r="E2338" t="s">
        <v>2345</v>
      </c>
      <c r="F2338" t="s"/>
      <c r="G2338" t="s"/>
      <c r="H2338" t="s"/>
      <c r="I2338" t="s"/>
      <c r="J2338" t="n">
        <v>0</v>
      </c>
      <c r="K2338" t="n">
        <v>0</v>
      </c>
      <c r="L2338" t="n">
        <v>1</v>
      </c>
      <c r="M2338" t="n">
        <v>0</v>
      </c>
    </row>
    <row r="2339" spans="1:13">
      <c r="A2339" s="1">
        <f>HYPERLINK("http://www.twitter.com/NathanBLawrence/status/986355108790366208", "986355108790366208")</f>
        <v/>
      </c>
      <c r="B2339" s="2" t="n">
        <v>43207.89303240741</v>
      </c>
      <c r="C2339" t="n">
        <v>0</v>
      </c>
      <c r="D2339" t="n">
        <v>11</v>
      </c>
      <c r="E2339" t="s">
        <v>1908</v>
      </c>
      <c r="F2339">
        <f>HYPERLINK("http://pbs.twimg.com/media/DbA8EUHX0AYtv-T.jpg", "http://pbs.twimg.com/media/DbA8EUHX0AYtv-T.jpg")</f>
        <v/>
      </c>
      <c r="G2339" t="s"/>
      <c r="H2339" t="s"/>
      <c r="I2339" t="s"/>
      <c r="J2339" t="n">
        <v>0.8201000000000001</v>
      </c>
      <c r="K2339" t="n">
        <v>0</v>
      </c>
      <c r="L2339" t="n">
        <v>0.643</v>
      </c>
      <c r="M2339" t="n">
        <v>0.357</v>
      </c>
    </row>
    <row r="2340" spans="1:13">
      <c r="A2340" s="1">
        <f>HYPERLINK("http://www.twitter.com/NathanBLawrence/status/986343949026635776", "986343949026635776")</f>
        <v/>
      </c>
      <c r="B2340" s="2" t="n">
        <v>43207.8622337963</v>
      </c>
      <c r="C2340" t="n">
        <v>0</v>
      </c>
      <c r="D2340" t="n">
        <v>2</v>
      </c>
      <c r="E2340" t="s">
        <v>2346</v>
      </c>
      <c r="F2340" t="s"/>
      <c r="G2340" t="s"/>
      <c r="H2340" t="s"/>
      <c r="I2340" t="s"/>
      <c r="J2340" t="n">
        <v>0.4588</v>
      </c>
      <c r="K2340" t="n">
        <v>0.096</v>
      </c>
      <c r="L2340" t="n">
        <v>0.6919999999999999</v>
      </c>
      <c r="M2340" t="n">
        <v>0.212</v>
      </c>
    </row>
    <row r="2341" spans="1:13">
      <c r="A2341" s="1">
        <f>HYPERLINK("http://www.twitter.com/NathanBLawrence/status/986341774204522497", "986341774204522497")</f>
        <v/>
      </c>
      <c r="B2341" s="2" t="n">
        <v>43207.85622685185</v>
      </c>
      <c r="C2341" t="n">
        <v>0</v>
      </c>
      <c r="D2341" t="n">
        <v>20</v>
      </c>
      <c r="E2341" t="s">
        <v>2347</v>
      </c>
      <c r="F2341" t="s"/>
      <c r="G2341" t="s"/>
      <c r="H2341" t="s"/>
      <c r="I2341" t="s"/>
      <c r="J2341" t="n">
        <v>-0.25</v>
      </c>
      <c r="K2341" t="n">
        <v>0.157</v>
      </c>
      <c r="L2341" t="n">
        <v>0.726</v>
      </c>
      <c r="M2341" t="n">
        <v>0.117</v>
      </c>
    </row>
    <row r="2342" spans="1:13">
      <c r="A2342" s="1">
        <f>HYPERLINK("http://www.twitter.com/NathanBLawrence/status/986341739043655682", "986341739043655682")</f>
        <v/>
      </c>
      <c r="B2342" s="2" t="n">
        <v>43207.85613425926</v>
      </c>
      <c r="C2342" t="n">
        <v>0</v>
      </c>
      <c r="D2342" t="n">
        <v>0</v>
      </c>
      <c r="E2342" t="s">
        <v>2348</v>
      </c>
      <c r="F2342" t="s"/>
      <c r="G2342" t="s"/>
      <c r="H2342" t="s"/>
      <c r="I2342" t="s"/>
      <c r="J2342" t="n">
        <v>0.7562</v>
      </c>
      <c r="K2342" t="n">
        <v>0</v>
      </c>
      <c r="L2342" t="n">
        <v>0.553</v>
      </c>
      <c r="M2342" t="n">
        <v>0.447</v>
      </c>
    </row>
    <row r="2343" spans="1:13">
      <c r="A2343" s="1">
        <f>HYPERLINK("http://www.twitter.com/NathanBLawrence/status/986339610325372928", "986339610325372928")</f>
        <v/>
      </c>
      <c r="B2343" s="2" t="n">
        <v>43207.85026620371</v>
      </c>
      <c r="C2343" t="n">
        <v>1</v>
      </c>
      <c r="D2343" t="n">
        <v>0</v>
      </c>
      <c r="E2343" t="s">
        <v>2349</v>
      </c>
      <c r="F2343" t="s"/>
      <c r="G2343" t="s"/>
      <c r="H2343" t="s"/>
      <c r="I2343" t="s"/>
      <c r="J2343" t="n">
        <v>0</v>
      </c>
      <c r="K2343" t="n">
        <v>0</v>
      </c>
      <c r="L2343" t="n">
        <v>1</v>
      </c>
      <c r="M2343" t="n">
        <v>0</v>
      </c>
    </row>
    <row r="2344" spans="1:13">
      <c r="A2344" s="1">
        <f>HYPERLINK("http://www.twitter.com/NathanBLawrence/status/986336217632559104", "986336217632559104")</f>
        <v/>
      </c>
      <c r="B2344" s="2" t="n">
        <v>43207.84090277777</v>
      </c>
      <c r="C2344" t="n">
        <v>0</v>
      </c>
      <c r="D2344" t="n">
        <v>2</v>
      </c>
      <c r="E2344" t="s">
        <v>2350</v>
      </c>
      <c r="F2344" t="s"/>
      <c r="G2344" t="s"/>
      <c r="H2344" t="s"/>
      <c r="I2344" t="s"/>
      <c r="J2344" t="n">
        <v>-0.296</v>
      </c>
      <c r="K2344" t="n">
        <v>0.239</v>
      </c>
      <c r="L2344" t="n">
        <v>0.761</v>
      </c>
      <c r="M2344" t="n">
        <v>0</v>
      </c>
    </row>
    <row r="2345" spans="1:13">
      <c r="A2345" s="1">
        <f>HYPERLINK("http://www.twitter.com/NathanBLawrence/status/986323102744367104", "986323102744367104")</f>
        <v/>
      </c>
      <c r="B2345" s="2" t="n">
        <v>43207.80471064815</v>
      </c>
      <c r="C2345" t="n">
        <v>6</v>
      </c>
      <c r="D2345" t="n">
        <v>4</v>
      </c>
      <c r="E2345" t="s">
        <v>2351</v>
      </c>
      <c r="F2345" t="s"/>
      <c r="G2345" t="s"/>
      <c r="H2345" t="s"/>
      <c r="I2345" t="s"/>
      <c r="J2345" t="n">
        <v>0</v>
      </c>
      <c r="K2345" t="n">
        <v>0</v>
      </c>
      <c r="L2345" t="n">
        <v>1</v>
      </c>
      <c r="M2345" t="n">
        <v>0</v>
      </c>
    </row>
    <row r="2346" spans="1:13">
      <c r="A2346" s="1">
        <f>HYPERLINK("http://www.twitter.com/NathanBLawrence/status/986322449829593093", "986322449829593093")</f>
        <v/>
      </c>
      <c r="B2346" s="2" t="n">
        <v>43207.80290509259</v>
      </c>
      <c r="C2346" t="n">
        <v>0</v>
      </c>
      <c r="D2346" t="n">
        <v>0</v>
      </c>
      <c r="E2346" t="s">
        <v>2352</v>
      </c>
      <c r="F2346" t="s"/>
      <c r="G2346" t="s"/>
      <c r="H2346" t="s"/>
      <c r="I2346" t="s"/>
      <c r="J2346" t="n">
        <v>0</v>
      </c>
      <c r="K2346" t="n">
        <v>0</v>
      </c>
      <c r="L2346" t="n">
        <v>1</v>
      </c>
      <c r="M2346" t="n">
        <v>0</v>
      </c>
    </row>
    <row r="2347" spans="1:13">
      <c r="A2347" s="1">
        <f>HYPERLINK("http://www.twitter.com/NathanBLawrence/status/986322215619657729", "986322215619657729")</f>
        <v/>
      </c>
      <c r="B2347" s="2" t="n">
        <v>43207.80225694444</v>
      </c>
      <c r="C2347" t="n">
        <v>0</v>
      </c>
      <c r="D2347" t="n">
        <v>0</v>
      </c>
      <c r="E2347" t="s">
        <v>2353</v>
      </c>
      <c r="F2347" t="s"/>
      <c r="G2347" t="s"/>
      <c r="H2347" t="s"/>
      <c r="I2347" t="s"/>
      <c r="J2347" t="n">
        <v>0.5423</v>
      </c>
      <c r="K2347" t="n">
        <v>0</v>
      </c>
      <c r="L2347" t="n">
        <v>0.526</v>
      </c>
      <c r="M2347" t="n">
        <v>0.474</v>
      </c>
    </row>
    <row r="2348" spans="1:13">
      <c r="A2348" s="1">
        <f>HYPERLINK("http://www.twitter.com/NathanBLawrence/status/986321519092600832", "986321519092600832")</f>
        <v/>
      </c>
      <c r="B2348" s="2" t="n">
        <v>43207.80033564815</v>
      </c>
      <c r="C2348" t="n">
        <v>0</v>
      </c>
      <c r="D2348" t="n">
        <v>0</v>
      </c>
      <c r="E2348" t="s">
        <v>2354</v>
      </c>
      <c r="F2348" t="s"/>
      <c r="G2348" t="s"/>
      <c r="H2348" t="s"/>
      <c r="I2348" t="s"/>
      <c r="J2348" t="n">
        <v>0</v>
      </c>
      <c r="K2348" t="n">
        <v>0</v>
      </c>
      <c r="L2348" t="n">
        <v>1</v>
      </c>
      <c r="M2348" t="n">
        <v>0</v>
      </c>
    </row>
    <row r="2349" spans="1:13">
      <c r="A2349" s="1">
        <f>HYPERLINK("http://www.twitter.com/NathanBLawrence/status/986321414289592323", "986321414289592323")</f>
        <v/>
      </c>
      <c r="B2349" s="2" t="n">
        <v>43207.8000462963</v>
      </c>
      <c r="C2349" t="n">
        <v>0</v>
      </c>
      <c r="D2349" t="n">
        <v>0</v>
      </c>
      <c r="E2349" t="s">
        <v>2355</v>
      </c>
      <c r="F2349" t="s"/>
      <c r="G2349" t="s"/>
      <c r="H2349" t="s"/>
      <c r="I2349" t="s"/>
      <c r="J2349" t="n">
        <v>0</v>
      </c>
      <c r="K2349" t="n">
        <v>0</v>
      </c>
      <c r="L2349" t="n">
        <v>1</v>
      </c>
      <c r="M2349" t="n">
        <v>0</v>
      </c>
    </row>
    <row r="2350" spans="1:13">
      <c r="A2350" s="1">
        <f>HYPERLINK("http://www.twitter.com/NathanBLawrence/status/986318593104273408", "986318593104273408")</f>
        <v/>
      </c>
      <c r="B2350" s="2" t="n">
        <v>43207.79226851852</v>
      </c>
      <c r="C2350" t="n">
        <v>0</v>
      </c>
      <c r="D2350" t="n">
        <v>17</v>
      </c>
      <c r="E2350" t="s">
        <v>2356</v>
      </c>
      <c r="F2350">
        <f>HYPERLINK("http://pbs.twimg.com/media/DbAbQXpVQAA9epm.jpg", "http://pbs.twimg.com/media/DbAbQXpVQAA9epm.jpg")</f>
        <v/>
      </c>
      <c r="G2350" t="s"/>
      <c r="H2350" t="s"/>
      <c r="I2350" t="s"/>
      <c r="J2350" t="n">
        <v>0</v>
      </c>
      <c r="K2350" t="n">
        <v>0</v>
      </c>
      <c r="L2350" t="n">
        <v>1</v>
      </c>
      <c r="M2350" t="n">
        <v>0</v>
      </c>
    </row>
    <row r="2351" spans="1:13">
      <c r="A2351" s="1">
        <f>HYPERLINK("http://www.twitter.com/NathanBLawrence/status/986318261527678978", "986318261527678978")</f>
        <v/>
      </c>
      <c r="B2351" s="2" t="n">
        <v>43207.79135416666</v>
      </c>
      <c r="C2351" t="n">
        <v>0</v>
      </c>
      <c r="D2351" t="n">
        <v>0</v>
      </c>
      <c r="E2351" t="s">
        <v>2357</v>
      </c>
      <c r="F2351" t="s"/>
      <c r="G2351" t="s"/>
      <c r="H2351" t="s"/>
      <c r="I2351" t="s"/>
      <c r="J2351" t="n">
        <v>-0.4588</v>
      </c>
      <c r="K2351" t="n">
        <v>0.176</v>
      </c>
      <c r="L2351" t="n">
        <v>0.824</v>
      </c>
      <c r="M2351" t="n">
        <v>0</v>
      </c>
    </row>
    <row r="2352" spans="1:13">
      <c r="A2352" s="1">
        <f>HYPERLINK("http://www.twitter.com/NathanBLawrence/status/986317898888204288", "986317898888204288")</f>
        <v/>
      </c>
      <c r="B2352" s="2" t="n">
        <v>43207.79034722222</v>
      </c>
      <c r="C2352" t="n">
        <v>0</v>
      </c>
      <c r="D2352" t="n">
        <v>3</v>
      </c>
      <c r="E2352" t="s">
        <v>2358</v>
      </c>
      <c r="F2352" t="s"/>
      <c r="G2352" t="s"/>
      <c r="H2352" t="s"/>
      <c r="I2352" t="s"/>
      <c r="J2352" t="n">
        <v>0.128</v>
      </c>
      <c r="K2352" t="n">
        <v>0.123</v>
      </c>
      <c r="L2352" t="n">
        <v>0.731</v>
      </c>
      <c r="M2352" t="n">
        <v>0.146</v>
      </c>
    </row>
    <row r="2353" spans="1:13">
      <c r="A2353" s="1">
        <f>HYPERLINK("http://www.twitter.com/NathanBLawrence/status/986314002258169857", "986314002258169857")</f>
        <v/>
      </c>
      <c r="B2353" s="2" t="n">
        <v>43207.77959490741</v>
      </c>
      <c r="C2353" t="n">
        <v>0</v>
      </c>
      <c r="D2353" t="n">
        <v>17</v>
      </c>
      <c r="E2353" t="s">
        <v>2359</v>
      </c>
      <c r="F2353">
        <f>HYPERLINK("http://pbs.twimg.com/media/DbAWBSHWsAA6OEZ.jpg", "http://pbs.twimg.com/media/DbAWBSHWsAA6OEZ.jpg")</f>
        <v/>
      </c>
      <c r="G2353" t="s"/>
      <c r="H2353" t="s"/>
      <c r="I2353" t="s"/>
      <c r="J2353" t="n">
        <v>0</v>
      </c>
      <c r="K2353" t="n">
        <v>0</v>
      </c>
      <c r="L2353" t="n">
        <v>1</v>
      </c>
      <c r="M2353" t="n">
        <v>0</v>
      </c>
    </row>
    <row r="2354" spans="1:13">
      <c r="A2354" s="1">
        <f>HYPERLINK("http://www.twitter.com/NathanBLawrence/status/986308580440788993", "986308580440788993")</f>
        <v/>
      </c>
      <c r="B2354" s="2" t="n">
        <v>43207.76462962963</v>
      </c>
      <c r="C2354" t="n">
        <v>0</v>
      </c>
      <c r="D2354" t="n">
        <v>13</v>
      </c>
      <c r="E2354" t="s">
        <v>2360</v>
      </c>
      <c r="F2354">
        <f>HYPERLINK("http://pbs.twimg.com/media/DbARwtlW4AAMmsg.jpg", "http://pbs.twimg.com/media/DbARwtlW4AAMmsg.jpg")</f>
        <v/>
      </c>
      <c r="G2354" t="s"/>
      <c r="H2354" t="s"/>
      <c r="I2354" t="s"/>
      <c r="J2354" t="n">
        <v>0</v>
      </c>
      <c r="K2354" t="n">
        <v>0</v>
      </c>
      <c r="L2354" t="n">
        <v>1</v>
      </c>
      <c r="M2354" t="n">
        <v>0</v>
      </c>
    </row>
    <row r="2355" spans="1:13">
      <c r="A2355" s="1">
        <f>HYPERLINK("http://www.twitter.com/NathanBLawrence/status/986301579589545985", "986301579589545985")</f>
        <v/>
      </c>
      <c r="B2355" s="2" t="n">
        <v>43207.7453125</v>
      </c>
      <c r="C2355" t="n">
        <v>3</v>
      </c>
      <c r="D2355" t="n">
        <v>2</v>
      </c>
      <c r="E2355" t="s">
        <v>2361</v>
      </c>
      <c r="F2355" t="s"/>
      <c r="G2355" t="s"/>
      <c r="H2355" t="s"/>
      <c r="I2355" t="s"/>
      <c r="J2355" t="n">
        <v>-0.466</v>
      </c>
      <c r="K2355" t="n">
        <v>0.149</v>
      </c>
      <c r="L2355" t="n">
        <v>0.78</v>
      </c>
      <c r="M2355" t="n">
        <v>0.07000000000000001</v>
      </c>
    </row>
    <row r="2356" spans="1:13">
      <c r="A2356" s="1">
        <f>HYPERLINK("http://www.twitter.com/NathanBLawrence/status/986300143430438913", "986300143430438913")</f>
        <v/>
      </c>
      <c r="B2356" s="2" t="n">
        <v>43207.74135416667</v>
      </c>
      <c r="C2356" t="n">
        <v>0</v>
      </c>
      <c r="D2356" t="n">
        <v>14</v>
      </c>
      <c r="E2356" t="s">
        <v>2362</v>
      </c>
      <c r="F2356" t="s"/>
      <c r="G2356" t="s"/>
      <c r="H2356" t="s"/>
      <c r="I2356" t="s"/>
      <c r="J2356" t="n">
        <v>-0.4939</v>
      </c>
      <c r="K2356" t="n">
        <v>0.132</v>
      </c>
      <c r="L2356" t="n">
        <v>0.868</v>
      </c>
      <c r="M2356" t="n">
        <v>0</v>
      </c>
    </row>
    <row r="2357" spans="1:13">
      <c r="A2357" s="1">
        <f>HYPERLINK("http://www.twitter.com/NathanBLawrence/status/986299988534849536", "986299988534849536")</f>
        <v/>
      </c>
      <c r="B2357" s="2" t="n">
        <v>43207.74092592593</v>
      </c>
      <c r="C2357" t="n">
        <v>0</v>
      </c>
      <c r="D2357" t="n">
        <v>0</v>
      </c>
      <c r="E2357" t="s">
        <v>2363</v>
      </c>
      <c r="F2357" t="s"/>
      <c r="G2357" t="s"/>
      <c r="H2357" t="s"/>
      <c r="I2357" t="s"/>
      <c r="J2357" t="n">
        <v>0.4019</v>
      </c>
      <c r="K2357" t="n">
        <v>0</v>
      </c>
      <c r="L2357" t="n">
        <v>0.787</v>
      </c>
      <c r="M2357" t="n">
        <v>0.213</v>
      </c>
    </row>
    <row r="2358" spans="1:13">
      <c r="A2358" s="1">
        <f>HYPERLINK("http://www.twitter.com/NathanBLawrence/status/986298654918103040", "986298654918103040")</f>
        <v/>
      </c>
      <c r="B2358" s="2" t="n">
        <v>43207.73724537037</v>
      </c>
      <c r="C2358" t="n">
        <v>2</v>
      </c>
      <c r="D2358" t="n">
        <v>2</v>
      </c>
      <c r="E2358" t="s">
        <v>2364</v>
      </c>
      <c r="F2358" t="s"/>
      <c r="G2358" t="s"/>
      <c r="H2358" t="s"/>
      <c r="I2358" t="s"/>
      <c r="J2358" t="n">
        <v>-0.7506</v>
      </c>
      <c r="K2358" t="n">
        <v>0.39</v>
      </c>
      <c r="L2358" t="n">
        <v>0.61</v>
      </c>
      <c r="M2358" t="n">
        <v>0</v>
      </c>
    </row>
    <row r="2359" spans="1:13">
      <c r="A2359" s="1">
        <f>HYPERLINK("http://www.twitter.com/NathanBLawrence/status/986298258497703937", "986298258497703937")</f>
        <v/>
      </c>
      <c r="B2359" s="2" t="n">
        <v>43207.73615740741</v>
      </c>
      <c r="C2359" t="n">
        <v>1</v>
      </c>
      <c r="D2359" t="n">
        <v>0</v>
      </c>
      <c r="E2359" t="s">
        <v>2365</v>
      </c>
      <c r="F2359" t="s"/>
      <c r="G2359" t="s"/>
      <c r="H2359" t="s"/>
      <c r="I2359" t="s"/>
      <c r="J2359" t="n">
        <v>-0.4939</v>
      </c>
      <c r="K2359" t="n">
        <v>0.368</v>
      </c>
      <c r="L2359" t="n">
        <v>0.455</v>
      </c>
      <c r="M2359" t="n">
        <v>0.177</v>
      </c>
    </row>
    <row r="2360" spans="1:13">
      <c r="A2360" s="1">
        <f>HYPERLINK("http://www.twitter.com/NathanBLawrence/status/986297623148625921", "986297623148625921")</f>
        <v/>
      </c>
      <c r="B2360" s="2" t="n">
        <v>43207.73439814815</v>
      </c>
      <c r="C2360" t="n">
        <v>4</v>
      </c>
      <c r="D2360" t="n">
        <v>1</v>
      </c>
      <c r="E2360" t="s">
        <v>2366</v>
      </c>
      <c r="F2360" t="s"/>
      <c r="G2360" t="s"/>
      <c r="H2360" t="s"/>
      <c r="I2360" t="s"/>
      <c r="J2360" t="n">
        <v>0.743</v>
      </c>
      <c r="K2360" t="n">
        <v>0</v>
      </c>
      <c r="L2360" t="n">
        <v>0.805</v>
      </c>
      <c r="M2360" t="n">
        <v>0.195</v>
      </c>
    </row>
    <row r="2361" spans="1:13">
      <c r="A2361" s="1">
        <f>HYPERLINK("http://www.twitter.com/NathanBLawrence/status/986296683800743936", "986296683800743936")</f>
        <v/>
      </c>
      <c r="B2361" s="2" t="n">
        <v>43207.73180555556</v>
      </c>
      <c r="C2361" t="n">
        <v>0</v>
      </c>
      <c r="D2361" t="n">
        <v>9</v>
      </c>
      <c r="E2361" t="s">
        <v>2367</v>
      </c>
      <c r="F2361" t="s"/>
      <c r="G2361" t="s"/>
      <c r="H2361" t="s"/>
      <c r="I2361" t="s"/>
      <c r="J2361" t="n">
        <v>0.7438</v>
      </c>
      <c r="K2361" t="n">
        <v>0</v>
      </c>
      <c r="L2361" t="n">
        <v>0.732</v>
      </c>
      <c r="M2361" t="n">
        <v>0.268</v>
      </c>
    </row>
    <row r="2362" spans="1:13">
      <c r="A2362" s="1">
        <f>HYPERLINK("http://www.twitter.com/NathanBLawrence/status/986295724823531520", "986295724823531520")</f>
        <v/>
      </c>
      <c r="B2362" s="2" t="n">
        <v>43207.72915509259</v>
      </c>
      <c r="C2362" t="n">
        <v>0</v>
      </c>
      <c r="D2362" t="n">
        <v>15</v>
      </c>
      <c r="E2362" t="s">
        <v>2368</v>
      </c>
      <c r="F2362" t="s"/>
      <c r="G2362" t="s"/>
      <c r="H2362" t="s"/>
      <c r="I2362" t="s"/>
      <c r="J2362" t="n">
        <v>0</v>
      </c>
      <c r="K2362" t="n">
        <v>0</v>
      </c>
      <c r="L2362" t="n">
        <v>1</v>
      </c>
      <c r="M2362" t="n">
        <v>0</v>
      </c>
    </row>
    <row r="2363" spans="1:13">
      <c r="A2363" s="1">
        <f>HYPERLINK("http://www.twitter.com/NathanBLawrence/status/986295684159680513", "986295684159680513")</f>
        <v/>
      </c>
      <c r="B2363" s="2" t="n">
        <v>43207.72905092593</v>
      </c>
      <c r="C2363" t="n">
        <v>0</v>
      </c>
      <c r="D2363" t="n">
        <v>0</v>
      </c>
      <c r="E2363" t="s">
        <v>2369</v>
      </c>
      <c r="F2363" t="s"/>
      <c r="G2363" t="s"/>
      <c r="H2363" t="s"/>
      <c r="I2363" t="s"/>
      <c r="J2363" t="n">
        <v>-0.0258</v>
      </c>
      <c r="K2363" t="n">
        <v>0.118</v>
      </c>
      <c r="L2363" t="n">
        <v>0.769</v>
      </c>
      <c r="M2363" t="n">
        <v>0.113</v>
      </c>
    </row>
    <row r="2364" spans="1:13">
      <c r="A2364" s="1">
        <f>HYPERLINK("http://www.twitter.com/NathanBLawrence/status/986294629279653888", "986294629279653888")</f>
        <v/>
      </c>
      <c r="B2364" s="2" t="n">
        <v>43207.72613425926</v>
      </c>
      <c r="C2364" t="n">
        <v>0</v>
      </c>
      <c r="D2364" t="n">
        <v>11</v>
      </c>
      <c r="E2364" t="s">
        <v>2370</v>
      </c>
      <c r="F2364" t="s"/>
      <c r="G2364" t="s"/>
      <c r="H2364" t="s"/>
      <c r="I2364" t="s"/>
      <c r="J2364" t="n">
        <v>-0.296</v>
      </c>
      <c r="K2364" t="n">
        <v>0.095</v>
      </c>
      <c r="L2364" t="n">
        <v>0.905</v>
      </c>
      <c r="M2364" t="n">
        <v>0</v>
      </c>
    </row>
    <row r="2365" spans="1:13">
      <c r="A2365" s="1">
        <f>HYPERLINK("http://www.twitter.com/NathanBLawrence/status/986294331387588608", "986294331387588608")</f>
        <v/>
      </c>
      <c r="B2365" s="2" t="n">
        <v>43207.7253125</v>
      </c>
      <c r="C2365" t="n">
        <v>0</v>
      </c>
      <c r="D2365" t="n">
        <v>22</v>
      </c>
      <c r="E2365" t="s">
        <v>2371</v>
      </c>
      <c r="F2365">
        <f>HYPERLINK("http://pbs.twimg.com/media/Da_QmlLUMAMWEiq.jpg", "http://pbs.twimg.com/media/Da_QmlLUMAMWEiq.jpg")</f>
        <v/>
      </c>
      <c r="G2365">
        <f>HYPERLINK("http://pbs.twimg.com/media/Da_QmwuVAAAHokc.jpg", "http://pbs.twimg.com/media/Da_QmwuVAAAHokc.jpg")</f>
        <v/>
      </c>
      <c r="H2365" t="s"/>
      <c r="I2365" t="s"/>
      <c r="J2365" t="n">
        <v>-0.4767</v>
      </c>
      <c r="K2365" t="n">
        <v>0.154</v>
      </c>
      <c r="L2365" t="n">
        <v>0.846</v>
      </c>
      <c r="M2365" t="n">
        <v>0</v>
      </c>
    </row>
    <row r="2366" spans="1:13">
      <c r="A2366" s="1">
        <f>HYPERLINK("http://www.twitter.com/NathanBLawrence/status/986293970631299072", "986293970631299072")</f>
        <v/>
      </c>
      <c r="B2366" s="2" t="n">
        <v>43207.72431712963</v>
      </c>
      <c r="C2366" t="n">
        <v>1</v>
      </c>
      <c r="D2366" t="n">
        <v>0</v>
      </c>
      <c r="E2366" t="s">
        <v>2372</v>
      </c>
      <c r="F2366" t="s"/>
      <c r="G2366" t="s"/>
      <c r="H2366" t="s"/>
      <c r="I2366" t="s"/>
      <c r="J2366" t="n">
        <v>-0.6249</v>
      </c>
      <c r="K2366" t="n">
        <v>0.154</v>
      </c>
      <c r="L2366" t="n">
        <v>0.846</v>
      </c>
      <c r="M2366" t="n">
        <v>0</v>
      </c>
    </row>
    <row r="2367" spans="1:13">
      <c r="A2367" s="1">
        <f>HYPERLINK("http://www.twitter.com/NathanBLawrence/status/986292665858887682", "986292665858887682")</f>
        <v/>
      </c>
      <c r="B2367" s="2" t="n">
        <v>43207.72071759259</v>
      </c>
      <c r="C2367" t="n">
        <v>0</v>
      </c>
      <c r="D2367" t="n">
        <v>1</v>
      </c>
      <c r="E2367" t="s">
        <v>2373</v>
      </c>
      <c r="F2367">
        <f>HYPERLINK("http://pbs.twimg.com/media/DbADbbDUMAAfeBZ.jpg", "http://pbs.twimg.com/media/DbADbbDUMAAfeBZ.jpg")</f>
        <v/>
      </c>
      <c r="G2367" t="s"/>
      <c r="H2367" t="s"/>
      <c r="I2367" t="s"/>
      <c r="J2367" t="n">
        <v>0.2023</v>
      </c>
      <c r="K2367" t="n">
        <v>0</v>
      </c>
      <c r="L2367" t="n">
        <v>0.893</v>
      </c>
      <c r="M2367" t="n">
        <v>0.107</v>
      </c>
    </row>
    <row r="2368" spans="1:13">
      <c r="A2368" s="1">
        <f>HYPERLINK("http://www.twitter.com/NathanBLawrence/status/986292586460655616", "986292586460655616")</f>
        <v/>
      </c>
      <c r="B2368" s="2" t="n">
        <v>43207.72049768519</v>
      </c>
      <c r="C2368" t="n">
        <v>1</v>
      </c>
      <c r="D2368" t="n">
        <v>0</v>
      </c>
      <c r="E2368" t="s">
        <v>2374</v>
      </c>
      <c r="F2368" t="s"/>
      <c r="G2368" t="s"/>
      <c r="H2368" t="s"/>
      <c r="I2368" t="s"/>
      <c r="J2368" t="n">
        <v>0.0772</v>
      </c>
      <c r="K2368" t="n">
        <v>0.183</v>
      </c>
      <c r="L2368" t="n">
        <v>0.609</v>
      </c>
      <c r="M2368" t="n">
        <v>0.209</v>
      </c>
    </row>
    <row r="2369" spans="1:13">
      <c r="A2369" s="1">
        <f>HYPERLINK("http://www.twitter.com/NathanBLawrence/status/986291646550695936", "986291646550695936")</f>
        <v/>
      </c>
      <c r="B2369" s="2" t="n">
        <v>43207.71790509259</v>
      </c>
      <c r="C2369" t="n">
        <v>2</v>
      </c>
      <c r="D2369" t="n">
        <v>0</v>
      </c>
      <c r="E2369" t="s">
        <v>2375</v>
      </c>
      <c r="F2369" t="s"/>
      <c r="G2369" t="s"/>
      <c r="H2369" t="s"/>
      <c r="I2369" t="s"/>
      <c r="J2369" t="n">
        <v>-0.3612</v>
      </c>
      <c r="K2369" t="n">
        <v>0.333</v>
      </c>
      <c r="L2369" t="n">
        <v>0.667</v>
      </c>
      <c r="M2369" t="n">
        <v>0</v>
      </c>
    </row>
    <row r="2370" spans="1:13">
      <c r="A2370" s="1">
        <f>HYPERLINK("http://www.twitter.com/NathanBLawrence/status/986291498550530050", "986291498550530050")</f>
        <v/>
      </c>
      <c r="B2370" s="2" t="n">
        <v>43207.7175</v>
      </c>
      <c r="C2370" t="n">
        <v>0</v>
      </c>
      <c r="D2370" t="n">
        <v>10</v>
      </c>
      <c r="E2370" t="s">
        <v>2376</v>
      </c>
      <c r="F2370" t="s"/>
      <c r="G2370" t="s"/>
      <c r="H2370" t="s"/>
      <c r="I2370" t="s"/>
      <c r="J2370" t="n">
        <v>0</v>
      </c>
      <c r="K2370" t="n">
        <v>0</v>
      </c>
      <c r="L2370" t="n">
        <v>1</v>
      </c>
      <c r="M2370" t="n">
        <v>0</v>
      </c>
    </row>
    <row r="2371" spans="1:13">
      <c r="A2371" s="1">
        <f>HYPERLINK("http://www.twitter.com/NathanBLawrence/status/986291389003595777", "986291389003595777")</f>
        <v/>
      </c>
      <c r="B2371" s="2" t="n">
        <v>43207.71719907408</v>
      </c>
      <c r="C2371" t="n">
        <v>2</v>
      </c>
      <c r="D2371" t="n">
        <v>1</v>
      </c>
      <c r="E2371" t="s">
        <v>2377</v>
      </c>
      <c r="F2371" t="s"/>
      <c r="G2371" t="s"/>
      <c r="H2371" t="s"/>
      <c r="I2371" t="s"/>
      <c r="J2371" t="n">
        <v>0.0076</v>
      </c>
      <c r="K2371" t="n">
        <v>0.22</v>
      </c>
      <c r="L2371" t="n">
        <v>0.5570000000000001</v>
      </c>
      <c r="M2371" t="n">
        <v>0.222</v>
      </c>
    </row>
    <row r="2372" spans="1:13">
      <c r="A2372" s="1">
        <f>HYPERLINK("http://www.twitter.com/NathanBLawrence/status/986290473491947522", "986290473491947522")</f>
        <v/>
      </c>
      <c r="B2372" s="2" t="n">
        <v>43207.71466435185</v>
      </c>
      <c r="C2372" t="n">
        <v>0</v>
      </c>
      <c r="D2372" t="n">
        <v>13</v>
      </c>
      <c r="E2372" t="s">
        <v>2378</v>
      </c>
      <c r="F2372" t="s"/>
      <c r="G2372" t="s"/>
      <c r="H2372" t="s"/>
      <c r="I2372" t="s"/>
      <c r="J2372" t="n">
        <v>-0.6808</v>
      </c>
      <c r="K2372" t="n">
        <v>0.213</v>
      </c>
      <c r="L2372" t="n">
        <v>0.787</v>
      </c>
      <c r="M2372" t="n">
        <v>0</v>
      </c>
    </row>
    <row r="2373" spans="1:13">
      <c r="A2373" s="1">
        <f>HYPERLINK("http://www.twitter.com/NathanBLawrence/status/986285465945956352", "986285465945956352")</f>
        <v/>
      </c>
      <c r="B2373" s="2" t="n">
        <v>43207.70085648148</v>
      </c>
      <c r="C2373" t="n">
        <v>0</v>
      </c>
      <c r="D2373" t="n">
        <v>0</v>
      </c>
      <c r="E2373" t="s">
        <v>2379</v>
      </c>
      <c r="F2373" t="s"/>
      <c r="G2373" t="s"/>
      <c r="H2373" t="s"/>
      <c r="I2373" t="s"/>
      <c r="J2373" t="n">
        <v>0.3818</v>
      </c>
      <c r="K2373" t="n">
        <v>0</v>
      </c>
      <c r="L2373" t="n">
        <v>0.852</v>
      </c>
      <c r="M2373" t="n">
        <v>0.148</v>
      </c>
    </row>
    <row r="2374" spans="1:13">
      <c r="A2374" s="1">
        <f>HYPERLINK("http://www.twitter.com/NathanBLawrence/status/986284904311869440", "986284904311869440")</f>
        <v/>
      </c>
      <c r="B2374" s="2" t="n">
        <v>43207.69930555556</v>
      </c>
      <c r="C2374" t="n">
        <v>0</v>
      </c>
      <c r="D2374" t="n">
        <v>8</v>
      </c>
      <c r="E2374" t="s">
        <v>2380</v>
      </c>
      <c r="F2374" t="s"/>
      <c r="G2374" t="s"/>
      <c r="H2374" t="s"/>
      <c r="I2374" t="s"/>
      <c r="J2374" t="n">
        <v>0.1027</v>
      </c>
      <c r="K2374" t="n">
        <v>0</v>
      </c>
      <c r="L2374" t="n">
        <v>0.949</v>
      </c>
      <c r="M2374" t="n">
        <v>0.051</v>
      </c>
    </row>
    <row r="2375" spans="1:13">
      <c r="A2375" s="1">
        <f>HYPERLINK("http://www.twitter.com/NathanBLawrence/status/986263815057760257", "986263815057760257")</f>
        <v/>
      </c>
      <c r="B2375" s="2" t="n">
        <v>43207.64111111111</v>
      </c>
      <c r="C2375" t="n">
        <v>2</v>
      </c>
      <c r="D2375" t="n">
        <v>0</v>
      </c>
      <c r="E2375" t="s">
        <v>2381</v>
      </c>
      <c r="F2375" t="s"/>
      <c r="G2375" t="s"/>
      <c r="H2375" t="s"/>
      <c r="I2375" t="s"/>
      <c r="J2375" t="n">
        <v>0</v>
      </c>
      <c r="K2375" t="n">
        <v>0</v>
      </c>
      <c r="L2375" t="n">
        <v>1</v>
      </c>
      <c r="M2375" t="n">
        <v>0</v>
      </c>
    </row>
    <row r="2376" spans="1:13">
      <c r="A2376" s="1">
        <f>HYPERLINK("http://www.twitter.com/NathanBLawrence/status/986255259327782912", "986255259327782912")</f>
        <v/>
      </c>
      <c r="B2376" s="2" t="n">
        <v>43207.6175</v>
      </c>
      <c r="C2376" t="n">
        <v>0</v>
      </c>
      <c r="D2376" t="n">
        <v>7</v>
      </c>
      <c r="E2376" t="s">
        <v>2382</v>
      </c>
      <c r="F2376" t="s"/>
      <c r="G2376" t="s"/>
      <c r="H2376" t="s"/>
      <c r="I2376" t="s"/>
      <c r="J2376" t="n">
        <v>0.3182</v>
      </c>
      <c r="K2376" t="n">
        <v>0</v>
      </c>
      <c r="L2376" t="n">
        <v>0.839</v>
      </c>
      <c r="M2376" t="n">
        <v>0.161</v>
      </c>
    </row>
    <row r="2377" spans="1:13">
      <c r="A2377" s="1">
        <f>HYPERLINK("http://www.twitter.com/NathanBLawrence/status/986255142512201729", "986255142512201729")</f>
        <v/>
      </c>
      <c r="B2377" s="2" t="n">
        <v>43207.61717592592</v>
      </c>
      <c r="C2377" t="n">
        <v>0</v>
      </c>
      <c r="D2377" t="n">
        <v>2</v>
      </c>
      <c r="E2377" t="s">
        <v>2383</v>
      </c>
      <c r="F2377" t="s"/>
      <c r="G2377" t="s"/>
      <c r="H2377" t="s"/>
      <c r="I2377" t="s"/>
      <c r="J2377" t="n">
        <v>0</v>
      </c>
      <c r="K2377" t="n">
        <v>0</v>
      </c>
      <c r="L2377" t="n">
        <v>1</v>
      </c>
      <c r="M2377" t="n">
        <v>0</v>
      </c>
    </row>
    <row r="2378" spans="1:13">
      <c r="A2378" s="1">
        <f>HYPERLINK("http://www.twitter.com/NathanBLawrence/status/986254023601917952", "986254023601917952")</f>
        <v/>
      </c>
      <c r="B2378" s="2" t="n">
        <v>43207.61408564815</v>
      </c>
      <c r="C2378" t="n">
        <v>0</v>
      </c>
      <c r="D2378" t="n">
        <v>0</v>
      </c>
      <c r="E2378" t="s">
        <v>2384</v>
      </c>
      <c r="F2378" t="s"/>
      <c r="G2378" t="s"/>
      <c r="H2378" t="s"/>
      <c r="I2378" t="s"/>
      <c r="J2378" t="n">
        <v>0.4215</v>
      </c>
      <c r="K2378" t="n">
        <v>0</v>
      </c>
      <c r="L2378" t="n">
        <v>0.924</v>
      </c>
      <c r="M2378" t="n">
        <v>0.076</v>
      </c>
    </row>
    <row r="2379" spans="1:13">
      <c r="A2379" s="1">
        <f>HYPERLINK("http://www.twitter.com/NathanBLawrence/status/986251674338590720", "986251674338590720")</f>
        <v/>
      </c>
      <c r="B2379" s="2" t="n">
        <v>43207.60760416667</v>
      </c>
      <c r="C2379" t="n">
        <v>0</v>
      </c>
      <c r="D2379" t="n">
        <v>0</v>
      </c>
      <c r="E2379" t="s">
        <v>2385</v>
      </c>
      <c r="F2379" t="s"/>
      <c r="G2379" t="s"/>
      <c r="H2379" t="s"/>
      <c r="I2379" t="s"/>
      <c r="J2379" t="n">
        <v>0.5313</v>
      </c>
      <c r="K2379" t="n">
        <v>0</v>
      </c>
      <c r="L2379" t="n">
        <v>0.612</v>
      </c>
      <c r="M2379" t="n">
        <v>0.388</v>
      </c>
    </row>
    <row r="2380" spans="1:13">
      <c r="A2380" s="1">
        <f>HYPERLINK("http://www.twitter.com/NathanBLawrence/status/986235804182896640", "986235804182896640")</f>
        <v/>
      </c>
      <c r="B2380" s="2" t="n">
        <v>43207.56380787037</v>
      </c>
      <c r="C2380" t="n">
        <v>0</v>
      </c>
      <c r="D2380" t="n">
        <v>32</v>
      </c>
      <c r="E2380" t="s">
        <v>2386</v>
      </c>
      <c r="F2380">
        <f>HYPERLINK("http://pbs.twimg.com/media/Da6ll6QUQAEeT2-.jpg", "http://pbs.twimg.com/media/Da6ll6QUQAEeT2-.jpg")</f>
        <v/>
      </c>
      <c r="G2380">
        <f>HYPERLINK("http://pbs.twimg.com/media/Da6ll6QUQAAOIFW.jpg", "http://pbs.twimg.com/media/Da6ll6QUQAAOIFW.jpg")</f>
        <v/>
      </c>
      <c r="H2380">
        <f>HYPERLINK("http://pbs.twimg.com/media/Da6ll6PU8AAIdWq.jpg", "http://pbs.twimg.com/media/Da6ll6PU8AAIdWq.jpg")</f>
        <v/>
      </c>
      <c r="I2380">
        <f>HYPERLINK("http://pbs.twimg.com/media/Da6ll6PUQAAAO-h.jpg", "http://pbs.twimg.com/media/Da6ll6PUQAAAO-h.jpg")</f>
        <v/>
      </c>
      <c r="J2380" t="n">
        <v>0.2003</v>
      </c>
      <c r="K2380" t="n">
        <v>0.144</v>
      </c>
      <c r="L2380" t="n">
        <v>0.68</v>
      </c>
      <c r="M2380" t="n">
        <v>0.176</v>
      </c>
    </row>
    <row r="2381" spans="1:13">
      <c r="A2381" s="1">
        <f>HYPERLINK("http://www.twitter.com/NathanBLawrence/status/986235707898388480", "986235707898388480")</f>
        <v/>
      </c>
      <c r="B2381" s="2" t="n">
        <v>43207.56354166667</v>
      </c>
      <c r="C2381" t="n">
        <v>1</v>
      </c>
      <c r="D2381" t="n">
        <v>0</v>
      </c>
      <c r="E2381" t="s">
        <v>2387</v>
      </c>
      <c r="F2381" t="s"/>
      <c r="G2381" t="s"/>
      <c r="H2381" t="s"/>
      <c r="I2381" t="s"/>
      <c r="J2381" t="n">
        <v>0</v>
      </c>
      <c r="K2381" t="n">
        <v>0</v>
      </c>
      <c r="L2381" t="n">
        <v>1</v>
      </c>
      <c r="M2381" t="n">
        <v>0</v>
      </c>
    </row>
    <row r="2382" spans="1:13">
      <c r="A2382" s="1">
        <f>HYPERLINK("http://www.twitter.com/NathanBLawrence/status/986234686795079681", "986234686795079681")</f>
        <v/>
      </c>
      <c r="B2382" s="2" t="n">
        <v>43207.56072916667</v>
      </c>
      <c r="C2382" t="n">
        <v>2</v>
      </c>
      <c r="D2382" t="n">
        <v>2</v>
      </c>
      <c r="E2382" t="s">
        <v>2388</v>
      </c>
      <c r="F2382" t="s"/>
      <c r="G2382" t="s"/>
      <c r="H2382" t="s"/>
      <c r="I2382" t="s"/>
      <c r="J2382" t="n">
        <v>-0.0516</v>
      </c>
      <c r="K2382" t="n">
        <v>0.064</v>
      </c>
      <c r="L2382" t="n">
        <v>0.876</v>
      </c>
      <c r="M2382" t="n">
        <v>0.059</v>
      </c>
    </row>
    <row r="2383" spans="1:13">
      <c r="A2383" s="1">
        <f>HYPERLINK("http://www.twitter.com/NathanBLawrence/status/986233980881170432", "986233980881170432")</f>
        <v/>
      </c>
      <c r="B2383" s="2" t="n">
        <v>43207.55878472222</v>
      </c>
      <c r="C2383" t="n">
        <v>0</v>
      </c>
      <c r="D2383" t="n">
        <v>10</v>
      </c>
      <c r="E2383" t="s">
        <v>2389</v>
      </c>
      <c r="F2383" t="s"/>
      <c r="G2383" t="s"/>
      <c r="H2383" t="s"/>
      <c r="I2383" t="s"/>
      <c r="J2383" t="n">
        <v>-0.6249</v>
      </c>
      <c r="K2383" t="n">
        <v>0.215</v>
      </c>
      <c r="L2383" t="n">
        <v>0.728</v>
      </c>
      <c r="M2383" t="n">
        <v>0.057</v>
      </c>
    </row>
    <row r="2384" spans="1:13">
      <c r="A2384" s="1">
        <f>HYPERLINK("http://www.twitter.com/NathanBLawrence/status/986233847389081600", "986233847389081600")</f>
        <v/>
      </c>
      <c r="B2384" s="2" t="n">
        <v>43207.55841435185</v>
      </c>
      <c r="C2384" t="n">
        <v>0</v>
      </c>
      <c r="D2384" t="n">
        <v>22</v>
      </c>
      <c r="E2384" t="s">
        <v>2390</v>
      </c>
      <c r="F2384" t="s"/>
      <c r="G2384" t="s"/>
      <c r="H2384" t="s"/>
      <c r="I2384" t="s"/>
      <c r="J2384" t="n">
        <v>-0.34</v>
      </c>
      <c r="K2384" t="n">
        <v>0.098</v>
      </c>
      <c r="L2384" t="n">
        <v>0.902</v>
      </c>
      <c r="M2384" t="n">
        <v>0</v>
      </c>
    </row>
    <row r="2385" spans="1:13">
      <c r="A2385" s="1">
        <f>HYPERLINK("http://www.twitter.com/NathanBLawrence/status/986230508244914177", "986230508244914177")</f>
        <v/>
      </c>
      <c r="B2385" s="2" t="n">
        <v>43207.54920138889</v>
      </c>
      <c r="C2385" t="n">
        <v>0</v>
      </c>
      <c r="D2385" t="n">
        <v>0</v>
      </c>
      <c r="E2385" t="s">
        <v>2391</v>
      </c>
      <c r="F2385" t="s"/>
      <c r="G2385" t="s"/>
      <c r="H2385" t="s"/>
      <c r="I2385" t="s"/>
      <c r="J2385" t="n">
        <v>-0.4939</v>
      </c>
      <c r="K2385" t="n">
        <v>0.106</v>
      </c>
      <c r="L2385" t="n">
        <v>0.894</v>
      </c>
      <c r="M2385" t="n">
        <v>0</v>
      </c>
    </row>
    <row r="2386" spans="1:13">
      <c r="A2386" s="1">
        <f>HYPERLINK("http://www.twitter.com/NathanBLawrence/status/986229849336532992", "986229849336532992")</f>
        <v/>
      </c>
      <c r="B2386" s="2" t="n">
        <v>43207.54738425926</v>
      </c>
      <c r="C2386" t="n">
        <v>0</v>
      </c>
      <c r="D2386" t="n">
        <v>0</v>
      </c>
      <c r="E2386" t="s">
        <v>2392</v>
      </c>
      <c r="F2386" t="s"/>
      <c r="G2386" t="s"/>
      <c r="H2386" t="s"/>
      <c r="I2386" t="s"/>
      <c r="J2386" t="n">
        <v>-0.2263</v>
      </c>
      <c r="K2386" t="n">
        <v>0.319</v>
      </c>
      <c r="L2386" t="n">
        <v>0.442</v>
      </c>
      <c r="M2386" t="n">
        <v>0.239</v>
      </c>
    </row>
    <row r="2387" spans="1:13">
      <c r="A2387" s="1">
        <f>HYPERLINK("http://www.twitter.com/NathanBLawrence/status/986227583313330177", "986227583313330177")</f>
        <v/>
      </c>
      <c r="B2387" s="2" t="n">
        <v>43207.54112268519</v>
      </c>
      <c r="C2387" t="n">
        <v>8</v>
      </c>
      <c r="D2387" t="n">
        <v>5</v>
      </c>
      <c r="E2387" t="s">
        <v>2393</v>
      </c>
      <c r="F2387" t="s"/>
      <c r="G2387" t="s"/>
      <c r="H2387" t="s"/>
      <c r="I2387" t="s"/>
      <c r="J2387" t="n">
        <v>-0.8398</v>
      </c>
      <c r="K2387" t="n">
        <v>0.221</v>
      </c>
      <c r="L2387" t="n">
        <v>0.725</v>
      </c>
      <c r="M2387" t="n">
        <v>0.054</v>
      </c>
    </row>
    <row r="2388" spans="1:13">
      <c r="A2388" s="1">
        <f>HYPERLINK("http://www.twitter.com/NathanBLawrence/status/986226368844386305", "986226368844386305")</f>
        <v/>
      </c>
      <c r="B2388" s="2" t="n">
        <v>43207.53777777778</v>
      </c>
      <c r="C2388" t="n">
        <v>0</v>
      </c>
      <c r="D2388" t="n">
        <v>9</v>
      </c>
      <c r="E2388" t="s">
        <v>2394</v>
      </c>
      <c r="F2388" t="s"/>
      <c r="G2388" t="s"/>
      <c r="H2388" t="s"/>
      <c r="I2388" t="s"/>
      <c r="J2388" t="n">
        <v>-0.7088</v>
      </c>
      <c r="K2388" t="n">
        <v>0.329</v>
      </c>
      <c r="L2388" t="n">
        <v>0.671</v>
      </c>
      <c r="M2388" t="n">
        <v>0</v>
      </c>
    </row>
    <row r="2389" spans="1:13">
      <c r="A2389" s="1">
        <f>HYPERLINK("http://www.twitter.com/NathanBLawrence/status/986220060116242432", "986220060116242432")</f>
        <v/>
      </c>
      <c r="B2389" s="2" t="n">
        <v>43207.52037037037</v>
      </c>
      <c r="C2389" t="n">
        <v>0</v>
      </c>
      <c r="D2389" t="n">
        <v>0</v>
      </c>
      <c r="E2389" t="s">
        <v>2395</v>
      </c>
      <c r="F2389" t="s"/>
      <c r="G2389" t="s"/>
      <c r="H2389" t="s"/>
      <c r="I2389" t="s"/>
      <c r="J2389" t="n">
        <v>0.8356</v>
      </c>
      <c r="K2389" t="n">
        <v>0</v>
      </c>
      <c r="L2389" t="n">
        <v>0.336</v>
      </c>
      <c r="M2389" t="n">
        <v>0.664</v>
      </c>
    </row>
    <row r="2390" spans="1:13">
      <c r="A2390" s="1">
        <f>HYPERLINK("http://www.twitter.com/NathanBLawrence/status/986219529150910464", "986219529150910464")</f>
        <v/>
      </c>
      <c r="B2390" s="2" t="n">
        <v>43207.51890046296</v>
      </c>
      <c r="C2390" t="n">
        <v>0</v>
      </c>
      <c r="D2390" t="n">
        <v>0</v>
      </c>
      <c r="E2390" t="s">
        <v>2396</v>
      </c>
      <c r="F2390" t="s"/>
      <c r="G2390" t="s"/>
      <c r="H2390" t="s"/>
      <c r="I2390" t="s"/>
      <c r="J2390" t="n">
        <v>0.1027</v>
      </c>
      <c r="K2390" t="n">
        <v>0</v>
      </c>
      <c r="L2390" t="n">
        <v>0.945</v>
      </c>
      <c r="M2390" t="n">
        <v>0.055</v>
      </c>
    </row>
    <row r="2391" spans="1:13">
      <c r="A2391" s="1">
        <f>HYPERLINK("http://www.twitter.com/NathanBLawrence/status/986218368289198080", "986218368289198080")</f>
        <v/>
      </c>
      <c r="B2391" s="2" t="n">
        <v>43207.51569444445</v>
      </c>
      <c r="C2391" t="n">
        <v>6</v>
      </c>
      <c r="D2391" t="n">
        <v>2</v>
      </c>
      <c r="E2391" t="s">
        <v>2397</v>
      </c>
      <c r="F2391" t="s"/>
      <c r="G2391" t="s"/>
      <c r="H2391" t="s"/>
      <c r="I2391" t="s"/>
      <c r="J2391" t="n">
        <v>0.4019</v>
      </c>
      <c r="K2391" t="n">
        <v>0</v>
      </c>
      <c r="L2391" t="n">
        <v>0.891</v>
      </c>
      <c r="M2391" t="n">
        <v>0.109</v>
      </c>
    </row>
    <row r="2392" spans="1:13">
      <c r="A2392" s="1">
        <f>HYPERLINK("http://www.twitter.com/NathanBLawrence/status/986214186962292736", "986214186962292736")</f>
        <v/>
      </c>
      <c r="B2392" s="2" t="n">
        <v>43207.5041550926</v>
      </c>
      <c r="C2392" t="n">
        <v>2</v>
      </c>
      <c r="D2392" t="n">
        <v>0</v>
      </c>
      <c r="E2392" t="s">
        <v>2398</v>
      </c>
      <c r="F2392" t="s"/>
      <c r="G2392" t="s"/>
      <c r="H2392" t="s"/>
      <c r="I2392" t="s"/>
      <c r="J2392" t="n">
        <v>-0.3612</v>
      </c>
      <c r="K2392" t="n">
        <v>0.2</v>
      </c>
      <c r="L2392" t="n">
        <v>0.8</v>
      </c>
      <c r="M2392" t="n">
        <v>0</v>
      </c>
    </row>
    <row r="2393" spans="1:13">
      <c r="A2393" s="1">
        <f>HYPERLINK("http://www.twitter.com/NathanBLawrence/status/986212916679643136", "986212916679643136")</f>
        <v/>
      </c>
      <c r="B2393" s="2" t="n">
        <v>43207.50064814815</v>
      </c>
      <c r="C2393" t="n">
        <v>1</v>
      </c>
      <c r="D2393" t="n">
        <v>0</v>
      </c>
      <c r="E2393" t="s">
        <v>2399</v>
      </c>
      <c r="F2393" t="s"/>
      <c r="G2393" t="s"/>
      <c r="H2393" t="s"/>
      <c r="I2393" t="s"/>
      <c r="J2393" t="n">
        <v>0</v>
      </c>
      <c r="K2393" t="n">
        <v>0</v>
      </c>
      <c r="L2393" t="n">
        <v>1</v>
      </c>
      <c r="M2393" t="n">
        <v>0</v>
      </c>
    </row>
    <row r="2394" spans="1:13">
      <c r="A2394" s="1">
        <f>HYPERLINK("http://www.twitter.com/NathanBLawrence/status/986208068236206081", "986208068236206081")</f>
        <v/>
      </c>
      <c r="B2394" s="2" t="n">
        <v>43207.48726851852</v>
      </c>
      <c r="C2394" t="n">
        <v>0</v>
      </c>
      <c r="D2394" t="n">
        <v>3</v>
      </c>
      <c r="E2394" t="s">
        <v>2400</v>
      </c>
      <c r="F2394" t="s"/>
      <c r="G2394" t="s"/>
      <c r="H2394" t="s"/>
      <c r="I2394" t="s"/>
      <c r="J2394" t="n">
        <v>0.6369</v>
      </c>
      <c r="K2394" t="n">
        <v>0</v>
      </c>
      <c r="L2394" t="n">
        <v>0.769</v>
      </c>
      <c r="M2394" t="n">
        <v>0.231</v>
      </c>
    </row>
    <row r="2395" spans="1:13">
      <c r="A2395" s="1">
        <f>HYPERLINK("http://www.twitter.com/NathanBLawrence/status/986207834168807424", "986207834168807424")</f>
        <v/>
      </c>
      <c r="B2395" s="2" t="n">
        <v>43207.48663194444</v>
      </c>
      <c r="C2395" t="n">
        <v>0</v>
      </c>
      <c r="D2395" t="n">
        <v>5</v>
      </c>
      <c r="E2395" t="s">
        <v>2401</v>
      </c>
      <c r="F2395" t="s"/>
      <c r="G2395" t="s"/>
      <c r="H2395" t="s"/>
      <c r="I2395" t="s"/>
      <c r="J2395" t="n">
        <v>-0.0423</v>
      </c>
      <c r="K2395" t="n">
        <v>0.095</v>
      </c>
      <c r="L2395" t="n">
        <v>0.8179999999999999</v>
      </c>
      <c r="M2395" t="n">
        <v>0.08799999999999999</v>
      </c>
    </row>
    <row r="2396" spans="1:13">
      <c r="A2396" s="1">
        <f>HYPERLINK("http://www.twitter.com/NathanBLawrence/status/986207114438770688", "986207114438770688")</f>
        <v/>
      </c>
      <c r="B2396" s="2" t="n">
        <v>43207.4846412037</v>
      </c>
      <c r="C2396" t="n">
        <v>3</v>
      </c>
      <c r="D2396" t="n">
        <v>2</v>
      </c>
      <c r="E2396" t="s">
        <v>2402</v>
      </c>
      <c r="F2396" t="s"/>
      <c r="G2396" t="s"/>
      <c r="H2396" t="s"/>
      <c r="I2396" t="s"/>
      <c r="J2396" t="n">
        <v>-0.9287</v>
      </c>
      <c r="K2396" t="n">
        <v>0.349</v>
      </c>
      <c r="L2396" t="n">
        <v>0.593</v>
      </c>
      <c r="M2396" t="n">
        <v>0.058</v>
      </c>
    </row>
    <row r="2397" spans="1:13">
      <c r="A2397" s="1">
        <f>HYPERLINK("http://www.twitter.com/NathanBLawrence/status/986205631064526848", "986205631064526848")</f>
        <v/>
      </c>
      <c r="B2397" s="2" t="n">
        <v>43207.48054398148</v>
      </c>
      <c r="C2397" t="n">
        <v>0</v>
      </c>
      <c r="D2397" t="n">
        <v>0</v>
      </c>
      <c r="E2397" t="s">
        <v>2403</v>
      </c>
      <c r="F2397" t="s"/>
      <c r="G2397" t="s"/>
      <c r="H2397" t="s"/>
      <c r="I2397" t="s"/>
      <c r="J2397" t="n">
        <v>0</v>
      </c>
      <c r="K2397" t="n">
        <v>0</v>
      </c>
      <c r="L2397" t="n">
        <v>1</v>
      </c>
      <c r="M2397" t="n">
        <v>0</v>
      </c>
    </row>
    <row r="2398" spans="1:13">
      <c r="A2398" s="1">
        <f>HYPERLINK("http://www.twitter.com/NathanBLawrence/status/986202683651645441", "986202683651645441")</f>
        <v/>
      </c>
      <c r="B2398" s="2" t="n">
        <v>43207.47241898148</v>
      </c>
      <c r="C2398" t="n">
        <v>1</v>
      </c>
      <c r="D2398" t="n">
        <v>0</v>
      </c>
      <c r="E2398" t="s">
        <v>2404</v>
      </c>
      <c r="F2398" t="s"/>
      <c r="G2398" t="s"/>
      <c r="H2398" t="s"/>
      <c r="I2398" t="s"/>
      <c r="J2398" t="n">
        <v>0</v>
      </c>
      <c r="K2398" t="n">
        <v>0</v>
      </c>
      <c r="L2398" t="n">
        <v>1</v>
      </c>
      <c r="M2398" t="n">
        <v>0</v>
      </c>
    </row>
    <row r="2399" spans="1:13">
      <c r="A2399" s="1">
        <f>HYPERLINK("http://www.twitter.com/NathanBLawrence/status/986195539137048576", "986195539137048576")</f>
        <v/>
      </c>
      <c r="B2399" s="2" t="n">
        <v>43207.45269675926</v>
      </c>
      <c r="C2399" t="n">
        <v>0</v>
      </c>
      <c r="D2399" t="n">
        <v>0</v>
      </c>
      <c r="E2399" t="s">
        <v>2405</v>
      </c>
      <c r="F2399" t="s"/>
      <c r="G2399" t="s"/>
      <c r="H2399" t="s"/>
      <c r="I2399" t="s"/>
      <c r="J2399" t="n">
        <v>0.296</v>
      </c>
      <c r="K2399" t="n">
        <v>0</v>
      </c>
      <c r="L2399" t="n">
        <v>0.855</v>
      </c>
      <c r="M2399" t="n">
        <v>0.145</v>
      </c>
    </row>
    <row r="2400" spans="1:13">
      <c r="A2400" s="1">
        <f>HYPERLINK("http://www.twitter.com/NathanBLawrence/status/986195079265218560", "986195079265218560")</f>
        <v/>
      </c>
      <c r="B2400" s="2" t="n">
        <v>43207.45143518518</v>
      </c>
      <c r="C2400" t="n">
        <v>1</v>
      </c>
      <c r="D2400" t="n">
        <v>0</v>
      </c>
      <c r="E2400" t="s">
        <v>2406</v>
      </c>
      <c r="F2400" t="s"/>
      <c r="G2400" t="s"/>
      <c r="H2400" t="s"/>
      <c r="I2400" t="s"/>
      <c r="J2400" t="n">
        <v>0.128</v>
      </c>
      <c r="K2400" t="n">
        <v>0.148</v>
      </c>
      <c r="L2400" t="n">
        <v>0.694</v>
      </c>
      <c r="M2400" t="n">
        <v>0.158</v>
      </c>
    </row>
    <row r="2401" spans="1:13">
      <c r="A2401" s="1">
        <f>HYPERLINK("http://www.twitter.com/NathanBLawrence/status/986194267314978816", "986194267314978816")</f>
        <v/>
      </c>
      <c r="B2401" s="2" t="n">
        <v>43207.44918981481</v>
      </c>
      <c r="C2401" t="n">
        <v>3</v>
      </c>
      <c r="D2401" t="n">
        <v>0</v>
      </c>
      <c r="E2401" t="s">
        <v>2407</v>
      </c>
      <c r="F2401" t="s"/>
      <c r="G2401" t="s"/>
      <c r="H2401" t="s"/>
      <c r="I2401" t="s"/>
      <c r="J2401" t="n">
        <v>0.2732</v>
      </c>
      <c r="K2401" t="n">
        <v>0.108</v>
      </c>
      <c r="L2401" t="n">
        <v>0.6929999999999999</v>
      </c>
      <c r="M2401" t="n">
        <v>0.199</v>
      </c>
    </row>
    <row r="2402" spans="1:13">
      <c r="A2402" s="1">
        <f>HYPERLINK("http://www.twitter.com/NathanBLawrence/status/986193235423977472", "986193235423977472")</f>
        <v/>
      </c>
      <c r="B2402" s="2" t="n">
        <v>43207.44634259259</v>
      </c>
      <c r="C2402" t="n">
        <v>1</v>
      </c>
      <c r="D2402" t="n">
        <v>0</v>
      </c>
      <c r="E2402" t="s">
        <v>2408</v>
      </c>
      <c r="F2402" t="s"/>
      <c r="G2402" t="s"/>
      <c r="H2402" t="s"/>
      <c r="I2402" t="s"/>
      <c r="J2402" t="n">
        <v>0.6369</v>
      </c>
      <c r="K2402" t="n">
        <v>0</v>
      </c>
      <c r="L2402" t="n">
        <v>0.714</v>
      </c>
      <c r="M2402" t="n">
        <v>0.286</v>
      </c>
    </row>
    <row r="2403" spans="1:13">
      <c r="A2403" s="1">
        <f>HYPERLINK("http://www.twitter.com/NathanBLawrence/status/986188605835108352", "986188605835108352")</f>
        <v/>
      </c>
      <c r="B2403" s="2" t="n">
        <v>43207.43356481481</v>
      </c>
      <c r="C2403" t="n">
        <v>1</v>
      </c>
      <c r="D2403" t="n">
        <v>1</v>
      </c>
      <c r="E2403" t="s">
        <v>2409</v>
      </c>
      <c r="F2403" t="s"/>
      <c r="G2403" t="s"/>
      <c r="H2403" t="s"/>
      <c r="I2403" t="s"/>
      <c r="J2403" t="n">
        <v>0</v>
      </c>
      <c r="K2403" t="n">
        <v>0</v>
      </c>
      <c r="L2403" t="n">
        <v>1</v>
      </c>
      <c r="M2403" t="n">
        <v>0</v>
      </c>
    </row>
    <row r="2404" spans="1:13">
      <c r="A2404" s="1">
        <f>HYPERLINK("http://www.twitter.com/NathanBLawrence/status/986184424478990338", "986184424478990338")</f>
        <v/>
      </c>
      <c r="B2404" s="2" t="n">
        <v>43207.42202546296</v>
      </c>
      <c r="C2404" t="n">
        <v>12</v>
      </c>
      <c r="D2404" t="n">
        <v>3</v>
      </c>
      <c r="E2404" t="s">
        <v>2410</v>
      </c>
      <c r="F2404" t="s"/>
      <c r="G2404" t="s"/>
      <c r="H2404" t="s"/>
      <c r="I2404" t="s"/>
      <c r="J2404" t="n">
        <v>0.3397</v>
      </c>
      <c r="K2404" t="n">
        <v>0.117</v>
      </c>
      <c r="L2404" t="n">
        <v>0.655</v>
      </c>
      <c r="M2404" t="n">
        <v>0.229</v>
      </c>
    </row>
    <row r="2405" spans="1:13">
      <c r="A2405" s="1">
        <f>HYPERLINK("http://www.twitter.com/NathanBLawrence/status/986183085254377472", "986183085254377472")</f>
        <v/>
      </c>
      <c r="B2405" s="2" t="n">
        <v>43207.41833333333</v>
      </c>
      <c r="C2405" t="n">
        <v>4</v>
      </c>
      <c r="D2405" t="n">
        <v>2</v>
      </c>
      <c r="E2405" t="s">
        <v>2411</v>
      </c>
      <c r="F2405" t="s"/>
      <c r="G2405" t="s"/>
      <c r="H2405" t="s"/>
      <c r="I2405" t="s"/>
      <c r="J2405" t="n">
        <v>-0.3814</v>
      </c>
      <c r="K2405" t="n">
        <v>0.199</v>
      </c>
      <c r="L2405" t="n">
        <v>0.703</v>
      </c>
      <c r="M2405" t="n">
        <v>0.098</v>
      </c>
    </row>
    <row r="2406" spans="1:13">
      <c r="A2406" s="1">
        <f>HYPERLINK("http://www.twitter.com/NathanBLawrence/status/986182166735474688", "986182166735474688")</f>
        <v/>
      </c>
      <c r="B2406" s="2" t="n">
        <v>43207.41579861111</v>
      </c>
      <c r="C2406" t="n">
        <v>0</v>
      </c>
      <c r="D2406" t="n">
        <v>12</v>
      </c>
      <c r="E2406" t="s">
        <v>2412</v>
      </c>
      <c r="F2406" t="s"/>
      <c r="G2406" t="s"/>
      <c r="H2406" t="s"/>
      <c r="I2406" t="s"/>
      <c r="J2406" t="n">
        <v>-0.34</v>
      </c>
      <c r="K2406" t="n">
        <v>0.103</v>
      </c>
      <c r="L2406" t="n">
        <v>0.897</v>
      </c>
      <c r="M2406" t="n">
        <v>0</v>
      </c>
    </row>
    <row r="2407" spans="1:13">
      <c r="A2407" s="1">
        <f>HYPERLINK("http://www.twitter.com/NathanBLawrence/status/986181870885974016", "986181870885974016")</f>
        <v/>
      </c>
      <c r="B2407" s="2" t="n">
        <v>43207.41498842592</v>
      </c>
      <c r="C2407" t="n">
        <v>1</v>
      </c>
      <c r="D2407" t="n">
        <v>0</v>
      </c>
      <c r="E2407" t="s">
        <v>2413</v>
      </c>
      <c r="F2407" t="s"/>
      <c r="G2407" t="s"/>
      <c r="H2407" t="s"/>
      <c r="I2407" t="s"/>
      <c r="J2407" t="n">
        <v>-0.2195</v>
      </c>
      <c r="K2407" t="n">
        <v>0.198</v>
      </c>
      <c r="L2407" t="n">
        <v>0.636</v>
      </c>
      <c r="M2407" t="n">
        <v>0.166</v>
      </c>
    </row>
    <row r="2408" spans="1:13">
      <c r="A2408" s="1">
        <f>HYPERLINK("http://www.twitter.com/NathanBLawrence/status/986099305495842817", "986099305495842817")</f>
        <v/>
      </c>
      <c r="B2408" s="2" t="n">
        <v>43207.18714120371</v>
      </c>
      <c r="C2408" t="n">
        <v>0</v>
      </c>
      <c r="D2408" t="n">
        <v>2</v>
      </c>
      <c r="E2408" t="s">
        <v>2414</v>
      </c>
      <c r="F2408" t="s"/>
      <c r="G2408" t="s"/>
      <c r="H2408" t="s"/>
      <c r="I2408" t="s"/>
      <c r="J2408" t="n">
        <v>-0.34</v>
      </c>
      <c r="K2408" t="n">
        <v>0.123</v>
      </c>
      <c r="L2408" t="n">
        <v>0.8080000000000001</v>
      </c>
      <c r="M2408" t="n">
        <v>0.06900000000000001</v>
      </c>
    </row>
    <row r="2409" spans="1:13">
      <c r="A2409" s="1">
        <f>HYPERLINK("http://www.twitter.com/NathanBLawrence/status/986099202945175552", "986099202945175552")</f>
        <v/>
      </c>
      <c r="B2409" s="2" t="n">
        <v>43207.18686342592</v>
      </c>
      <c r="C2409" t="n">
        <v>0</v>
      </c>
      <c r="D2409" t="n">
        <v>2</v>
      </c>
      <c r="E2409" t="s">
        <v>2415</v>
      </c>
      <c r="F2409" t="s"/>
      <c r="G2409" t="s"/>
      <c r="H2409" t="s"/>
      <c r="I2409" t="s"/>
      <c r="J2409" t="n">
        <v>-0.1531</v>
      </c>
      <c r="K2409" t="n">
        <v>0.082</v>
      </c>
      <c r="L2409" t="n">
        <v>0.918</v>
      </c>
      <c r="M2409" t="n">
        <v>0</v>
      </c>
    </row>
    <row r="2410" spans="1:13">
      <c r="A2410" s="1">
        <f>HYPERLINK("http://www.twitter.com/NathanBLawrence/status/986099090382520320", "986099090382520320")</f>
        <v/>
      </c>
      <c r="B2410" s="2" t="n">
        <v>43207.18655092592</v>
      </c>
      <c r="C2410" t="n">
        <v>0</v>
      </c>
      <c r="D2410" t="n">
        <v>1</v>
      </c>
      <c r="E2410" t="s">
        <v>2416</v>
      </c>
      <c r="F2410" t="s"/>
      <c r="G2410" t="s"/>
      <c r="H2410" t="s"/>
      <c r="I2410" t="s"/>
      <c r="J2410" t="n">
        <v>-0.7351</v>
      </c>
      <c r="K2410" t="n">
        <v>0.22</v>
      </c>
      <c r="L2410" t="n">
        <v>0.78</v>
      </c>
      <c r="M2410" t="n">
        <v>0</v>
      </c>
    </row>
    <row r="2411" spans="1:13">
      <c r="A2411" s="1">
        <f>HYPERLINK("http://www.twitter.com/NathanBLawrence/status/986098789181198337", "986098789181198337")</f>
        <v/>
      </c>
      <c r="B2411" s="2" t="n">
        <v>43207.18571759259</v>
      </c>
      <c r="C2411" t="n">
        <v>0</v>
      </c>
      <c r="D2411" t="n">
        <v>2</v>
      </c>
      <c r="E2411" t="s">
        <v>2417</v>
      </c>
      <c r="F2411" t="s"/>
      <c r="G2411" t="s"/>
      <c r="H2411" t="s"/>
      <c r="I2411" t="s"/>
      <c r="J2411" t="n">
        <v>0.296</v>
      </c>
      <c r="K2411" t="n">
        <v>0</v>
      </c>
      <c r="L2411" t="n">
        <v>0.905</v>
      </c>
      <c r="M2411" t="n">
        <v>0.095</v>
      </c>
    </row>
    <row r="2412" spans="1:13">
      <c r="A2412" s="1">
        <f>HYPERLINK("http://www.twitter.com/NathanBLawrence/status/986097848398774272", "986097848398774272")</f>
        <v/>
      </c>
      <c r="B2412" s="2" t="n">
        <v>43207.183125</v>
      </c>
      <c r="C2412" t="n">
        <v>0</v>
      </c>
      <c r="D2412" t="n">
        <v>3</v>
      </c>
      <c r="E2412" t="s">
        <v>2418</v>
      </c>
      <c r="F2412" t="s"/>
      <c r="G2412" t="s"/>
      <c r="H2412" t="s"/>
      <c r="I2412" t="s"/>
      <c r="J2412" t="n">
        <v>-0.409</v>
      </c>
      <c r="K2412" t="n">
        <v>0.281</v>
      </c>
      <c r="L2412" t="n">
        <v>0.512</v>
      </c>
      <c r="M2412" t="n">
        <v>0.207</v>
      </c>
    </row>
    <row r="2413" spans="1:13">
      <c r="A2413" s="1">
        <f>HYPERLINK("http://www.twitter.com/NathanBLawrence/status/986097825091026944", "986097825091026944")</f>
        <v/>
      </c>
      <c r="B2413" s="2" t="n">
        <v>43207.18305555556</v>
      </c>
      <c r="C2413" t="n">
        <v>0</v>
      </c>
      <c r="D2413" t="n">
        <v>0</v>
      </c>
      <c r="E2413" t="s">
        <v>2419</v>
      </c>
      <c r="F2413" t="s"/>
      <c r="G2413" t="s"/>
      <c r="H2413" t="s"/>
      <c r="I2413" t="s"/>
      <c r="J2413" t="n">
        <v>0</v>
      </c>
      <c r="K2413" t="n">
        <v>0</v>
      </c>
      <c r="L2413" t="n">
        <v>1</v>
      </c>
      <c r="M2413" t="n">
        <v>0</v>
      </c>
    </row>
    <row r="2414" spans="1:13">
      <c r="A2414" s="1">
        <f>HYPERLINK("http://www.twitter.com/NathanBLawrence/status/986092223409291269", "986092223409291269")</f>
        <v/>
      </c>
      <c r="B2414" s="2" t="n">
        <v>43207.16760416667</v>
      </c>
      <c r="C2414" t="n">
        <v>0</v>
      </c>
      <c r="D2414" t="n">
        <v>9</v>
      </c>
      <c r="E2414" t="s">
        <v>2420</v>
      </c>
      <c r="F2414">
        <f>HYPERLINK("http://pbs.twimg.com/media/Daw7LNSVMAAdETz.jpg", "http://pbs.twimg.com/media/Daw7LNSVMAAdETz.jpg")</f>
        <v/>
      </c>
      <c r="G2414" t="s"/>
      <c r="H2414" t="s"/>
      <c r="I2414" t="s"/>
      <c r="J2414" t="n">
        <v>0</v>
      </c>
      <c r="K2414" t="n">
        <v>0</v>
      </c>
      <c r="L2414" t="n">
        <v>1</v>
      </c>
      <c r="M2414" t="n">
        <v>0</v>
      </c>
    </row>
    <row r="2415" spans="1:13">
      <c r="A2415" s="1">
        <f>HYPERLINK("http://www.twitter.com/NathanBLawrence/status/986084142302617602", "986084142302617602")</f>
        <v/>
      </c>
      <c r="B2415" s="2" t="n">
        <v>43207.14530092593</v>
      </c>
      <c r="C2415" t="n">
        <v>0</v>
      </c>
      <c r="D2415" t="n">
        <v>2</v>
      </c>
      <c r="E2415" t="s">
        <v>2421</v>
      </c>
      <c r="F2415" t="s"/>
      <c r="G2415" t="s"/>
      <c r="H2415" t="s"/>
      <c r="I2415" t="s"/>
      <c r="J2415" t="n">
        <v>0.2732</v>
      </c>
      <c r="K2415" t="n">
        <v>0.114</v>
      </c>
      <c r="L2415" t="n">
        <v>0.733</v>
      </c>
      <c r="M2415" t="n">
        <v>0.154</v>
      </c>
    </row>
    <row r="2416" spans="1:13">
      <c r="A2416" s="1">
        <f>HYPERLINK("http://www.twitter.com/NathanBLawrence/status/986076177277378561", "986076177277378561")</f>
        <v/>
      </c>
      <c r="B2416" s="2" t="n">
        <v>43207.12332175926</v>
      </c>
      <c r="C2416" t="n">
        <v>1</v>
      </c>
      <c r="D2416" t="n">
        <v>0</v>
      </c>
      <c r="E2416" t="s">
        <v>2422</v>
      </c>
      <c r="F2416" t="s"/>
      <c r="G2416" t="s"/>
      <c r="H2416" t="s"/>
      <c r="I2416" t="s"/>
      <c r="J2416" t="n">
        <v>0.658</v>
      </c>
      <c r="K2416" t="n">
        <v>0.058</v>
      </c>
      <c r="L2416" t="n">
        <v>0.725</v>
      </c>
      <c r="M2416" t="n">
        <v>0.217</v>
      </c>
    </row>
    <row r="2417" spans="1:13">
      <c r="A2417" s="1">
        <f>HYPERLINK("http://www.twitter.com/NathanBLawrence/status/986066088818507776", "986066088818507776")</f>
        <v/>
      </c>
      <c r="B2417" s="2" t="n">
        <v>43207.09548611111</v>
      </c>
      <c r="C2417" t="n">
        <v>2</v>
      </c>
      <c r="D2417" t="n">
        <v>0</v>
      </c>
      <c r="E2417" t="s">
        <v>2423</v>
      </c>
      <c r="F2417" t="s"/>
      <c r="G2417" t="s"/>
      <c r="H2417" t="s"/>
      <c r="I2417" t="s"/>
      <c r="J2417" t="n">
        <v>0</v>
      </c>
      <c r="K2417" t="n">
        <v>0</v>
      </c>
      <c r="L2417" t="n">
        <v>1</v>
      </c>
      <c r="M2417" t="n">
        <v>0</v>
      </c>
    </row>
    <row r="2418" spans="1:13">
      <c r="A2418" s="1">
        <f>HYPERLINK("http://www.twitter.com/NathanBLawrence/status/986061108120301573", "986061108120301573")</f>
        <v/>
      </c>
      <c r="B2418" s="2" t="n">
        <v>43207.08173611111</v>
      </c>
      <c r="C2418" t="n">
        <v>0</v>
      </c>
      <c r="D2418" t="n">
        <v>0</v>
      </c>
      <c r="E2418" t="s">
        <v>2424</v>
      </c>
      <c r="F2418" t="s"/>
      <c r="G2418" t="s"/>
      <c r="H2418" t="s"/>
      <c r="I2418" t="s"/>
      <c r="J2418" t="n">
        <v>0.2023</v>
      </c>
      <c r="K2418" t="n">
        <v>0.144</v>
      </c>
      <c r="L2418" t="n">
        <v>0.625</v>
      </c>
      <c r="M2418" t="n">
        <v>0.231</v>
      </c>
    </row>
    <row r="2419" spans="1:13">
      <c r="A2419" s="1">
        <f>HYPERLINK("http://www.twitter.com/NathanBLawrence/status/986057608749551617", "986057608749551617")</f>
        <v/>
      </c>
      <c r="B2419" s="2" t="n">
        <v>43207.07208333333</v>
      </c>
      <c r="C2419" t="n">
        <v>0</v>
      </c>
      <c r="D2419" t="n">
        <v>5</v>
      </c>
      <c r="E2419" t="s">
        <v>2425</v>
      </c>
      <c r="F2419" t="s"/>
      <c r="G2419" t="s"/>
      <c r="H2419" t="s"/>
      <c r="I2419" t="s"/>
      <c r="J2419" t="n">
        <v>0.2023</v>
      </c>
      <c r="K2419" t="n">
        <v>0</v>
      </c>
      <c r="L2419" t="n">
        <v>0.859</v>
      </c>
      <c r="M2419" t="n">
        <v>0.141</v>
      </c>
    </row>
    <row r="2420" spans="1:13">
      <c r="A2420" s="1">
        <f>HYPERLINK("http://www.twitter.com/NathanBLawrence/status/986057522325975040", "986057522325975040")</f>
        <v/>
      </c>
      <c r="B2420" s="2" t="n">
        <v>43207.07185185186</v>
      </c>
      <c r="C2420" t="n">
        <v>1</v>
      </c>
      <c r="D2420" t="n">
        <v>0</v>
      </c>
      <c r="E2420" t="s">
        <v>2426</v>
      </c>
      <c r="F2420" t="s"/>
      <c r="G2420" t="s"/>
      <c r="H2420" t="s"/>
      <c r="I2420" t="s"/>
      <c r="J2420" t="n">
        <v>0.2732</v>
      </c>
      <c r="K2420" t="n">
        <v>0</v>
      </c>
      <c r="L2420" t="n">
        <v>0.861</v>
      </c>
      <c r="M2420" t="n">
        <v>0.139</v>
      </c>
    </row>
    <row r="2421" spans="1:13">
      <c r="A2421" s="1">
        <f>HYPERLINK("http://www.twitter.com/NathanBLawrence/status/986055997620965376", "986055997620965376")</f>
        <v/>
      </c>
      <c r="B2421" s="2" t="n">
        <v>43207.06763888889</v>
      </c>
      <c r="C2421" t="n">
        <v>2</v>
      </c>
      <c r="D2421" t="n">
        <v>2</v>
      </c>
      <c r="E2421" t="s">
        <v>2427</v>
      </c>
      <c r="F2421" t="s"/>
      <c r="G2421" t="s"/>
      <c r="H2421" t="s"/>
      <c r="I2421" t="s"/>
      <c r="J2421" t="n">
        <v>-0.7944</v>
      </c>
      <c r="K2421" t="n">
        <v>0.15</v>
      </c>
      <c r="L2421" t="n">
        <v>0.85</v>
      </c>
      <c r="M2421" t="n">
        <v>0</v>
      </c>
    </row>
    <row r="2422" spans="1:13">
      <c r="A2422" s="1">
        <f>HYPERLINK("http://www.twitter.com/NathanBLawrence/status/986049217675300865", "986049217675300865")</f>
        <v/>
      </c>
      <c r="B2422" s="2" t="n">
        <v>43207.04893518519</v>
      </c>
      <c r="C2422" t="n">
        <v>0</v>
      </c>
      <c r="D2422" t="n">
        <v>2</v>
      </c>
      <c r="E2422" t="s">
        <v>2428</v>
      </c>
      <c r="F2422" t="s"/>
      <c r="G2422" t="s"/>
      <c r="H2422" t="s"/>
      <c r="I2422" t="s"/>
      <c r="J2422" t="n">
        <v>0</v>
      </c>
      <c r="K2422" t="n">
        <v>0</v>
      </c>
      <c r="L2422" t="n">
        <v>1</v>
      </c>
      <c r="M2422" t="n">
        <v>0</v>
      </c>
    </row>
    <row r="2423" spans="1:13">
      <c r="A2423" s="1">
        <f>HYPERLINK("http://www.twitter.com/NathanBLawrence/status/986048813726126080", "986048813726126080")</f>
        <v/>
      </c>
      <c r="B2423" s="2" t="n">
        <v>43207.0478125</v>
      </c>
      <c r="C2423" t="n">
        <v>4</v>
      </c>
      <c r="D2423" t="n">
        <v>3</v>
      </c>
      <c r="E2423" t="s">
        <v>2429</v>
      </c>
      <c r="F2423" t="s"/>
      <c r="G2423" t="s"/>
      <c r="H2423" t="s"/>
      <c r="I2423" t="s"/>
      <c r="J2423" t="n">
        <v>-0.34</v>
      </c>
      <c r="K2423" t="n">
        <v>0.102</v>
      </c>
      <c r="L2423" t="n">
        <v>0.848</v>
      </c>
      <c r="M2423" t="n">
        <v>0.05</v>
      </c>
    </row>
    <row r="2424" spans="1:13">
      <c r="A2424" s="1">
        <f>HYPERLINK("http://www.twitter.com/NathanBLawrence/status/986044199379271680", "986044199379271680")</f>
        <v/>
      </c>
      <c r="B2424" s="2" t="n">
        <v>43207.03508101852</v>
      </c>
      <c r="C2424" t="n">
        <v>0</v>
      </c>
      <c r="D2424" t="n">
        <v>1</v>
      </c>
      <c r="E2424" t="s">
        <v>2430</v>
      </c>
      <c r="F2424" t="s"/>
      <c r="G2424" t="s"/>
      <c r="H2424" t="s"/>
      <c r="I2424" t="s"/>
      <c r="J2424" t="n">
        <v>-0.765</v>
      </c>
      <c r="K2424" t="n">
        <v>0.258</v>
      </c>
      <c r="L2424" t="n">
        <v>0.742</v>
      </c>
      <c r="M2424" t="n">
        <v>0</v>
      </c>
    </row>
    <row r="2425" spans="1:13">
      <c r="A2425" s="1">
        <f>HYPERLINK("http://www.twitter.com/NathanBLawrence/status/986043098684952576", "986043098684952576")</f>
        <v/>
      </c>
      <c r="B2425" s="2" t="n">
        <v>43207.03204861111</v>
      </c>
      <c r="C2425" t="n">
        <v>0</v>
      </c>
      <c r="D2425" t="n">
        <v>0</v>
      </c>
      <c r="E2425" t="s">
        <v>2431</v>
      </c>
      <c r="F2425" t="s"/>
      <c r="G2425" t="s"/>
      <c r="H2425" t="s"/>
      <c r="I2425" t="s"/>
      <c r="J2425" t="n">
        <v>-0.34</v>
      </c>
      <c r="K2425" t="n">
        <v>0.134</v>
      </c>
      <c r="L2425" t="n">
        <v>0.804</v>
      </c>
      <c r="M2425" t="n">
        <v>0.062</v>
      </c>
    </row>
    <row r="2426" spans="1:13">
      <c r="A2426" s="1">
        <f>HYPERLINK("http://www.twitter.com/NathanBLawrence/status/986042288639012864", "986042288639012864")</f>
        <v/>
      </c>
      <c r="B2426" s="2" t="n">
        <v>43207.02981481481</v>
      </c>
      <c r="C2426" t="n">
        <v>1</v>
      </c>
      <c r="D2426" t="n">
        <v>0</v>
      </c>
      <c r="E2426" t="s">
        <v>2432</v>
      </c>
      <c r="F2426" t="s"/>
      <c r="G2426" t="s"/>
      <c r="H2426" t="s"/>
      <c r="I2426" t="s"/>
      <c r="J2426" t="n">
        <v>0</v>
      </c>
      <c r="K2426" t="n">
        <v>0</v>
      </c>
      <c r="L2426" t="n">
        <v>1</v>
      </c>
      <c r="M2426" t="n">
        <v>0</v>
      </c>
    </row>
    <row r="2427" spans="1:13">
      <c r="A2427" s="1">
        <f>HYPERLINK("http://www.twitter.com/NathanBLawrence/status/986039567080927232", "986039567080927232")</f>
        <v/>
      </c>
      <c r="B2427" s="2" t="n">
        <v>43207.02230324074</v>
      </c>
      <c r="C2427" t="n">
        <v>3</v>
      </c>
      <c r="D2427" t="n">
        <v>2</v>
      </c>
      <c r="E2427" t="s">
        <v>2433</v>
      </c>
      <c r="F2427" t="s"/>
      <c r="G2427" t="s"/>
      <c r="H2427" t="s"/>
      <c r="I2427" t="s"/>
      <c r="J2427" t="n">
        <v>-0.264</v>
      </c>
      <c r="K2427" t="n">
        <v>0.08400000000000001</v>
      </c>
      <c r="L2427" t="n">
        <v>0.793</v>
      </c>
      <c r="M2427" t="n">
        <v>0.123</v>
      </c>
    </row>
    <row r="2428" spans="1:13">
      <c r="A2428" s="1">
        <f>HYPERLINK("http://www.twitter.com/NathanBLawrence/status/986035001878810624", "986035001878810624")</f>
        <v/>
      </c>
      <c r="B2428" s="2" t="n">
        <v>43207.00969907407</v>
      </c>
      <c r="C2428" t="n">
        <v>3</v>
      </c>
      <c r="D2428" t="n">
        <v>1</v>
      </c>
      <c r="E2428" t="s">
        <v>2434</v>
      </c>
      <c r="F2428" t="s"/>
      <c r="G2428" t="s"/>
      <c r="H2428" t="s"/>
      <c r="I2428" t="s"/>
      <c r="J2428" t="n">
        <v>-0.6249</v>
      </c>
      <c r="K2428" t="n">
        <v>0.202</v>
      </c>
      <c r="L2428" t="n">
        <v>0.708</v>
      </c>
      <c r="M2428" t="n">
        <v>0.09</v>
      </c>
    </row>
    <row r="2429" spans="1:13">
      <c r="A2429" s="1">
        <f>HYPERLINK("http://www.twitter.com/NathanBLawrence/status/986023221353906183", "986023221353906183")</f>
        <v/>
      </c>
      <c r="B2429" s="2" t="n">
        <v>43206.97719907408</v>
      </c>
      <c r="C2429" t="n">
        <v>1</v>
      </c>
      <c r="D2429" t="n">
        <v>0</v>
      </c>
      <c r="E2429" t="s">
        <v>2435</v>
      </c>
      <c r="F2429" t="s"/>
      <c r="G2429" t="s"/>
      <c r="H2429" t="s"/>
      <c r="I2429" t="s"/>
      <c r="J2429" t="n">
        <v>-0.4767</v>
      </c>
      <c r="K2429" t="n">
        <v>0.237</v>
      </c>
      <c r="L2429" t="n">
        <v>0.763</v>
      </c>
      <c r="M2429" t="n">
        <v>0</v>
      </c>
    </row>
    <row r="2430" spans="1:13">
      <c r="A2430" s="1">
        <f>HYPERLINK("http://www.twitter.com/NathanBLawrence/status/986017891928690689", "986017891928690689")</f>
        <v/>
      </c>
      <c r="B2430" s="2" t="n">
        <v>43206.96248842592</v>
      </c>
      <c r="C2430" t="n">
        <v>2</v>
      </c>
      <c r="D2430" t="n">
        <v>1</v>
      </c>
      <c r="E2430" t="s">
        <v>2436</v>
      </c>
      <c r="F2430" t="s"/>
      <c r="G2430" t="s"/>
      <c r="H2430" t="s"/>
      <c r="I2430" t="s"/>
      <c r="J2430" t="n">
        <v>0.8395</v>
      </c>
      <c r="K2430" t="n">
        <v>0</v>
      </c>
      <c r="L2430" t="n">
        <v>0.824</v>
      </c>
      <c r="M2430" t="n">
        <v>0.176</v>
      </c>
    </row>
    <row r="2431" spans="1:13">
      <c r="A2431" s="1">
        <f>HYPERLINK("http://www.twitter.com/NathanBLawrence/status/986015976796905478", "986015976796905478")</f>
        <v/>
      </c>
      <c r="B2431" s="2" t="n">
        <v>43206.95719907407</v>
      </c>
      <c r="C2431" t="n">
        <v>0</v>
      </c>
      <c r="D2431" t="n">
        <v>2</v>
      </c>
      <c r="E2431" t="s">
        <v>2437</v>
      </c>
      <c r="F2431" t="s"/>
      <c r="G2431" t="s"/>
      <c r="H2431" t="s"/>
      <c r="I2431" t="s"/>
      <c r="J2431" t="n">
        <v>0.1531</v>
      </c>
      <c r="K2431" t="n">
        <v>0.094</v>
      </c>
      <c r="L2431" t="n">
        <v>0.778</v>
      </c>
      <c r="M2431" t="n">
        <v>0.128</v>
      </c>
    </row>
    <row r="2432" spans="1:13">
      <c r="A2432" s="1">
        <f>HYPERLINK("http://www.twitter.com/NathanBLawrence/status/986015815551070208", "986015815551070208")</f>
        <v/>
      </c>
      <c r="B2432" s="2" t="n">
        <v>43206.95675925926</v>
      </c>
      <c r="C2432" t="n">
        <v>1</v>
      </c>
      <c r="D2432" t="n">
        <v>0</v>
      </c>
      <c r="E2432" t="s">
        <v>2438</v>
      </c>
      <c r="F2432" t="s"/>
      <c r="G2432" t="s"/>
      <c r="H2432" t="s"/>
      <c r="I2432" t="s"/>
      <c r="J2432" t="n">
        <v>0.8979</v>
      </c>
      <c r="K2432" t="n">
        <v>0.043</v>
      </c>
      <c r="L2432" t="n">
        <v>0.672</v>
      </c>
      <c r="M2432" t="n">
        <v>0.285</v>
      </c>
    </row>
    <row r="2433" spans="1:13">
      <c r="A2433" s="1">
        <f>HYPERLINK("http://www.twitter.com/NathanBLawrence/status/986014582106935297", "986014582106935297")</f>
        <v/>
      </c>
      <c r="B2433" s="2" t="n">
        <v>43206.95335648148</v>
      </c>
      <c r="C2433" t="n">
        <v>1</v>
      </c>
      <c r="D2433" t="n">
        <v>0</v>
      </c>
      <c r="E2433" t="s">
        <v>2439</v>
      </c>
      <c r="F2433" t="s"/>
      <c r="G2433" t="s"/>
      <c r="H2433" t="s"/>
      <c r="I2433" t="s"/>
      <c r="J2433" t="n">
        <v>0.7269</v>
      </c>
      <c r="K2433" t="n">
        <v>0</v>
      </c>
      <c r="L2433" t="n">
        <v>0.697</v>
      </c>
      <c r="M2433" t="n">
        <v>0.303</v>
      </c>
    </row>
    <row r="2434" spans="1:13">
      <c r="A2434" s="1">
        <f>HYPERLINK("http://www.twitter.com/NathanBLawrence/status/986002114504724480", "986002114504724480")</f>
        <v/>
      </c>
      <c r="B2434" s="2" t="n">
        <v>43206.91894675926</v>
      </c>
      <c r="C2434" t="n">
        <v>0</v>
      </c>
      <c r="D2434" t="n">
        <v>1</v>
      </c>
      <c r="E2434" t="s">
        <v>2440</v>
      </c>
      <c r="F2434" t="s"/>
      <c r="G2434" t="s"/>
      <c r="H2434" t="s"/>
      <c r="I2434" t="s"/>
      <c r="J2434" t="n">
        <v>-0.3875</v>
      </c>
      <c r="K2434" t="n">
        <v>0.122</v>
      </c>
      <c r="L2434" t="n">
        <v>0.878</v>
      </c>
      <c r="M2434" t="n">
        <v>0</v>
      </c>
    </row>
    <row r="2435" spans="1:13">
      <c r="A2435" s="1">
        <f>HYPERLINK("http://www.twitter.com/NathanBLawrence/status/986001763244355584", "986001763244355584")</f>
        <v/>
      </c>
      <c r="B2435" s="2" t="n">
        <v>43206.91798611111</v>
      </c>
      <c r="C2435" t="n">
        <v>0</v>
      </c>
      <c r="D2435" t="n">
        <v>1</v>
      </c>
      <c r="E2435" t="s">
        <v>2441</v>
      </c>
      <c r="F2435" t="s"/>
      <c r="G2435" t="s"/>
      <c r="H2435" t="s"/>
      <c r="I2435" t="s"/>
      <c r="J2435" t="n">
        <v>0</v>
      </c>
      <c r="K2435" t="n">
        <v>0</v>
      </c>
      <c r="L2435" t="n">
        <v>1</v>
      </c>
      <c r="M2435" t="n">
        <v>0</v>
      </c>
    </row>
    <row r="2436" spans="1:13">
      <c r="A2436" s="1">
        <f>HYPERLINK("http://www.twitter.com/NathanBLawrence/status/986001660030971904", "986001660030971904")</f>
        <v/>
      </c>
      <c r="B2436" s="2" t="n">
        <v>43206.91769675926</v>
      </c>
      <c r="C2436" t="n">
        <v>1</v>
      </c>
      <c r="D2436" t="n">
        <v>1</v>
      </c>
      <c r="E2436" t="s">
        <v>2442</v>
      </c>
      <c r="F2436" t="s"/>
      <c r="G2436" t="s"/>
      <c r="H2436" t="s"/>
      <c r="I2436" t="s"/>
      <c r="J2436" t="n">
        <v>0</v>
      </c>
      <c r="K2436" t="n">
        <v>0</v>
      </c>
      <c r="L2436" t="n">
        <v>1</v>
      </c>
      <c r="M2436" t="n">
        <v>0</v>
      </c>
    </row>
    <row r="2437" spans="1:13">
      <c r="A2437" s="1">
        <f>HYPERLINK("http://www.twitter.com/NathanBLawrence/status/985992142115037184", "985992142115037184")</f>
        <v/>
      </c>
      <c r="B2437" s="2" t="n">
        <v>43206.89143518519</v>
      </c>
      <c r="C2437" t="n">
        <v>0</v>
      </c>
      <c r="D2437" t="n">
        <v>18</v>
      </c>
      <c r="E2437" t="s">
        <v>2443</v>
      </c>
      <c r="F2437">
        <f>HYPERLINK("http://pbs.twimg.com/media/Da7wTK8UQAAjqUK.jpg", "http://pbs.twimg.com/media/Da7wTK8UQAAjqUK.jpg")</f>
        <v/>
      </c>
      <c r="G2437">
        <f>HYPERLINK("http://pbs.twimg.com/media/Da7wUDUVwAA8NC8.jpg", "http://pbs.twimg.com/media/Da7wUDUVwAA8NC8.jpg")</f>
        <v/>
      </c>
      <c r="H2437">
        <f>HYPERLINK("http://pbs.twimg.com/media/Da7wVLNVwAAVMHq.jpg", "http://pbs.twimg.com/media/Da7wVLNVwAAVMHq.jpg")</f>
        <v/>
      </c>
      <c r="I2437">
        <f>HYPERLINK("http://pbs.twimg.com/media/Da7wYKgU0AAjOKP.jpg", "http://pbs.twimg.com/media/Da7wYKgU0AAjOKP.jpg")</f>
        <v/>
      </c>
      <c r="J2437" t="n">
        <v>-0.2263</v>
      </c>
      <c r="K2437" t="n">
        <v>0.182</v>
      </c>
      <c r="L2437" t="n">
        <v>0.711</v>
      </c>
      <c r="M2437" t="n">
        <v>0.107</v>
      </c>
    </row>
    <row r="2438" spans="1:13">
      <c r="A2438" s="1">
        <f>HYPERLINK("http://www.twitter.com/NathanBLawrence/status/985991791697645568", "985991791697645568")</f>
        <v/>
      </c>
      <c r="B2438" s="2" t="n">
        <v>43206.89046296296</v>
      </c>
      <c r="C2438" t="n">
        <v>6</v>
      </c>
      <c r="D2438" t="n">
        <v>4</v>
      </c>
      <c r="E2438" t="s">
        <v>2444</v>
      </c>
      <c r="F2438" t="s"/>
      <c r="G2438" t="s"/>
      <c r="H2438" t="s"/>
      <c r="I2438" t="s"/>
      <c r="J2438" t="n">
        <v>0.2481</v>
      </c>
      <c r="K2438" t="n">
        <v>0.102</v>
      </c>
      <c r="L2438" t="n">
        <v>0.773</v>
      </c>
      <c r="M2438" t="n">
        <v>0.125</v>
      </c>
    </row>
    <row r="2439" spans="1:13">
      <c r="A2439" s="1">
        <f>HYPERLINK("http://www.twitter.com/NathanBLawrence/status/985985099022860290", "985985099022860290")</f>
        <v/>
      </c>
      <c r="B2439" s="2" t="n">
        <v>43206.87199074074</v>
      </c>
      <c r="C2439" t="n">
        <v>0</v>
      </c>
      <c r="D2439" t="n">
        <v>2</v>
      </c>
      <c r="E2439" t="s">
        <v>2445</v>
      </c>
      <c r="F2439" t="s"/>
      <c r="G2439" t="s"/>
      <c r="H2439" t="s"/>
      <c r="I2439" t="s"/>
      <c r="J2439" t="n">
        <v>-0.6908</v>
      </c>
      <c r="K2439" t="n">
        <v>0.251</v>
      </c>
      <c r="L2439" t="n">
        <v>0.749</v>
      </c>
      <c r="M2439" t="n">
        <v>0</v>
      </c>
    </row>
    <row r="2440" spans="1:13">
      <c r="A2440" s="1">
        <f>HYPERLINK("http://www.twitter.com/NathanBLawrence/status/985984344954232839", "985984344954232839")</f>
        <v/>
      </c>
      <c r="B2440" s="2" t="n">
        <v>43206.86991898148</v>
      </c>
      <c r="C2440" t="n">
        <v>7</v>
      </c>
      <c r="D2440" t="n">
        <v>5</v>
      </c>
      <c r="E2440" t="s">
        <v>2446</v>
      </c>
      <c r="F2440">
        <f>HYPERLINK("http://pbs.twimg.com/media/Da7rhoNU8AAW7iE.jpg", "http://pbs.twimg.com/media/Da7rhoNU8AAW7iE.jpg")</f>
        <v/>
      </c>
      <c r="G2440" t="s"/>
      <c r="H2440" t="s"/>
      <c r="I2440" t="s"/>
      <c r="J2440" t="n">
        <v>0.8316</v>
      </c>
      <c r="K2440" t="n">
        <v>0</v>
      </c>
      <c r="L2440" t="n">
        <v>0.773</v>
      </c>
      <c r="M2440" t="n">
        <v>0.227</v>
      </c>
    </row>
    <row r="2441" spans="1:13">
      <c r="A2441" s="1">
        <f>HYPERLINK("http://www.twitter.com/NathanBLawrence/status/985982877329510400", "985982877329510400")</f>
        <v/>
      </c>
      <c r="B2441" s="2" t="n">
        <v>43206.86586805555</v>
      </c>
      <c r="C2441" t="n">
        <v>0</v>
      </c>
      <c r="D2441" t="n">
        <v>0</v>
      </c>
      <c r="E2441" t="s">
        <v>2447</v>
      </c>
      <c r="F2441" t="s"/>
      <c r="G2441" t="s"/>
      <c r="H2441" t="s"/>
      <c r="I2441" t="s"/>
      <c r="J2441" t="n">
        <v>0</v>
      </c>
      <c r="K2441" t="n">
        <v>0</v>
      </c>
      <c r="L2441" t="n">
        <v>1</v>
      </c>
      <c r="M2441" t="n">
        <v>0</v>
      </c>
    </row>
    <row r="2442" spans="1:13">
      <c r="A2442" s="1">
        <f>HYPERLINK("http://www.twitter.com/NathanBLawrence/status/985982694571102208", "985982694571102208")</f>
        <v/>
      </c>
      <c r="B2442" s="2" t="n">
        <v>43206.8653587963</v>
      </c>
      <c r="C2442" t="n">
        <v>6</v>
      </c>
      <c r="D2442" t="n">
        <v>5</v>
      </c>
      <c r="E2442" t="s">
        <v>2448</v>
      </c>
      <c r="F2442" t="s"/>
      <c r="G2442" t="s"/>
      <c r="H2442" t="s"/>
      <c r="I2442" t="s"/>
      <c r="J2442" t="n">
        <v>-0.5423</v>
      </c>
      <c r="K2442" t="n">
        <v>0.13</v>
      </c>
      <c r="L2442" t="n">
        <v>0.789</v>
      </c>
      <c r="M2442" t="n">
        <v>0.081</v>
      </c>
    </row>
    <row r="2443" spans="1:13">
      <c r="A2443" s="1">
        <f>HYPERLINK("http://www.twitter.com/NathanBLawrence/status/985981256868515840", "985981256868515840")</f>
        <v/>
      </c>
      <c r="B2443" s="2" t="n">
        <v>43206.86138888889</v>
      </c>
      <c r="C2443" t="n">
        <v>1</v>
      </c>
      <c r="D2443" t="n">
        <v>0</v>
      </c>
      <c r="E2443" t="s">
        <v>2449</v>
      </c>
      <c r="F2443" t="s"/>
      <c r="G2443" t="s"/>
      <c r="H2443" t="s"/>
      <c r="I2443" t="s"/>
      <c r="J2443" t="n">
        <v>0.431</v>
      </c>
      <c r="K2443" t="n">
        <v>0</v>
      </c>
      <c r="L2443" t="n">
        <v>0.875</v>
      </c>
      <c r="M2443" t="n">
        <v>0.125</v>
      </c>
    </row>
    <row r="2444" spans="1:13">
      <c r="A2444" s="1">
        <f>HYPERLINK("http://www.twitter.com/NathanBLawrence/status/985980797864894464", "985980797864894464")</f>
        <v/>
      </c>
      <c r="B2444" s="2" t="n">
        <v>43206.86012731482</v>
      </c>
      <c r="C2444" t="n">
        <v>4</v>
      </c>
      <c r="D2444" t="n">
        <v>4</v>
      </c>
      <c r="E2444" t="s">
        <v>2450</v>
      </c>
      <c r="F2444" t="s"/>
      <c r="G2444" t="s"/>
      <c r="H2444" t="s"/>
      <c r="I2444" t="s"/>
      <c r="J2444" t="n">
        <v>0</v>
      </c>
      <c r="K2444" t="n">
        <v>0</v>
      </c>
      <c r="L2444" t="n">
        <v>1</v>
      </c>
      <c r="M2444" t="n">
        <v>0</v>
      </c>
    </row>
    <row r="2445" spans="1:13">
      <c r="A2445" s="1">
        <f>HYPERLINK("http://www.twitter.com/NathanBLawrence/status/985980545090904064", "985980545090904064")</f>
        <v/>
      </c>
      <c r="B2445" s="2" t="n">
        <v>43206.85943287037</v>
      </c>
      <c r="C2445" t="n">
        <v>0</v>
      </c>
      <c r="D2445" t="n">
        <v>0</v>
      </c>
      <c r="E2445" t="s">
        <v>2451</v>
      </c>
      <c r="F2445" t="s"/>
      <c r="G2445" t="s"/>
      <c r="H2445" t="s"/>
      <c r="I2445" t="s"/>
      <c r="J2445" t="n">
        <v>-0.6124000000000001</v>
      </c>
      <c r="K2445" t="n">
        <v>0.208</v>
      </c>
      <c r="L2445" t="n">
        <v>0.792</v>
      </c>
      <c r="M2445" t="n">
        <v>0</v>
      </c>
    </row>
    <row r="2446" spans="1:13">
      <c r="A2446" s="1">
        <f>HYPERLINK("http://www.twitter.com/NathanBLawrence/status/985979875268923393", "985979875268923393")</f>
        <v/>
      </c>
      <c r="B2446" s="2" t="n">
        <v>43206.85758101852</v>
      </c>
      <c r="C2446" t="n">
        <v>0</v>
      </c>
      <c r="D2446" t="n">
        <v>0</v>
      </c>
      <c r="E2446" t="s">
        <v>2452</v>
      </c>
      <c r="F2446" t="s"/>
      <c r="G2446" t="s"/>
      <c r="H2446" t="s"/>
      <c r="I2446" t="s"/>
      <c r="J2446" t="n">
        <v>0.4588</v>
      </c>
      <c r="K2446" t="n">
        <v>0</v>
      </c>
      <c r="L2446" t="n">
        <v>0.75</v>
      </c>
      <c r="M2446" t="n">
        <v>0.25</v>
      </c>
    </row>
    <row r="2447" spans="1:13">
      <c r="A2447" s="1">
        <f>HYPERLINK("http://www.twitter.com/NathanBLawrence/status/985979694565781504", "985979694565781504")</f>
        <v/>
      </c>
      <c r="B2447" s="2" t="n">
        <v>43206.85708333334</v>
      </c>
      <c r="C2447" t="n">
        <v>0</v>
      </c>
      <c r="D2447" t="n">
        <v>0</v>
      </c>
      <c r="E2447" t="s">
        <v>2453</v>
      </c>
      <c r="F2447" t="s"/>
      <c r="G2447" t="s"/>
      <c r="H2447" t="s"/>
      <c r="I2447" t="s"/>
      <c r="J2447" t="n">
        <v>0</v>
      </c>
      <c r="K2447" t="n">
        <v>0</v>
      </c>
      <c r="L2447" t="n">
        <v>1</v>
      </c>
      <c r="M2447" t="n">
        <v>0</v>
      </c>
    </row>
    <row r="2448" spans="1:13">
      <c r="A2448" s="1">
        <f>HYPERLINK("http://www.twitter.com/NathanBLawrence/status/985979480836595713", "985979480836595713")</f>
        <v/>
      </c>
      <c r="B2448" s="2" t="n">
        <v>43206.85649305556</v>
      </c>
      <c r="C2448" t="n">
        <v>0</v>
      </c>
      <c r="D2448" t="n">
        <v>0</v>
      </c>
      <c r="E2448" t="s">
        <v>2454</v>
      </c>
      <c r="F2448" t="s"/>
      <c r="G2448" t="s"/>
      <c r="H2448" t="s"/>
      <c r="I2448" t="s"/>
      <c r="J2448" t="n">
        <v>0.0323</v>
      </c>
      <c r="K2448" t="n">
        <v>0.089</v>
      </c>
      <c r="L2448" t="n">
        <v>0.819</v>
      </c>
      <c r="M2448" t="n">
        <v>0.092</v>
      </c>
    </row>
    <row r="2449" spans="1:13">
      <c r="A2449" s="1">
        <f>HYPERLINK("http://www.twitter.com/NathanBLawrence/status/985978244422873088", "985978244422873088")</f>
        <v/>
      </c>
      <c r="B2449" s="2" t="n">
        <v>43206.8530787037</v>
      </c>
      <c r="C2449" t="n">
        <v>2</v>
      </c>
      <c r="D2449" t="n">
        <v>2</v>
      </c>
      <c r="E2449" t="s">
        <v>2455</v>
      </c>
      <c r="F2449" t="s"/>
      <c r="G2449" t="s"/>
      <c r="H2449" t="s"/>
      <c r="I2449" t="s"/>
      <c r="J2449" t="n">
        <v>-0.9393</v>
      </c>
      <c r="K2449" t="n">
        <v>0.336</v>
      </c>
      <c r="L2449" t="n">
        <v>0.641</v>
      </c>
      <c r="M2449" t="n">
        <v>0.023</v>
      </c>
    </row>
    <row r="2450" spans="1:13">
      <c r="A2450" s="1">
        <f>HYPERLINK("http://www.twitter.com/NathanBLawrence/status/985976463232045057", "985976463232045057")</f>
        <v/>
      </c>
      <c r="B2450" s="2" t="n">
        <v>43206.8481712963</v>
      </c>
      <c r="C2450" t="n">
        <v>0</v>
      </c>
      <c r="D2450" t="n">
        <v>0</v>
      </c>
      <c r="E2450" t="s">
        <v>2456</v>
      </c>
      <c r="F2450" t="s"/>
      <c r="G2450" t="s"/>
      <c r="H2450" t="s"/>
      <c r="I2450" t="s"/>
      <c r="J2450" t="n">
        <v>-0.1803</v>
      </c>
      <c r="K2450" t="n">
        <v>0.065</v>
      </c>
      <c r="L2450" t="n">
        <v>0.892</v>
      </c>
      <c r="M2450" t="n">
        <v>0.043</v>
      </c>
    </row>
    <row r="2451" spans="1:13">
      <c r="A2451" s="1">
        <f>HYPERLINK("http://www.twitter.com/NathanBLawrence/status/985975513918394370", "985975513918394370")</f>
        <v/>
      </c>
      <c r="B2451" s="2" t="n">
        <v>43206.84554398148</v>
      </c>
      <c r="C2451" t="n">
        <v>1</v>
      </c>
      <c r="D2451" t="n">
        <v>1</v>
      </c>
      <c r="E2451" t="s">
        <v>2457</v>
      </c>
      <c r="F2451" t="s"/>
      <c r="G2451" t="s"/>
      <c r="H2451" t="s"/>
      <c r="I2451" t="s"/>
      <c r="J2451" t="n">
        <v>-0.5719</v>
      </c>
      <c r="K2451" t="n">
        <v>0.161</v>
      </c>
      <c r="L2451" t="n">
        <v>0.801</v>
      </c>
      <c r="M2451" t="n">
        <v>0.038</v>
      </c>
    </row>
    <row r="2452" spans="1:13">
      <c r="A2452" s="1">
        <f>HYPERLINK("http://www.twitter.com/NathanBLawrence/status/985970710660173824", "985970710660173824")</f>
        <v/>
      </c>
      <c r="B2452" s="2" t="n">
        <v>43206.83229166667</v>
      </c>
      <c r="C2452" t="n">
        <v>0</v>
      </c>
      <c r="D2452" t="n">
        <v>1656</v>
      </c>
      <c r="E2452" t="s">
        <v>2458</v>
      </c>
      <c r="F2452" t="s"/>
      <c r="G2452" t="s"/>
      <c r="H2452" t="s"/>
      <c r="I2452" t="s"/>
      <c r="J2452" t="n">
        <v>-0.6486</v>
      </c>
      <c r="K2452" t="n">
        <v>0.249</v>
      </c>
      <c r="L2452" t="n">
        <v>0.751</v>
      </c>
      <c r="M2452" t="n">
        <v>0</v>
      </c>
    </row>
    <row r="2453" spans="1:13">
      <c r="A2453" s="1">
        <f>HYPERLINK("http://www.twitter.com/NathanBLawrence/status/985970691920023553", "985970691920023553")</f>
        <v/>
      </c>
      <c r="B2453" s="2" t="n">
        <v>43206.83224537037</v>
      </c>
      <c r="C2453" t="n">
        <v>1</v>
      </c>
      <c r="D2453" t="n">
        <v>0</v>
      </c>
      <c r="E2453" t="s">
        <v>2459</v>
      </c>
      <c r="F2453" t="s"/>
      <c r="G2453" t="s"/>
      <c r="H2453" t="s"/>
      <c r="I2453" t="s"/>
      <c r="J2453" t="n">
        <v>0</v>
      </c>
      <c r="K2453" t="n">
        <v>0</v>
      </c>
      <c r="L2453" t="n">
        <v>1</v>
      </c>
      <c r="M2453" t="n">
        <v>0</v>
      </c>
    </row>
    <row r="2454" spans="1:13">
      <c r="A2454" s="1">
        <f>HYPERLINK("http://www.twitter.com/NathanBLawrence/status/985965068801200128", "985965068801200128")</f>
        <v/>
      </c>
      <c r="B2454" s="2" t="n">
        <v>43206.81672453704</v>
      </c>
      <c r="C2454" t="n">
        <v>0</v>
      </c>
      <c r="D2454" t="n">
        <v>3</v>
      </c>
      <c r="E2454" t="s">
        <v>2460</v>
      </c>
      <c r="F2454" t="s"/>
      <c r="G2454" t="s"/>
      <c r="H2454" t="s"/>
      <c r="I2454" t="s"/>
      <c r="J2454" t="n">
        <v>0</v>
      </c>
      <c r="K2454" t="n">
        <v>0</v>
      </c>
      <c r="L2454" t="n">
        <v>1</v>
      </c>
      <c r="M2454" t="n">
        <v>0</v>
      </c>
    </row>
    <row r="2455" spans="1:13">
      <c r="A2455" s="1">
        <f>HYPERLINK("http://www.twitter.com/NathanBLawrence/status/985962314305286150", "985962314305286150")</f>
        <v/>
      </c>
      <c r="B2455" s="2" t="n">
        <v>43206.80912037037</v>
      </c>
      <c r="C2455" t="n">
        <v>2</v>
      </c>
      <c r="D2455" t="n">
        <v>1</v>
      </c>
      <c r="E2455" t="s">
        <v>2461</v>
      </c>
      <c r="F2455" t="s"/>
      <c r="G2455" t="s"/>
      <c r="H2455" t="s"/>
      <c r="I2455" t="s"/>
      <c r="J2455" t="n">
        <v>0.3612</v>
      </c>
      <c r="K2455" t="n">
        <v>0</v>
      </c>
      <c r="L2455" t="n">
        <v>0.762</v>
      </c>
      <c r="M2455" t="n">
        <v>0.238</v>
      </c>
    </row>
    <row r="2456" spans="1:13">
      <c r="A2456" s="1">
        <f>HYPERLINK("http://www.twitter.com/NathanBLawrence/status/985961784241721347", "985961784241721347")</f>
        <v/>
      </c>
      <c r="B2456" s="2" t="n">
        <v>43206.80766203703</v>
      </c>
      <c r="C2456" t="n">
        <v>1</v>
      </c>
      <c r="D2456" t="n">
        <v>0</v>
      </c>
      <c r="E2456" t="s">
        <v>2462</v>
      </c>
      <c r="F2456" t="s"/>
      <c r="G2456" t="s"/>
      <c r="H2456" t="s"/>
      <c r="I2456" t="s"/>
      <c r="J2456" t="n">
        <v>0</v>
      </c>
      <c r="K2456" t="n">
        <v>0</v>
      </c>
      <c r="L2456" t="n">
        <v>1</v>
      </c>
      <c r="M2456" t="n">
        <v>0</v>
      </c>
    </row>
    <row r="2457" spans="1:13">
      <c r="A2457" s="1">
        <f>HYPERLINK("http://www.twitter.com/NathanBLawrence/status/985960412461064194", "985960412461064194")</f>
        <v/>
      </c>
      <c r="B2457" s="2" t="n">
        <v>43206.80387731481</v>
      </c>
      <c r="C2457" t="n">
        <v>0</v>
      </c>
      <c r="D2457" t="n">
        <v>0</v>
      </c>
      <c r="E2457" t="s">
        <v>2463</v>
      </c>
      <c r="F2457" t="s"/>
      <c r="G2457" t="s"/>
      <c r="H2457" t="s"/>
      <c r="I2457" t="s"/>
      <c r="J2457" t="n">
        <v>-0.5994</v>
      </c>
      <c r="K2457" t="n">
        <v>0.245</v>
      </c>
      <c r="L2457" t="n">
        <v>0.755</v>
      </c>
      <c r="M2457" t="n">
        <v>0</v>
      </c>
    </row>
    <row r="2458" spans="1:13">
      <c r="A2458" s="1">
        <f>HYPERLINK("http://www.twitter.com/NathanBLawrence/status/985959175720259584", "985959175720259584")</f>
        <v/>
      </c>
      <c r="B2458" s="2" t="n">
        <v>43206.80046296296</v>
      </c>
      <c r="C2458" t="n">
        <v>3</v>
      </c>
      <c r="D2458" t="n">
        <v>1</v>
      </c>
      <c r="E2458" t="s">
        <v>2464</v>
      </c>
      <c r="F2458" t="s"/>
      <c r="G2458" t="s"/>
      <c r="H2458" t="s"/>
      <c r="I2458" t="s"/>
      <c r="J2458" t="n">
        <v>0</v>
      </c>
      <c r="K2458" t="n">
        <v>0</v>
      </c>
      <c r="L2458" t="n">
        <v>1</v>
      </c>
      <c r="M2458" t="n">
        <v>0</v>
      </c>
    </row>
    <row r="2459" spans="1:13">
      <c r="A2459" s="1">
        <f>HYPERLINK("http://www.twitter.com/NathanBLawrence/status/985957992137986048", "985957992137986048")</f>
        <v/>
      </c>
      <c r="B2459" s="2" t="n">
        <v>43206.79719907408</v>
      </c>
      <c r="C2459" t="n">
        <v>0</v>
      </c>
      <c r="D2459" t="n">
        <v>5</v>
      </c>
      <c r="E2459" t="s">
        <v>2465</v>
      </c>
      <c r="F2459" t="s"/>
      <c r="G2459" t="s"/>
      <c r="H2459" t="s"/>
      <c r="I2459" t="s"/>
      <c r="J2459" t="n">
        <v>0.3182</v>
      </c>
      <c r="K2459" t="n">
        <v>0</v>
      </c>
      <c r="L2459" t="n">
        <v>0.909</v>
      </c>
      <c r="M2459" t="n">
        <v>0.091</v>
      </c>
    </row>
    <row r="2460" spans="1:13">
      <c r="A2460" s="1">
        <f>HYPERLINK("http://www.twitter.com/NathanBLawrence/status/985957801292976129", "985957801292976129")</f>
        <v/>
      </c>
      <c r="B2460" s="2" t="n">
        <v>43206.79666666667</v>
      </c>
      <c r="C2460" t="n">
        <v>0</v>
      </c>
      <c r="D2460" t="n">
        <v>9</v>
      </c>
      <c r="E2460" t="s">
        <v>2466</v>
      </c>
      <c r="F2460" t="s"/>
      <c r="G2460" t="s"/>
      <c r="H2460" t="s"/>
      <c r="I2460" t="s"/>
      <c r="J2460" t="n">
        <v>-0.3384</v>
      </c>
      <c r="K2460" t="n">
        <v>0.094</v>
      </c>
      <c r="L2460" t="n">
        <v>0.906</v>
      </c>
      <c r="M2460" t="n">
        <v>0</v>
      </c>
    </row>
    <row r="2461" spans="1:13">
      <c r="A2461" s="1">
        <f>HYPERLINK("http://www.twitter.com/NathanBLawrence/status/985957388267216897", "985957388267216897")</f>
        <v/>
      </c>
      <c r="B2461" s="2" t="n">
        <v>43206.79553240741</v>
      </c>
      <c r="C2461" t="n">
        <v>0</v>
      </c>
      <c r="D2461" t="n">
        <v>0</v>
      </c>
      <c r="E2461" t="s">
        <v>2467</v>
      </c>
      <c r="F2461" t="s"/>
      <c r="G2461" t="s"/>
      <c r="H2461" t="s"/>
      <c r="I2461" t="s"/>
      <c r="J2461" t="n">
        <v>-0.5574</v>
      </c>
      <c r="K2461" t="n">
        <v>0.269</v>
      </c>
      <c r="L2461" t="n">
        <v>0.659</v>
      </c>
      <c r="M2461" t="n">
        <v>0.07099999999999999</v>
      </c>
    </row>
    <row r="2462" spans="1:13">
      <c r="A2462" s="1">
        <f>HYPERLINK("http://www.twitter.com/NathanBLawrence/status/985955407112916992", "985955407112916992")</f>
        <v/>
      </c>
      <c r="B2462" s="2" t="n">
        <v>43206.79005787037</v>
      </c>
      <c r="C2462" t="n">
        <v>3</v>
      </c>
      <c r="D2462" t="n">
        <v>2</v>
      </c>
      <c r="E2462" t="s">
        <v>2468</v>
      </c>
      <c r="F2462" t="s"/>
      <c r="G2462" t="s"/>
      <c r="H2462" t="s"/>
      <c r="I2462" t="s"/>
      <c r="J2462" t="n">
        <v>-0.4588</v>
      </c>
      <c r="K2462" t="n">
        <v>0.128</v>
      </c>
      <c r="L2462" t="n">
        <v>0.8139999999999999</v>
      </c>
      <c r="M2462" t="n">
        <v>0.058</v>
      </c>
    </row>
    <row r="2463" spans="1:13">
      <c r="A2463" s="1">
        <f>HYPERLINK("http://www.twitter.com/NathanBLawrence/status/985954074989342722", "985954074989342722")</f>
        <v/>
      </c>
      <c r="B2463" s="2" t="n">
        <v>43206.78638888889</v>
      </c>
      <c r="C2463" t="n">
        <v>0</v>
      </c>
      <c r="D2463" t="n">
        <v>0</v>
      </c>
      <c r="E2463" t="s">
        <v>2469</v>
      </c>
      <c r="F2463" t="s"/>
      <c r="G2463" t="s"/>
      <c r="H2463" t="s"/>
      <c r="I2463" t="s"/>
      <c r="J2463" t="n">
        <v>0</v>
      </c>
      <c r="K2463" t="n">
        <v>0</v>
      </c>
      <c r="L2463" t="n">
        <v>1</v>
      </c>
      <c r="M2463" t="n">
        <v>0</v>
      </c>
    </row>
    <row r="2464" spans="1:13">
      <c r="A2464" s="1">
        <f>HYPERLINK("http://www.twitter.com/NathanBLawrence/status/985952994805059584", "985952994805059584")</f>
        <v/>
      </c>
      <c r="B2464" s="2" t="n">
        <v>43206.78340277778</v>
      </c>
      <c r="C2464" t="n">
        <v>0</v>
      </c>
      <c r="D2464" t="n">
        <v>46</v>
      </c>
      <c r="E2464" t="s">
        <v>2470</v>
      </c>
      <c r="F2464" t="s"/>
      <c r="G2464" t="s"/>
      <c r="H2464" t="s"/>
      <c r="I2464" t="s"/>
      <c r="J2464" t="n">
        <v>-0.6486</v>
      </c>
      <c r="K2464" t="n">
        <v>0.249</v>
      </c>
      <c r="L2464" t="n">
        <v>0.751</v>
      </c>
      <c r="M2464" t="n">
        <v>0</v>
      </c>
    </row>
    <row r="2465" spans="1:13">
      <c r="A2465" s="1">
        <f>HYPERLINK("http://www.twitter.com/NathanBLawrence/status/985952953017274375", "985952953017274375")</f>
        <v/>
      </c>
      <c r="B2465" s="2" t="n">
        <v>43206.78328703704</v>
      </c>
      <c r="C2465" t="n">
        <v>2</v>
      </c>
      <c r="D2465" t="n">
        <v>1</v>
      </c>
      <c r="E2465" t="s">
        <v>2471</v>
      </c>
      <c r="F2465">
        <f>HYPERLINK("http://pbs.twimg.com/media/Da7O-stVwAAs7_m.jpg", "http://pbs.twimg.com/media/Da7O-stVwAAs7_m.jpg")</f>
        <v/>
      </c>
      <c r="G2465" t="s"/>
      <c r="H2465" t="s"/>
      <c r="I2465" t="s"/>
      <c r="J2465" t="n">
        <v>-0.8519</v>
      </c>
      <c r="K2465" t="n">
        <v>0.284</v>
      </c>
      <c r="L2465" t="n">
        <v>0.716</v>
      </c>
      <c r="M2465" t="n">
        <v>0</v>
      </c>
    </row>
    <row r="2466" spans="1:13">
      <c r="A2466" s="1">
        <f>HYPERLINK("http://www.twitter.com/NathanBLawrence/status/985951733577863169", "985951733577863169")</f>
        <v/>
      </c>
      <c r="B2466" s="2" t="n">
        <v>43206.77993055555</v>
      </c>
      <c r="C2466" t="n">
        <v>2</v>
      </c>
      <c r="D2466" t="n">
        <v>0</v>
      </c>
      <c r="E2466" t="s">
        <v>2472</v>
      </c>
      <c r="F2466" t="s"/>
      <c r="G2466" t="s"/>
      <c r="H2466" t="s"/>
      <c r="I2466" t="s"/>
      <c r="J2466" t="n">
        <v>0.4404</v>
      </c>
      <c r="K2466" t="n">
        <v>0</v>
      </c>
      <c r="L2466" t="n">
        <v>0.828</v>
      </c>
      <c r="M2466" t="n">
        <v>0.172</v>
      </c>
    </row>
    <row r="2467" spans="1:13">
      <c r="A2467" s="1">
        <f>HYPERLINK("http://www.twitter.com/NathanBLawrence/status/985951428857548803", "985951428857548803")</f>
        <v/>
      </c>
      <c r="B2467" s="2" t="n">
        <v>43206.77908564815</v>
      </c>
      <c r="C2467" t="n">
        <v>1</v>
      </c>
      <c r="D2467" t="n">
        <v>0</v>
      </c>
      <c r="E2467" t="s">
        <v>2473</v>
      </c>
      <c r="F2467" t="s"/>
      <c r="G2467" t="s"/>
      <c r="H2467" t="s"/>
      <c r="I2467" t="s"/>
      <c r="J2467" t="n">
        <v>0.6124000000000001</v>
      </c>
      <c r="K2467" t="n">
        <v>0</v>
      </c>
      <c r="L2467" t="n">
        <v>0.583</v>
      </c>
      <c r="M2467" t="n">
        <v>0.417</v>
      </c>
    </row>
    <row r="2468" spans="1:13">
      <c r="A2468" s="1">
        <f>HYPERLINK("http://www.twitter.com/NathanBLawrence/status/985950392906379265", "985950392906379265")</f>
        <v/>
      </c>
      <c r="B2468" s="2" t="n">
        <v>43206.77622685185</v>
      </c>
      <c r="C2468" t="n">
        <v>1</v>
      </c>
      <c r="D2468" t="n">
        <v>0</v>
      </c>
      <c r="E2468" t="s">
        <v>2474</v>
      </c>
      <c r="F2468" t="s"/>
      <c r="G2468" t="s"/>
      <c r="H2468" t="s"/>
      <c r="I2468" t="s"/>
      <c r="J2468" t="n">
        <v>-0.8519</v>
      </c>
      <c r="K2468" t="n">
        <v>0.292</v>
      </c>
      <c r="L2468" t="n">
        <v>0.669</v>
      </c>
      <c r="M2468" t="n">
        <v>0.04</v>
      </c>
    </row>
    <row r="2469" spans="1:13">
      <c r="A2469" s="1">
        <f>HYPERLINK("http://www.twitter.com/NathanBLawrence/status/985948189139390465", "985948189139390465")</f>
        <v/>
      </c>
      <c r="B2469" s="2" t="n">
        <v>43206.77013888889</v>
      </c>
      <c r="C2469" t="n">
        <v>2</v>
      </c>
      <c r="D2469" t="n">
        <v>1</v>
      </c>
      <c r="E2469" t="s">
        <v>2475</v>
      </c>
      <c r="F2469" t="s"/>
      <c r="G2469" t="s"/>
      <c r="H2469" t="s"/>
      <c r="I2469" t="s"/>
      <c r="J2469" t="n">
        <v>-0.5106000000000001</v>
      </c>
      <c r="K2469" t="n">
        <v>0.148</v>
      </c>
      <c r="L2469" t="n">
        <v>0.852</v>
      </c>
      <c r="M2469" t="n">
        <v>0</v>
      </c>
    </row>
    <row r="2470" spans="1:13">
      <c r="A2470" s="1">
        <f>HYPERLINK("http://www.twitter.com/NathanBLawrence/status/985947561327562754", "985947561327562754")</f>
        <v/>
      </c>
      <c r="B2470" s="2" t="n">
        <v>43206.76841435185</v>
      </c>
      <c r="C2470" t="n">
        <v>0</v>
      </c>
      <c r="D2470" t="n">
        <v>2</v>
      </c>
      <c r="E2470" t="s">
        <v>2476</v>
      </c>
      <c r="F2470" t="s"/>
      <c r="G2470" t="s"/>
      <c r="H2470" t="s"/>
      <c r="I2470" t="s"/>
      <c r="J2470" t="n">
        <v>0</v>
      </c>
      <c r="K2470" t="n">
        <v>0</v>
      </c>
      <c r="L2470" t="n">
        <v>1</v>
      </c>
      <c r="M2470" t="n">
        <v>0</v>
      </c>
    </row>
    <row r="2471" spans="1:13">
      <c r="A2471" s="1">
        <f>HYPERLINK("http://www.twitter.com/NathanBLawrence/status/985947095537520640", "985947095537520640")</f>
        <v/>
      </c>
      <c r="B2471" s="2" t="n">
        <v>43206.76712962963</v>
      </c>
      <c r="C2471" t="n">
        <v>0</v>
      </c>
      <c r="D2471" t="n">
        <v>4</v>
      </c>
      <c r="E2471" t="s">
        <v>2477</v>
      </c>
      <c r="F2471" t="s"/>
      <c r="G2471" t="s"/>
      <c r="H2471" t="s"/>
      <c r="I2471" t="s"/>
      <c r="J2471" t="n">
        <v>-0.5849</v>
      </c>
      <c r="K2471" t="n">
        <v>0.166</v>
      </c>
      <c r="L2471" t="n">
        <v>0.834</v>
      </c>
      <c r="M2471" t="n">
        <v>0</v>
      </c>
    </row>
    <row r="2472" spans="1:13">
      <c r="A2472" s="1">
        <f>HYPERLINK("http://www.twitter.com/NathanBLawrence/status/985947029707935747", "985947029707935747")</f>
        <v/>
      </c>
      <c r="B2472" s="2" t="n">
        <v>43206.76694444445</v>
      </c>
      <c r="C2472" t="n">
        <v>6</v>
      </c>
      <c r="D2472" t="n">
        <v>3</v>
      </c>
      <c r="E2472" t="s">
        <v>2478</v>
      </c>
      <c r="F2472" t="s"/>
      <c r="G2472" t="s"/>
      <c r="H2472" t="s"/>
      <c r="I2472" t="s"/>
      <c r="J2472" t="n">
        <v>-0.8479</v>
      </c>
      <c r="K2472" t="n">
        <v>0.183</v>
      </c>
      <c r="L2472" t="n">
        <v>0.8169999999999999</v>
      </c>
      <c r="M2472" t="n">
        <v>0</v>
      </c>
    </row>
    <row r="2473" spans="1:13">
      <c r="A2473" s="1">
        <f>HYPERLINK("http://www.twitter.com/NathanBLawrence/status/985943850706460673", "985943850706460673")</f>
        <v/>
      </c>
      <c r="B2473" s="2" t="n">
        <v>43206.75817129629</v>
      </c>
      <c r="C2473" t="n">
        <v>1</v>
      </c>
      <c r="D2473" t="n">
        <v>0</v>
      </c>
      <c r="E2473" t="s">
        <v>2479</v>
      </c>
      <c r="F2473" t="s"/>
      <c r="G2473" t="s"/>
      <c r="H2473" t="s"/>
      <c r="I2473" t="s"/>
      <c r="J2473" t="n">
        <v>-0.5204</v>
      </c>
      <c r="K2473" t="n">
        <v>0.264</v>
      </c>
      <c r="L2473" t="n">
        <v>0.646</v>
      </c>
      <c r="M2473" t="n">
        <v>0.09</v>
      </c>
    </row>
    <row r="2474" spans="1:13">
      <c r="A2474" s="1">
        <f>HYPERLINK("http://www.twitter.com/NathanBLawrence/status/985942785781063680", "985942785781063680")</f>
        <v/>
      </c>
      <c r="B2474" s="2" t="n">
        <v>43206.75523148148</v>
      </c>
      <c r="C2474" t="n">
        <v>5</v>
      </c>
      <c r="D2474" t="n">
        <v>3</v>
      </c>
      <c r="E2474" t="s">
        <v>2480</v>
      </c>
      <c r="F2474" t="s"/>
      <c r="G2474" t="s"/>
      <c r="H2474" t="s"/>
      <c r="I2474" t="s"/>
      <c r="J2474" t="n">
        <v>-0.5849</v>
      </c>
      <c r="K2474" t="n">
        <v>0.119</v>
      </c>
      <c r="L2474" t="n">
        <v>0.881</v>
      </c>
      <c r="M2474" t="n">
        <v>0</v>
      </c>
    </row>
    <row r="2475" spans="1:13">
      <c r="A2475" s="1">
        <f>HYPERLINK("http://www.twitter.com/NathanBLawrence/status/985942420121636864", "985942420121636864")</f>
        <v/>
      </c>
      <c r="B2475" s="2" t="n">
        <v>43206.75422453704</v>
      </c>
      <c r="C2475" t="n">
        <v>0</v>
      </c>
      <c r="D2475" t="n">
        <v>8</v>
      </c>
      <c r="E2475" t="s">
        <v>2481</v>
      </c>
      <c r="F2475" t="s"/>
      <c r="G2475" t="s"/>
      <c r="H2475" t="s"/>
      <c r="I2475" t="s"/>
      <c r="J2475" t="n">
        <v>-0.1027</v>
      </c>
      <c r="K2475" t="n">
        <v>0.098</v>
      </c>
      <c r="L2475" t="n">
        <v>0.82</v>
      </c>
      <c r="M2475" t="n">
        <v>0.082</v>
      </c>
    </row>
    <row r="2476" spans="1:13">
      <c r="A2476" s="1">
        <f>HYPERLINK("http://www.twitter.com/NathanBLawrence/status/985942271093813248", "985942271093813248")</f>
        <v/>
      </c>
      <c r="B2476" s="2" t="n">
        <v>43206.75381944444</v>
      </c>
      <c r="C2476" t="n">
        <v>0</v>
      </c>
      <c r="D2476" t="n">
        <v>1</v>
      </c>
      <c r="E2476" t="s">
        <v>2482</v>
      </c>
      <c r="F2476" t="s"/>
      <c r="G2476" t="s"/>
      <c r="H2476" t="s"/>
      <c r="I2476" t="s"/>
      <c r="J2476" t="n">
        <v>0</v>
      </c>
      <c r="K2476" t="n">
        <v>0</v>
      </c>
      <c r="L2476" t="n">
        <v>1</v>
      </c>
      <c r="M2476" t="n">
        <v>0</v>
      </c>
    </row>
    <row r="2477" spans="1:13">
      <c r="A2477" s="1">
        <f>HYPERLINK("http://www.twitter.com/NathanBLawrence/status/985941482036191234", "985941482036191234")</f>
        <v/>
      </c>
      <c r="B2477" s="2" t="n">
        <v>43206.75163194445</v>
      </c>
      <c r="C2477" t="n">
        <v>2</v>
      </c>
      <c r="D2477" t="n">
        <v>2</v>
      </c>
      <c r="E2477" t="s">
        <v>2483</v>
      </c>
      <c r="F2477">
        <f>HYPERLINK("http://pbs.twimg.com/media/Da7EitJUQAEWvC7.jpg", "http://pbs.twimg.com/media/Da7EitJUQAEWvC7.jpg")</f>
        <v/>
      </c>
      <c r="G2477" t="s"/>
      <c r="H2477" t="s"/>
      <c r="I2477" t="s"/>
      <c r="J2477" t="n">
        <v>-0.8126</v>
      </c>
      <c r="K2477" t="n">
        <v>0.359</v>
      </c>
      <c r="L2477" t="n">
        <v>0.641</v>
      </c>
      <c r="M2477" t="n">
        <v>0</v>
      </c>
    </row>
    <row r="2478" spans="1:13">
      <c r="A2478" s="1">
        <f>HYPERLINK("http://www.twitter.com/NathanBLawrence/status/985938892342906882", "985938892342906882")</f>
        <v/>
      </c>
      <c r="B2478" s="2" t="n">
        <v>43206.74449074074</v>
      </c>
      <c r="C2478" t="n">
        <v>0</v>
      </c>
      <c r="D2478" t="n">
        <v>7</v>
      </c>
      <c r="E2478" t="s">
        <v>2484</v>
      </c>
      <c r="F2478" t="s"/>
      <c r="G2478" t="s"/>
      <c r="H2478" t="s"/>
      <c r="I2478" t="s"/>
      <c r="J2478" t="n">
        <v>0</v>
      </c>
      <c r="K2478" t="n">
        <v>0</v>
      </c>
      <c r="L2478" t="n">
        <v>1</v>
      </c>
      <c r="M2478" t="n">
        <v>0</v>
      </c>
    </row>
    <row r="2479" spans="1:13">
      <c r="A2479" s="1">
        <f>HYPERLINK("http://www.twitter.com/NathanBLawrence/status/985925972045324288", "985925972045324288")</f>
        <v/>
      </c>
      <c r="B2479" s="2" t="n">
        <v>43206.70884259259</v>
      </c>
      <c r="C2479" t="n">
        <v>0</v>
      </c>
      <c r="D2479" t="n">
        <v>0</v>
      </c>
      <c r="E2479" t="s">
        <v>2485</v>
      </c>
      <c r="F2479" t="s"/>
      <c r="G2479" t="s"/>
      <c r="H2479" t="s"/>
      <c r="I2479" t="s"/>
      <c r="J2479" t="n">
        <v>0.4019</v>
      </c>
      <c r="K2479" t="n">
        <v>0</v>
      </c>
      <c r="L2479" t="n">
        <v>0.597</v>
      </c>
      <c r="M2479" t="n">
        <v>0.403</v>
      </c>
    </row>
    <row r="2480" spans="1:13">
      <c r="A2480" s="1">
        <f>HYPERLINK("http://www.twitter.com/NathanBLawrence/status/985925639382462464", "985925639382462464")</f>
        <v/>
      </c>
      <c r="B2480" s="2" t="n">
        <v>43206.70791666667</v>
      </c>
      <c r="C2480" t="n">
        <v>1</v>
      </c>
      <c r="D2480" t="n">
        <v>0</v>
      </c>
      <c r="E2480" t="s">
        <v>2486</v>
      </c>
      <c r="F2480" t="s"/>
      <c r="G2480" t="s"/>
      <c r="H2480" t="s"/>
      <c r="I2480" t="s"/>
      <c r="J2480" t="n">
        <v>-0.068</v>
      </c>
      <c r="K2480" t="n">
        <v>0.153</v>
      </c>
      <c r="L2480" t="n">
        <v>0.701</v>
      </c>
      <c r="M2480" t="n">
        <v>0.146</v>
      </c>
    </row>
    <row r="2481" spans="1:13">
      <c r="A2481" s="1">
        <f>HYPERLINK("http://www.twitter.com/NathanBLawrence/status/985923087152664578", "985923087152664578")</f>
        <v/>
      </c>
      <c r="B2481" s="2" t="n">
        <v>43206.70087962963</v>
      </c>
      <c r="C2481" t="n">
        <v>0</v>
      </c>
      <c r="D2481" t="n">
        <v>0</v>
      </c>
      <c r="E2481" t="s">
        <v>2487</v>
      </c>
      <c r="F2481" t="s"/>
      <c r="G2481" t="s"/>
      <c r="H2481" t="s"/>
      <c r="I2481" t="s"/>
      <c r="J2481" t="n">
        <v>0.3818</v>
      </c>
      <c r="K2481" t="n">
        <v>0.079</v>
      </c>
      <c r="L2481" t="n">
        <v>0.75</v>
      </c>
      <c r="M2481" t="n">
        <v>0.171</v>
      </c>
    </row>
    <row r="2482" spans="1:13">
      <c r="A2482" s="1">
        <f>HYPERLINK("http://www.twitter.com/NathanBLawrence/status/985922715977699329", "985922715977699329")</f>
        <v/>
      </c>
      <c r="B2482" s="2" t="n">
        <v>43206.69984953704</v>
      </c>
      <c r="C2482" t="n">
        <v>0</v>
      </c>
      <c r="D2482" t="n">
        <v>5</v>
      </c>
      <c r="E2482" t="s">
        <v>2488</v>
      </c>
      <c r="F2482" t="s"/>
      <c r="G2482" t="s"/>
      <c r="H2482" t="s"/>
      <c r="I2482" t="s"/>
      <c r="J2482" t="n">
        <v>0.6486</v>
      </c>
      <c r="K2482" t="n">
        <v>0.162</v>
      </c>
      <c r="L2482" t="n">
        <v>0.54</v>
      </c>
      <c r="M2482" t="n">
        <v>0.298</v>
      </c>
    </row>
    <row r="2483" spans="1:13">
      <c r="A2483" s="1">
        <f>HYPERLINK("http://www.twitter.com/NathanBLawrence/status/985922553888870400", "985922553888870400")</f>
        <v/>
      </c>
      <c r="B2483" s="2" t="n">
        <v>43206.69940972222</v>
      </c>
      <c r="C2483" t="n">
        <v>0</v>
      </c>
      <c r="D2483" t="n">
        <v>11</v>
      </c>
      <c r="E2483" t="s">
        <v>2489</v>
      </c>
      <c r="F2483" t="s"/>
      <c r="G2483" t="s"/>
      <c r="H2483" t="s"/>
      <c r="I2483" t="s"/>
      <c r="J2483" t="n">
        <v>-0.6486</v>
      </c>
      <c r="K2483" t="n">
        <v>0.249</v>
      </c>
      <c r="L2483" t="n">
        <v>0.751</v>
      </c>
      <c r="M2483" t="n">
        <v>0</v>
      </c>
    </row>
    <row r="2484" spans="1:13">
      <c r="A2484" s="1">
        <f>HYPERLINK("http://www.twitter.com/NathanBLawrence/status/985922468475961346", "985922468475961346")</f>
        <v/>
      </c>
      <c r="B2484" s="2" t="n">
        <v>43206.69916666667</v>
      </c>
      <c r="C2484" t="n">
        <v>0</v>
      </c>
      <c r="D2484" t="n">
        <v>47</v>
      </c>
      <c r="E2484" t="s">
        <v>2490</v>
      </c>
      <c r="F2484" t="s"/>
      <c r="G2484" t="s"/>
      <c r="H2484" t="s"/>
      <c r="I2484" t="s"/>
      <c r="J2484" t="n">
        <v>-0.5859</v>
      </c>
      <c r="K2484" t="n">
        <v>0.252</v>
      </c>
      <c r="L2484" t="n">
        <v>0.65</v>
      </c>
      <c r="M2484" t="n">
        <v>0.098</v>
      </c>
    </row>
    <row r="2485" spans="1:13">
      <c r="A2485" s="1">
        <f>HYPERLINK("http://www.twitter.com/NathanBLawrence/status/985922242637893632", "985922242637893632")</f>
        <v/>
      </c>
      <c r="B2485" s="2" t="n">
        <v>43206.69854166666</v>
      </c>
      <c r="C2485" t="n">
        <v>0</v>
      </c>
      <c r="D2485" t="n">
        <v>0</v>
      </c>
      <c r="E2485" t="s">
        <v>2491</v>
      </c>
      <c r="F2485" t="s"/>
      <c r="G2485" t="s"/>
      <c r="H2485" t="s"/>
      <c r="I2485" t="s"/>
      <c r="J2485" t="n">
        <v>-0.4215</v>
      </c>
      <c r="K2485" t="n">
        <v>0.203</v>
      </c>
      <c r="L2485" t="n">
        <v>0.797</v>
      </c>
      <c r="M2485" t="n">
        <v>0</v>
      </c>
    </row>
    <row r="2486" spans="1:13">
      <c r="A2486" s="1">
        <f>HYPERLINK("http://www.twitter.com/NathanBLawrence/status/985921836583145473", "985921836583145473")</f>
        <v/>
      </c>
      <c r="B2486" s="2" t="n">
        <v>43206.69743055556</v>
      </c>
      <c r="C2486" t="n">
        <v>9</v>
      </c>
      <c r="D2486" t="n">
        <v>9</v>
      </c>
      <c r="E2486" t="s">
        <v>2492</v>
      </c>
      <c r="F2486" t="s"/>
      <c r="G2486" t="s"/>
      <c r="H2486" t="s"/>
      <c r="I2486" t="s"/>
      <c r="J2486" t="n">
        <v>-0.5266999999999999</v>
      </c>
      <c r="K2486" t="n">
        <v>0.14</v>
      </c>
      <c r="L2486" t="n">
        <v>0.86</v>
      </c>
      <c r="M2486" t="n">
        <v>0</v>
      </c>
    </row>
    <row r="2487" spans="1:13">
      <c r="A2487" s="1">
        <f>HYPERLINK("http://www.twitter.com/NathanBLawrence/status/985920569492287489", "985920569492287489")</f>
        <v/>
      </c>
      <c r="B2487" s="2" t="n">
        <v>43206.69392361111</v>
      </c>
      <c r="C2487" t="n">
        <v>1</v>
      </c>
      <c r="D2487" t="n">
        <v>0</v>
      </c>
      <c r="E2487" t="s">
        <v>2493</v>
      </c>
      <c r="F2487" t="s"/>
      <c r="G2487" t="s"/>
      <c r="H2487" t="s"/>
      <c r="I2487" t="s"/>
      <c r="J2487" t="n">
        <v>0</v>
      </c>
      <c r="K2487" t="n">
        <v>0</v>
      </c>
      <c r="L2487" t="n">
        <v>1</v>
      </c>
      <c r="M2487" t="n">
        <v>0</v>
      </c>
    </row>
    <row r="2488" spans="1:13">
      <c r="A2488" s="1">
        <f>HYPERLINK("http://www.twitter.com/NathanBLawrence/status/985920234950418432", "985920234950418432")</f>
        <v/>
      </c>
      <c r="B2488" s="2" t="n">
        <v>43206.69300925926</v>
      </c>
      <c r="C2488" t="n">
        <v>0</v>
      </c>
      <c r="D2488" t="n">
        <v>40</v>
      </c>
      <c r="E2488" t="s">
        <v>2494</v>
      </c>
      <c r="F2488">
        <f>HYPERLINK("http://pbs.twimg.com/media/Da6etYZXUAIlvCD.jpg", "http://pbs.twimg.com/media/Da6etYZXUAIlvCD.jpg")</f>
        <v/>
      </c>
      <c r="G2488" t="s"/>
      <c r="H2488" t="s"/>
      <c r="I2488" t="s"/>
      <c r="J2488" t="n">
        <v>0</v>
      </c>
      <c r="K2488" t="n">
        <v>0</v>
      </c>
      <c r="L2488" t="n">
        <v>1</v>
      </c>
      <c r="M2488" t="n">
        <v>0</v>
      </c>
    </row>
    <row r="2489" spans="1:13">
      <c r="A2489" s="1">
        <f>HYPERLINK("http://www.twitter.com/NathanBLawrence/status/985917092179431424", "985917092179431424")</f>
        <v/>
      </c>
      <c r="B2489" s="2" t="n">
        <v>43206.6843287037</v>
      </c>
      <c r="C2489" t="n">
        <v>0</v>
      </c>
      <c r="D2489" t="n">
        <v>4</v>
      </c>
      <c r="E2489" t="s">
        <v>2495</v>
      </c>
      <c r="F2489" t="s"/>
      <c r="G2489" t="s"/>
      <c r="H2489" t="s"/>
      <c r="I2489" t="s"/>
      <c r="J2489" t="n">
        <v>0</v>
      </c>
      <c r="K2489" t="n">
        <v>0</v>
      </c>
      <c r="L2489" t="n">
        <v>1</v>
      </c>
      <c r="M2489" t="n">
        <v>0</v>
      </c>
    </row>
    <row r="2490" spans="1:13">
      <c r="A2490" s="1">
        <f>HYPERLINK("http://www.twitter.com/NathanBLawrence/status/985916974294339585", "985916974294339585")</f>
        <v/>
      </c>
      <c r="B2490" s="2" t="n">
        <v>43206.68400462963</v>
      </c>
      <c r="C2490" t="n">
        <v>1</v>
      </c>
      <c r="D2490" t="n">
        <v>0</v>
      </c>
      <c r="E2490" t="s">
        <v>2496</v>
      </c>
      <c r="F2490" t="s"/>
      <c r="G2490" t="s"/>
      <c r="H2490" t="s"/>
      <c r="I2490" t="s"/>
      <c r="J2490" t="n">
        <v>0.8779</v>
      </c>
      <c r="K2490" t="n">
        <v>0</v>
      </c>
      <c r="L2490" t="n">
        <v>0.73</v>
      </c>
      <c r="M2490" t="n">
        <v>0.27</v>
      </c>
    </row>
    <row r="2491" spans="1:13">
      <c r="A2491" s="1">
        <f>HYPERLINK("http://www.twitter.com/NathanBLawrence/status/985915843342229505", "985915843342229505")</f>
        <v/>
      </c>
      <c r="B2491" s="2" t="n">
        <v>43206.6808912037</v>
      </c>
      <c r="C2491" t="n">
        <v>0</v>
      </c>
      <c r="D2491" t="n">
        <v>4</v>
      </c>
      <c r="E2491" t="s">
        <v>2497</v>
      </c>
      <c r="F2491" t="s"/>
      <c r="G2491" t="s"/>
      <c r="H2491" t="s"/>
      <c r="I2491" t="s"/>
      <c r="J2491" t="n">
        <v>-0.3612</v>
      </c>
      <c r="K2491" t="n">
        <v>0.238</v>
      </c>
      <c r="L2491" t="n">
        <v>0.762</v>
      </c>
      <c r="M2491" t="n">
        <v>0</v>
      </c>
    </row>
    <row r="2492" spans="1:13">
      <c r="A2492" s="1">
        <f>HYPERLINK("http://www.twitter.com/NathanBLawrence/status/985915726992171008", "985915726992171008")</f>
        <v/>
      </c>
      <c r="B2492" s="2" t="n">
        <v>43206.68056712963</v>
      </c>
      <c r="C2492" t="n">
        <v>4</v>
      </c>
      <c r="D2492" t="n">
        <v>1</v>
      </c>
      <c r="E2492" t="s">
        <v>2498</v>
      </c>
      <c r="F2492" t="s"/>
      <c r="G2492" t="s"/>
      <c r="H2492" t="s"/>
      <c r="I2492" t="s"/>
      <c r="J2492" t="n">
        <v>0.7896</v>
      </c>
      <c r="K2492" t="n">
        <v>0</v>
      </c>
      <c r="L2492" t="n">
        <v>0.364</v>
      </c>
      <c r="M2492" t="n">
        <v>0.636</v>
      </c>
    </row>
    <row r="2493" spans="1:13">
      <c r="A2493" s="1">
        <f>HYPERLINK("http://www.twitter.com/NathanBLawrence/status/985898846923390976", "985898846923390976")</f>
        <v/>
      </c>
      <c r="B2493" s="2" t="n">
        <v>43206.63398148148</v>
      </c>
      <c r="C2493" t="n">
        <v>1</v>
      </c>
      <c r="D2493" t="n">
        <v>0</v>
      </c>
      <c r="E2493" t="s">
        <v>2499</v>
      </c>
      <c r="F2493" t="s"/>
      <c r="G2493" t="s"/>
      <c r="H2493" t="s"/>
      <c r="I2493" t="s"/>
      <c r="J2493" t="n">
        <v>0.3612</v>
      </c>
      <c r="K2493" t="n">
        <v>0</v>
      </c>
      <c r="L2493" t="n">
        <v>0.839</v>
      </c>
      <c r="M2493" t="n">
        <v>0.161</v>
      </c>
    </row>
    <row r="2494" spans="1:13">
      <c r="A2494" s="1">
        <f>HYPERLINK("http://www.twitter.com/NathanBLawrence/status/985898736361594880", "985898736361594880")</f>
        <v/>
      </c>
      <c r="B2494" s="2" t="n">
        <v>43206.63368055555</v>
      </c>
      <c r="C2494" t="n">
        <v>0</v>
      </c>
      <c r="D2494" t="n">
        <v>3</v>
      </c>
      <c r="E2494" t="s">
        <v>2500</v>
      </c>
      <c r="F2494" t="s"/>
      <c r="G2494" t="s"/>
      <c r="H2494" t="s"/>
      <c r="I2494" t="s"/>
      <c r="J2494" t="n">
        <v>0.3182</v>
      </c>
      <c r="K2494" t="n">
        <v>0.076</v>
      </c>
      <c r="L2494" t="n">
        <v>0.798</v>
      </c>
      <c r="M2494" t="n">
        <v>0.125</v>
      </c>
    </row>
    <row r="2495" spans="1:13">
      <c r="A2495" s="1">
        <f>HYPERLINK("http://www.twitter.com/NathanBLawrence/status/985898564483248128", "985898564483248128")</f>
        <v/>
      </c>
      <c r="B2495" s="2" t="n">
        <v>43206.63320601852</v>
      </c>
      <c r="C2495" t="n">
        <v>0</v>
      </c>
      <c r="D2495" t="n">
        <v>0</v>
      </c>
      <c r="E2495" t="s">
        <v>2501</v>
      </c>
      <c r="F2495" t="s"/>
      <c r="G2495" t="s"/>
      <c r="H2495" t="s"/>
      <c r="I2495" t="s"/>
      <c r="J2495" t="n">
        <v>0</v>
      </c>
      <c r="K2495" t="n">
        <v>0</v>
      </c>
      <c r="L2495" t="n">
        <v>1</v>
      </c>
      <c r="M2495" t="n">
        <v>0</v>
      </c>
    </row>
    <row r="2496" spans="1:13">
      <c r="A2496" s="1">
        <f>HYPERLINK("http://www.twitter.com/NathanBLawrence/status/985895461692243968", "985895461692243968")</f>
        <v/>
      </c>
      <c r="B2496" s="2" t="n">
        <v>43206.62464120371</v>
      </c>
      <c r="C2496" t="n">
        <v>1</v>
      </c>
      <c r="D2496" t="n">
        <v>0</v>
      </c>
      <c r="E2496" t="s">
        <v>2502</v>
      </c>
      <c r="F2496" t="s"/>
      <c r="G2496" t="s"/>
      <c r="H2496" t="s"/>
      <c r="I2496" t="s"/>
      <c r="J2496" t="n">
        <v>0.6808</v>
      </c>
      <c r="K2496" t="n">
        <v>0</v>
      </c>
      <c r="L2496" t="n">
        <v>0.588</v>
      </c>
      <c r="M2496" t="n">
        <v>0.412</v>
      </c>
    </row>
    <row r="2497" spans="1:13">
      <c r="A2497" s="1">
        <f>HYPERLINK("http://www.twitter.com/NathanBLawrence/status/985894754020941824", "985894754020941824")</f>
        <v/>
      </c>
      <c r="B2497" s="2" t="n">
        <v>43206.62269675926</v>
      </c>
      <c r="C2497" t="n">
        <v>2</v>
      </c>
      <c r="D2497" t="n">
        <v>1</v>
      </c>
      <c r="E2497" t="s">
        <v>2503</v>
      </c>
      <c r="F2497" t="s"/>
      <c r="G2497" t="s"/>
      <c r="H2497" t="s"/>
      <c r="I2497" t="s"/>
      <c r="J2497" t="n">
        <v>0.3612</v>
      </c>
      <c r="K2497" t="n">
        <v>0</v>
      </c>
      <c r="L2497" t="n">
        <v>0.889</v>
      </c>
      <c r="M2497" t="n">
        <v>0.111</v>
      </c>
    </row>
    <row r="2498" spans="1:13">
      <c r="A2498" s="1">
        <f>HYPERLINK("http://www.twitter.com/NathanBLawrence/status/985894186036625409", "985894186036625409")</f>
        <v/>
      </c>
      <c r="B2498" s="2" t="n">
        <v>43206.62112268519</v>
      </c>
      <c r="C2498" t="n">
        <v>1</v>
      </c>
      <c r="D2498" t="n">
        <v>0</v>
      </c>
      <c r="E2498" t="s">
        <v>2504</v>
      </c>
      <c r="F2498" t="s"/>
      <c r="G2498" t="s"/>
      <c r="H2498" t="s"/>
      <c r="I2498" t="s"/>
      <c r="J2498" t="n">
        <v>-0.8658</v>
      </c>
      <c r="K2498" t="n">
        <v>0.257</v>
      </c>
      <c r="L2498" t="n">
        <v>0.743</v>
      </c>
      <c r="M2498" t="n">
        <v>0</v>
      </c>
    </row>
    <row r="2499" spans="1:13">
      <c r="A2499" s="1">
        <f>HYPERLINK("http://www.twitter.com/NathanBLawrence/status/985893602093084672", "985893602093084672")</f>
        <v/>
      </c>
      <c r="B2499" s="2" t="n">
        <v>43206.61951388889</v>
      </c>
      <c r="C2499" t="n">
        <v>0</v>
      </c>
      <c r="D2499" t="n">
        <v>2</v>
      </c>
      <c r="E2499" t="s">
        <v>2505</v>
      </c>
      <c r="F2499" t="s"/>
      <c r="G2499" t="s"/>
      <c r="H2499" t="s"/>
      <c r="I2499" t="s"/>
      <c r="J2499" t="n">
        <v>-0.9001</v>
      </c>
      <c r="K2499" t="n">
        <v>0.407</v>
      </c>
      <c r="L2499" t="n">
        <v>0.593</v>
      </c>
      <c r="M2499" t="n">
        <v>0</v>
      </c>
    </row>
    <row r="2500" spans="1:13">
      <c r="A2500" s="1">
        <f>HYPERLINK("http://www.twitter.com/NathanBLawrence/status/985874611601575936", "985874611601575936")</f>
        <v/>
      </c>
      <c r="B2500" s="2" t="n">
        <v>43206.56710648148</v>
      </c>
      <c r="C2500" t="n">
        <v>2</v>
      </c>
      <c r="D2500" t="n">
        <v>1</v>
      </c>
      <c r="E2500" t="s">
        <v>2506</v>
      </c>
      <c r="F2500" t="s"/>
      <c r="G2500" t="s"/>
      <c r="H2500" t="s"/>
      <c r="I2500" t="s"/>
      <c r="J2500" t="n">
        <v>-0.743</v>
      </c>
      <c r="K2500" t="n">
        <v>0.284</v>
      </c>
      <c r="L2500" t="n">
        <v>0.513</v>
      </c>
      <c r="M2500" t="n">
        <v>0.204</v>
      </c>
    </row>
    <row r="2501" spans="1:13">
      <c r="A2501" s="1">
        <f>HYPERLINK("http://www.twitter.com/NathanBLawrence/status/985871156166234112", "985871156166234112")</f>
        <v/>
      </c>
      <c r="B2501" s="2" t="n">
        <v>43206.55756944444</v>
      </c>
      <c r="C2501" t="n">
        <v>0</v>
      </c>
      <c r="D2501" t="n">
        <v>0</v>
      </c>
      <c r="E2501" t="s">
        <v>2507</v>
      </c>
      <c r="F2501" t="s"/>
      <c r="G2501" t="s"/>
      <c r="H2501" t="s"/>
      <c r="I2501" t="s"/>
      <c r="J2501" t="n">
        <v>0</v>
      </c>
      <c r="K2501" t="n">
        <v>0</v>
      </c>
      <c r="L2501" t="n">
        <v>1</v>
      </c>
      <c r="M2501" t="n">
        <v>0</v>
      </c>
    </row>
    <row r="2502" spans="1:13">
      <c r="A2502" s="1">
        <f>HYPERLINK("http://www.twitter.com/NathanBLawrence/status/985870659006976000", "985870659006976000")</f>
        <v/>
      </c>
      <c r="B2502" s="2" t="n">
        <v>43206.5562037037</v>
      </c>
      <c r="C2502" t="n">
        <v>5</v>
      </c>
      <c r="D2502" t="n">
        <v>5</v>
      </c>
      <c r="E2502" t="s">
        <v>2508</v>
      </c>
      <c r="F2502" t="s"/>
      <c r="G2502" t="s"/>
      <c r="H2502" t="s"/>
      <c r="I2502" t="s"/>
      <c r="J2502" t="n">
        <v>0.2411</v>
      </c>
      <c r="K2502" t="n">
        <v>0</v>
      </c>
      <c r="L2502" t="n">
        <v>0.951</v>
      </c>
      <c r="M2502" t="n">
        <v>0.049</v>
      </c>
    </row>
    <row r="2503" spans="1:13">
      <c r="A2503" s="1">
        <f>HYPERLINK("http://www.twitter.com/NathanBLawrence/status/985869207840620544", "985869207840620544")</f>
        <v/>
      </c>
      <c r="B2503" s="2" t="n">
        <v>43206.55219907407</v>
      </c>
      <c r="C2503" t="n">
        <v>5</v>
      </c>
      <c r="D2503" t="n">
        <v>0</v>
      </c>
      <c r="E2503" t="s">
        <v>2509</v>
      </c>
      <c r="F2503" t="s"/>
      <c r="G2503" t="s"/>
      <c r="H2503" t="s"/>
      <c r="I2503" t="s"/>
      <c r="J2503" t="n">
        <v>0.2411</v>
      </c>
      <c r="K2503" t="n">
        <v>0</v>
      </c>
      <c r="L2503" t="n">
        <v>0.869</v>
      </c>
      <c r="M2503" t="n">
        <v>0.131</v>
      </c>
    </row>
    <row r="2504" spans="1:13">
      <c r="A2504" s="1">
        <f>HYPERLINK("http://www.twitter.com/NathanBLawrence/status/985868191799836672", "985868191799836672")</f>
        <v/>
      </c>
      <c r="B2504" s="2" t="n">
        <v>43206.54939814815</v>
      </c>
      <c r="C2504" t="n">
        <v>4</v>
      </c>
      <c r="D2504" t="n">
        <v>3</v>
      </c>
      <c r="E2504" t="s">
        <v>2510</v>
      </c>
      <c r="F2504" t="s"/>
      <c r="G2504" t="s"/>
      <c r="H2504" t="s"/>
      <c r="I2504" t="s"/>
      <c r="J2504" t="n">
        <v>0.4696</v>
      </c>
      <c r="K2504" t="n">
        <v>0</v>
      </c>
      <c r="L2504" t="n">
        <v>0.922</v>
      </c>
      <c r="M2504" t="n">
        <v>0.078</v>
      </c>
    </row>
    <row r="2505" spans="1:13">
      <c r="A2505" s="1">
        <f>HYPERLINK("http://www.twitter.com/NathanBLawrence/status/985866851816177664", "985866851816177664")</f>
        <v/>
      </c>
      <c r="B2505" s="2" t="n">
        <v>43206.54569444444</v>
      </c>
      <c r="C2505" t="n">
        <v>8</v>
      </c>
      <c r="D2505" t="n">
        <v>9</v>
      </c>
      <c r="E2505" t="s">
        <v>2511</v>
      </c>
      <c r="F2505" t="s"/>
      <c r="G2505" t="s"/>
      <c r="H2505" t="s"/>
      <c r="I2505" t="s"/>
      <c r="J2505" t="n">
        <v>0.4696</v>
      </c>
      <c r="K2505" t="n">
        <v>0</v>
      </c>
      <c r="L2505" t="n">
        <v>0.922</v>
      </c>
      <c r="M2505" t="n">
        <v>0.078</v>
      </c>
    </row>
    <row r="2506" spans="1:13">
      <c r="A2506" s="1">
        <f>HYPERLINK("http://www.twitter.com/NathanBLawrence/status/985864425419702272", "985864425419702272")</f>
        <v/>
      </c>
      <c r="B2506" s="2" t="n">
        <v>43206.53900462963</v>
      </c>
      <c r="C2506" t="n">
        <v>0</v>
      </c>
      <c r="D2506" t="n">
        <v>58</v>
      </c>
      <c r="E2506" t="s">
        <v>2512</v>
      </c>
      <c r="F2506" t="s"/>
      <c r="G2506" t="s"/>
      <c r="H2506" t="s"/>
      <c r="I2506" t="s"/>
      <c r="J2506" t="n">
        <v>-0.6486</v>
      </c>
      <c r="K2506" t="n">
        <v>0.238</v>
      </c>
      <c r="L2506" t="n">
        <v>0.762</v>
      </c>
      <c r="M2506" t="n">
        <v>0</v>
      </c>
    </row>
    <row r="2507" spans="1:13">
      <c r="A2507" s="1">
        <f>HYPERLINK("http://www.twitter.com/NathanBLawrence/status/985863002468634624", "985863002468634624")</f>
        <v/>
      </c>
      <c r="B2507" s="2" t="n">
        <v>43206.53506944444</v>
      </c>
      <c r="C2507" t="n">
        <v>0</v>
      </c>
      <c r="D2507" t="n">
        <v>0</v>
      </c>
      <c r="E2507" t="s">
        <v>2513</v>
      </c>
      <c r="F2507" t="s"/>
      <c r="G2507" t="s"/>
      <c r="H2507" t="s"/>
      <c r="I2507" t="s"/>
      <c r="J2507" t="n">
        <v>0</v>
      </c>
      <c r="K2507" t="n">
        <v>0</v>
      </c>
      <c r="L2507" t="n">
        <v>1</v>
      </c>
      <c r="M2507" t="n">
        <v>0</v>
      </c>
    </row>
    <row r="2508" spans="1:13">
      <c r="A2508" s="1">
        <f>HYPERLINK("http://www.twitter.com/NathanBLawrence/status/985862498653036546", "985862498653036546")</f>
        <v/>
      </c>
      <c r="B2508" s="2" t="n">
        <v>43206.53368055556</v>
      </c>
      <c r="C2508" t="n">
        <v>7</v>
      </c>
      <c r="D2508" t="n">
        <v>8</v>
      </c>
      <c r="E2508" t="s">
        <v>2514</v>
      </c>
      <c r="F2508" t="s"/>
      <c r="G2508" t="s"/>
      <c r="H2508" t="s"/>
      <c r="I2508" t="s"/>
      <c r="J2508" t="n">
        <v>0.4019</v>
      </c>
      <c r="K2508" t="n">
        <v>0</v>
      </c>
      <c r="L2508" t="n">
        <v>0.906</v>
      </c>
      <c r="M2508" t="n">
        <v>0.094</v>
      </c>
    </row>
    <row r="2509" spans="1:13">
      <c r="A2509" s="1">
        <f>HYPERLINK("http://www.twitter.com/NathanBLawrence/status/985858298946707456", "985858298946707456")</f>
        <v/>
      </c>
      <c r="B2509" s="2" t="n">
        <v>43206.52209490741</v>
      </c>
      <c r="C2509" t="n">
        <v>0</v>
      </c>
      <c r="D2509" t="n">
        <v>3</v>
      </c>
      <c r="E2509" t="s">
        <v>2515</v>
      </c>
      <c r="F2509" t="s"/>
      <c r="G2509" t="s"/>
      <c r="H2509" t="s"/>
      <c r="I2509" t="s"/>
      <c r="J2509" t="n">
        <v>0.6879999999999999</v>
      </c>
      <c r="K2509" t="n">
        <v>0.133</v>
      </c>
      <c r="L2509" t="n">
        <v>0.583</v>
      </c>
      <c r="M2509" t="n">
        <v>0.284</v>
      </c>
    </row>
    <row r="2510" spans="1:13">
      <c r="A2510" s="1">
        <f>HYPERLINK("http://www.twitter.com/NathanBLawrence/status/985857666579869696", "985857666579869696")</f>
        <v/>
      </c>
      <c r="B2510" s="2" t="n">
        <v>43206.52034722222</v>
      </c>
      <c r="C2510" t="n">
        <v>0</v>
      </c>
      <c r="D2510" t="n">
        <v>1</v>
      </c>
      <c r="E2510" t="s">
        <v>2516</v>
      </c>
      <c r="F2510">
        <f>HYPERLINK("http://pbs.twimg.com/media/Da5iFejW4AMYiH-.jpg", "http://pbs.twimg.com/media/Da5iFejW4AMYiH-.jpg")</f>
        <v/>
      </c>
      <c r="G2510" t="s"/>
      <c r="H2510" t="s"/>
      <c r="I2510" t="s"/>
      <c r="J2510" t="n">
        <v>0</v>
      </c>
      <c r="K2510" t="n">
        <v>0</v>
      </c>
      <c r="L2510" t="n">
        <v>1</v>
      </c>
      <c r="M2510" t="n">
        <v>0</v>
      </c>
    </row>
    <row r="2511" spans="1:13">
      <c r="A2511" s="1">
        <f>HYPERLINK("http://www.twitter.com/NathanBLawrence/status/985857480218566658", "985857480218566658")</f>
        <v/>
      </c>
      <c r="B2511" s="2" t="n">
        <v>43206.51983796297</v>
      </c>
      <c r="C2511" t="n">
        <v>0</v>
      </c>
      <c r="D2511" t="n">
        <v>18</v>
      </c>
      <c r="E2511" t="s">
        <v>2517</v>
      </c>
      <c r="F2511" t="s"/>
      <c r="G2511" t="s"/>
      <c r="H2511" t="s"/>
      <c r="I2511" t="s"/>
      <c r="J2511" t="n">
        <v>0.2479</v>
      </c>
      <c r="K2511" t="n">
        <v>0.114</v>
      </c>
      <c r="L2511" t="n">
        <v>0.728</v>
      </c>
      <c r="M2511" t="n">
        <v>0.159</v>
      </c>
    </row>
    <row r="2512" spans="1:13">
      <c r="A2512" s="1">
        <f>HYPERLINK("http://www.twitter.com/NathanBLawrence/status/985857366662041604", "985857366662041604")</f>
        <v/>
      </c>
      <c r="B2512" s="2" t="n">
        <v>43206.51952546297</v>
      </c>
      <c r="C2512" t="n">
        <v>0</v>
      </c>
      <c r="D2512" t="n">
        <v>3</v>
      </c>
      <c r="E2512" t="s">
        <v>2518</v>
      </c>
      <c r="F2512" t="s"/>
      <c r="G2512" t="s"/>
      <c r="H2512" t="s"/>
      <c r="I2512" t="s"/>
      <c r="J2512" t="n">
        <v>0.2023</v>
      </c>
      <c r="K2512" t="n">
        <v>0</v>
      </c>
      <c r="L2512" t="n">
        <v>0.93</v>
      </c>
      <c r="M2512" t="n">
        <v>0.07000000000000001</v>
      </c>
    </row>
    <row r="2513" spans="1:13">
      <c r="A2513" s="1">
        <f>HYPERLINK("http://www.twitter.com/NathanBLawrence/status/985857313943760896", "985857313943760896")</f>
        <v/>
      </c>
      <c r="B2513" s="2" t="n">
        <v>43206.519375</v>
      </c>
      <c r="C2513" t="n">
        <v>0</v>
      </c>
      <c r="D2513" t="n">
        <v>3</v>
      </c>
      <c r="E2513" t="s">
        <v>2519</v>
      </c>
      <c r="F2513" t="s"/>
      <c r="G2513" t="s"/>
      <c r="H2513" t="s"/>
      <c r="I2513" t="s"/>
      <c r="J2513" t="n">
        <v>0</v>
      </c>
      <c r="K2513" t="n">
        <v>0</v>
      </c>
      <c r="L2513" t="n">
        <v>1</v>
      </c>
      <c r="M2513" t="n">
        <v>0</v>
      </c>
    </row>
    <row r="2514" spans="1:13">
      <c r="A2514" s="1">
        <f>HYPERLINK("http://www.twitter.com/NathanBLawrence/status/985857083395502080", "985857083395502080")</f>
        <v/>
      </c>
      <c r="B2514" s="2" t="n">
        <v>43206.51873842593</v>
      </c>
      <c r="C2514" t="n">
        <v>0</v>
      </c>
      <c r="D2514" t="n">
        <v>8</v>
      </c>
      <c r="E2514" t="s">
        <v>2520</v>
      </c>
      <c r="F2514" t="s"/>
      <c r="G2514" t="s"/>
      <c r="H2514" t="s"/>
      <c r="I2514" t="s"/>
      <c r="J2514" t="n">
        <v>0.3869</v>
      </c>
      <c r="K2514" t="n">
        <v>0.073</v>
      </c>
      <c r="L2514" t="n">
        <v>0.779</v>
      </c>
      <c r="M2514" t="n">
        <v>0.148</v>
      </c>
    </row>
    <row r="2515" spans="1:13">
      <c r="A2515" s="1">
        <f>HYPERLINK("http://www.twitter.com/NathanBLawrence/status/985855673115213830", "985855673115213830")</f>
        <v/>
      </c>
      <c r="B2515" s="2" t="n">
        <v>43206.51484953704</v>
      </c>
      <c r="C2515" t="n">
        <v>0</v>
      </c>
      <c r="D2515" t="n">
        <v>337</v>
      </c>
      <c r="E2515" t="s">
        <v>2521</v>
      </c>
      <c r="F2515">
        <f>HYPERLINK("https://video.twimg.com/ext_tw_video/981689097570824194/pu/vid/1280x720/3tW5rl9UusfvlBIH.mp4?tag=2", "https://video.twimg.com/ext_tw_video/981689097570824194/pu/vid/1280x720/3tW5rl9UusfvlBIH.mp4?tag=2")</f>
        <v/>
      </c>
      <c r="G2515" t="s"/>
      <c r="H2515" t="s"/>
      <c r="I2515" t="s"/>
      <c r="J2515" t="n">
        <v>0</v>
      </c>
      <c r="K2515" t="n">
        <v>0</v>
      </c>
      <c r="L2515" t="n">
        <v>1</v>
      </c>
      <c r="M2515" t="n">
        <v>0</v>
      </c>
    </row>
    <row r="2516" spans="1:13">
      <c r="A2516" s="1">
        <f>HYPERLINK("http://www.twitter.com/NathanBLawrence/status/985855630463393793", "985855630463393793")</f>
        <v/>
      </c>
      <c r="B2516" s="2" t="n">
        <v>43206.5147337963</v>
      </c>
      <c r="C2516" t="n">
        <v>0</v>
      </c>
      <c r="D2516" t="n">
        <v>3</v>
      </c>
      <c r="E2516" t="s">
        <v>2522</v>
      </c>
      <c r="F2516">
        <f>HYPERLINK("http://pbs.twimg.com/media/Da5QetDWAAATGeI.jpg", "http://pbs.twimg.com/media/Da5QetDWAAATGeI.jpg")</f>
        <v/>
      </c>
      <c r="G2516" t="s"/>
      <c r="H2516" t="s"/>
      <c r="I2516" t="s"/>
      <c r="J2516" t="n">
        <v>0.4574</v>
      </c>
      <c r="K2516" t="n">
        <v>0</v>
      </c>
      <c r="L2516" t="n">
        <v>0.701</v>
      </c>
      <c r="M2516" t="n">
        <v>0.299</v>
      </c>
    </row>
    <row r="2517" spans="1:13">
      <c r="A2517" s="1">
        <f>HYPERLINK("http://www.twitter.com/NathanBLawrence/status/985855430244163584", "985855430244163584")</f>
        <v/>
      </c>
      <c r="B2517" s="2" t="n">
        <v>43206.51417824074</v>
      </c>
      <c r="C2517" t="n">
        <v>1</v>
      </c>
      <c r="D2517" t="n">
        <v>1</v>
      </c>
      <c r="E2517" t="s">
        <v>2523</v>
      </c>
      <c r="F2517" t="s"/>
      <c r="G2517" t="s"/>
      <c r="H2517" t="s"/>
      <c r="I2517" t="s"/>
      <c r="J2517" t="n">
        <v>0</v>
      </c>
      <c r="K2517" t="n">
        <v>0</v>
      </c>
      <c r="L2517" t="n">
        <v>1</v>
      </c>
      <c r="M2517" t="n">
        <v>0</v>
      </c>
    </row>
    <row r="2518" spans="1:13">
      <c r="A2518" s="1">
        <f>HYPERLINK("http://www.twitter.com/NathanBLawrence/status/985854948603817984", "985854948603817984")</f>
        <v/>
      </c>
      <c r="B2518" s="2" t="n">
        <v>43206.51284722222</v>
      </c>
      <c r="C2518" t="n">
        <v>0</v>
      </c>
      <c r="D2518" t="n">
        <v>12</v>
      </c>
      <c r="E2518" t="s">
        <v>2524</v>
      </c>
      <c r="F2518">
        <f>HYPERLINK("http://pbs.twimg.com/media/Da5hiugWkAAEOzn.jpg", "http://pbs.twimg.com/media/Da5hiugWkAAEOzn.jpg")</f>
        <v/>
      </c>
      <c r="G2518" t="s"/>
      <c r="H2518" t="s"/>
      <c r="I2518" t="s"/>
      <c r="J2518" t="n">
        <v>0.4374</v>
      </c>
      <c r="K2518" t="n">
        <v>0</v>
      </c>
      <c r="L2518" t="n">
        <v>0.868</v>
      </c>
      <c r="M2518" t="n">
        <v>0.132</v>
      </c>
    </row>
    <row r="2519" spans="1:13">
      <c r="A2519" s="1">
        <f>HYPERLINK("http://www.twitter.com/NathanBLawrence/status/985854222636896256", "985854222636896256")</f>
        <v/>
      </c>
      <c r="B2519" s="2" t="n">
        <v>43206.51084490741</v>
      </c>
      <c r="C2519" t="n">
        <v>4</v>
      </c>
      <c r="D2519" t="n">
        <v>4</v>
      </c>
      <c r="E2519" t="s">
        <v>2525</v>
      </c>
      <c r="F2519">
        <f>HYPERLINK("http://pbs.twimg.com/media/Da51L6SVwAA5gKs.jpg", "http://pbs.twimg.com/media/Da51L6SVwAA5gKs.jpg")</f>
        <v/>
      </c>
      <c r="G2519" t="s"/>
      <c r="H2519" t="s"/>
      <c r="I2519" t="s"/>
      <c r="J2519" t="n">
        <v>0.6662</v>
      </c>
      <c r="K2519" t="n">
        <v>0.028</v>
      </c>
      <c r="L2519" t="n">
        <v>0.856</v>
      </c>
      <c r="M2519" t="n">
        <v>0.117</v>
      </c>
    </row>
    <row r="2520" spans="1:13">
      <c r="A2520" s="1">
        <f>HYPERLINK("http://www.twitter.com/NathanBLawrence/status/985853401455124483", "985853401455124483")</f>
        <v/>
      </c>
      <c r="B2520" s="2" t="n">
        <v>43206.50857638889</v>
      </c>
      <c r="C2520" t="n">
        <v>0</v>
      </c>
      <c r="D2520" t="n">
        <v>8</v>
      </c>
      <c r="E2520" t="s">
        <v>2526</v>
      </c>
      <c r="F2520">
        <f>HYPERLINK("http://pbs.twimg.com/media/Da5NxV4X0AI5GEM.jpg", "http://pbs.twimg.com/media/Da5NxV4X0AI5GEM.jpg")</f>
        <v/>
      </c>
      <c r="G2520" t="s"/>
      <c r="H2520" t="s"/>
      <c r="I2520" t="s"/>
      <c r="J2520" t="n">
        <v>-0.34</v>
      </c>
      <c r="K2520" t="n">
        <v>0.118</v>
      </c>
      <c r="L2520" t="n">
        <v>0.882</v>
      </c>
      <c r="M2520" t="n">
        <v>0</v>
      </c>
    </row>
    <row r="2521" spans="1:13">
      <c r="A2521" s="1">
        <f>HYPERLINK("http://www.twitter.com/NathanBLawrence/status/985852416422830080", "985852416422830080")</f>
        <v/>
      </c>
      <c r="B2521" s="2" t="n">
        <v>43206.50585648148</v>
      </c>
      <c r="C2521" t="n">
        <v>0</v>
      </c>
      <c r="D2521" t="n">
        <v>7</v>
      </c>
      <c r="E2521" t="s">
        <v>2527</v>
      </c>
      <c r="F2521" t="s"/>
      <c r="G2521" t="s"/>
      <c r="H2521" t="s"/>
      <c r="I2521" t="s"/>
      <c r="J2521" t="n">
        <v>-0.3818</v>
      </c>
      <c r="K2521" t="n">
        <v>0.094</v>
      </c>
      <c r="L2521" t="n">
        <v>0.906</v>
      </c>
      <c r="M2521" t="n">
        <v>0</v>
      </c>
    </row>
    <row r="2522" spans="1:13">
      <c r="A2522" s="1">
        <f>HYPERLINK("http://www.twitter.com/NathanBLawrence/status/985852290421706752", "985852290421706752")</f>
        <v/>
      </c>
      <c r="B2522" s="2" t="n">
        <v>43206.50550925926</v>
      </c>
      <c r="C2522" t="n">
        <v>0</v>
      </c>
      <c r="D2522" t="n">
        <v>8</v>
      </c>
      <c r="E2522" t="s">
        <v>2528</v>
      </c>
      <c r="F2522" t="s"/>
      <c r="G2522" t="s"/>
      <c r="H2522" t="s"/>
      <c r="I2522" t="s"/>
      <c r="J2522" t="n">
        <v>0.4404</v>
      </c>
      <c r="K2522" t="n">
        <v>0</v>
      </c>
      <c r="L2522" t="n">
        <v>0.775</v>
      </c>
      <c r="M2522" t="n">
        <v>0.225</v>
      </c>
    </row>
    <row r="2523" spans="1:13">
      <c r="A2523" s="1">
        <f>HYPERLINK("http://www.twitter.com/NathanBLawrence/status/985852161413337088", "985852161413337088")</f>
        <v/>
      </c>
      <c r="B2523" s="2" t="n">
        <v>43206.50516203704</v>
      </c>
      <c r="C2523" t="n">
        <v>0</v>
      </c>
      <c r="D2523" t="n">
        <v>3</v>
      </c>
      <c r="E2523" t="s">
        <v>2529</v>
      </c>
      <c r="F2523">
        <f>HYPERLINK("http://pbs.twimg.com/media/Da5sCsGUQAA3U_t.jpg", "http://pbs.twimg.com/media/Da5sCsGUQAA3U_t.jpg")</f>
        <v/>
      </c>
      <c r="G2523" t="s"/>
      <c r="H2523" t="s"/>
      <c r="I2523" t="s"/>
      <c r="J2523" t="n">
        <v>0</v>
      </c>
      <c r="K2523" t="n">
        <v>0</v>
      </c>
      <c r="L2523" t="n">
        <v>1</v>
      </c>
      <c r="M2523" t="n">
        <v>0</v>
      </c>
    </row>
    <row r="2524" spans="1:13">
      <c r="A2524" s="1">
        <f>HYPERLINK("http://www.twitter.com/NathanBLawrence/status/985851790494183425", "985851790494183425")</f>
        <v/>
      </c>
      <c r="B2524" s="2" t="n">
        <v>43206.50413194444</v>
      </c>
      <c r="C2524" t="n">
        <v>0</v>
      </c>
      <c r="D2524" t="n">
        <v>2</v>
      </c>
      <c r="E2524" t="s">
        <v>2530</v>
      </c>
      <c r="F2524">
        <f>HYPERLINK("http://pbs.twimg.com/media/Da4CqF1UwAANev1.jpg", "http://pbs.twimg.com/media/Da4CqF1UwAANev1.jpg")</f>
        <v/>
      </c>
      <c r="G2524" t="s"/>
      <c r="H2524" t="s"/>
      <c r="I2524" t="s"/>
      <c r="J2524" t="n">
        <v>0</v>
      </c>
      <c r="K2524" t="n">
        <v>0</v>
      </c>
      <c r="L2524" t="n">
        <v>1</v>
      </c>
      <c r="M2524" t="n">
        <v>0</v>
      </c>
    </row>
    <row r="2525" spans="1:13">
      <c r="A2525" s="1">
        <f>HYPERLINK("http://www.twitter.com/NathanBLawrence/status/985851763474534400", "985851763474534400")</f>
        <v/>
      </c>
      <c r="B2525" s="2" t="n">
        <v>43206.5040625</v>
      </c>
      <c r="C2525" t="n">
        <v>0</v>
      </c>
      <c r="D2525" t="n">
        <v>3</v>
      </c>
      <c r="E2525" t="s">
        <v>2530</v>
      </c>
      <c r="F2525" t="s"/>
      <c r="G2525" t="s"/>
      <c r="H2525" t="s"/>
      <c r="I2525" t="s"/>
      <c r="J2525" t="n">
        <v>0</v>
      </c>
      <c r="K2525" t="n">
        <v>0</v>
      </c>
      <c r="L2525" t="n">
        <v>1</v>
      </c>
      <c r="M2525" t="n">
        <v>0</v>
      </c>
    </row>
    <row r="2526" spans="1:13">
      <c r="A2526" s="1">
        <f>HYPERLINK("http://www.twitter.com/NathanBLawrence/status/985851734793875456", "985851734793875456")</f>
        <v/>
      </c>
      <c r="B2526" s="2" t="n">
        <v>43206.50398148148</v>
      </c>
      <c r="C2526" t="n">
        <v>0</v>
      </c>
      <c r="D2526" t="n">
        <v>4</v>
      </c>
      <c r="E2526" t="s">
        <v>2530</v>
      </c>
      <c r="F2526">
        <f>HYPERLINK("http://pbs.twimg.com/media/Da3_UHKU8AARigV.jpg", "http://pbs.twimg.com/media/Da3_UHKU8AARigV.jpg")</f>
        <v/>
      </c>
      <c r="G2526">
        <f>HYPERLINK("http://pbs.twimg.com/media/Da3_qeTUMAIhgkt.jpg", "http://pbs.twimg.com/media/Da3_qeTUMAIhgkt.jpg")</f>
        <v/>
      </c>
      <c r="H2526">
        <f>HYPERLINK("http://pbs.twimg.com/media/Da3_-_4UQAAM8wl.jpg", "http://pbs.twimg.com/media/Da3_-_4UQAAM8wl.jpg")</f>
        <v/>
      </c>
      <c r="I2526" t="s"/>
      <c r="J2526" t="n">
        <v>0</v>
      </c>
      <c r="K2526" t="n">
        <v>0</v>
      </c>
      <c r="L2526" t="n">
        <v>1</v>
      </c>
      <c r="M2526" t="n">
        <v>0</v>
      </c>
    </row>
    <row r="2527" spans="1:13">
      <c r="A2527" s="1">
        <f>HYPERLINK("http://www.twitter.com/NathanBLawrence/status/985851699825991682", "985851699825991682")</f>
        <v/>
      </c>
      <c r="B2527" s="2" t="n">
        <v>43206.50388888889</v>
      </c>
      <c r="C2527" t="n">
        <v>0</v>
      </c>
      <c r="D2527" t="n">
        <v>2</v>
      </c>
      <c r="E2527" t="s">
        <v>2530</v>
      </c>
      <c r="F2527">
        <f>HYPERLINK("http://pbs.twimg.com/media/Da38-d-VQAESveT.jpg", "http://pbs.twimg.com/media/Da38-d-VQAESveT.jpg")</f>
        <v/>
      </c>
      <c r="G2527" t="s"/>
      <c r="H2527" t="s"/>
      <c r="I2527" t="s"/>
      <c r="J2527" t="n">
        <v>0</v>
      </c>
      <c r="K2527" t="n">
        <v>0</v>
      </c>
      <c r="L2527" t="n">
        <v>1</v>
      </c>
      <c r="M2527" t="n">
        <v>0</v>
      </c>
    </row>
    <row r="2528" spans="1:13">
      <c r="A2528" s="1">
        <f>HYPERLINK("http://www.twitter.com/NathanBLawrence/status/985851508687278080", "985851508687278080")</f>
        <v/>
      </c>
      <c r="B2528" s="2" t="n">
        <v>43206.50335648148</v>
      </c>
      <c r="C2528" t="n">
        <v>0</v>
      </c>
      <c r="D2528" t="n">
        <v>9</v>
      </c>
      <c r="E2528" t="s">
        <v>2530</v>
      </c>
      <c r="F2528" t="s"/>
      <c r="G2528" t="s"/>
      <c r="H2528" t="s"/>
      <c r="I2528" t="s"/>
      <c r="J2528" t="n">
        <v>0</v>
      </c>
      <c r="K2528" t="n">
        <v>0</v>
      </c>
      <c r="L2528" t="n">
        <v>1</v>
      </c>
      <c r="M2528" t="n">
        <v>0</v>
      </c>
    </row>
    <row r="2529" spans="1:13">
      <c r="A2529" s="1">
        <f>HYPERLINK("http://www.twitter.com/NathanBLawrence/status/985851403703857153", "985851403703857153")</f>
        <v/>
      </c>
      <c r="B2529" s="2" t="n">
        <v>43206.50306712963</v>
      </c>
      <c r="C2529" t="n">
        <v>0</v>
      </c>
      <c r="D2529" t="n">
        <v>0</v>
      </c>
      <c r="E2529" t="s">
        <v>2531</v>
      </c>
      <c r="F2529" t="s"/>
      <c r="G2529" t="s"/>
      <c r="H2529" t="s"/>
      <c r="I2529" t="s"/>
      <c r="J2529" t="n">
        <v>0.7269</v>
      </c>
      <c r="K2529" t="n">
        <v>0</v>
      </c>
      <c r="L2529" t="n">
        <v>0.756</v>
      </c>
      <c r="M2529" t="n">
        <v>0.244</v>
      </c>
    </row>
    <row r="2530" spans="1:13">
      <c r="A2530" s="1">
        <f>HYPERLINK("http://www.twitter.com/NathanBLawrence/status/985850817289834498", "985850817289834498")</f>
        <v/>
      </c>
      <c r="B2530" s="2" t="n">
        <v>43206.50144675926</v>
      </c>
      <c r="C2530" t="n">
        <v>0</v>
      </c>
      <c r="D2530" t="n">
        <v>14</v>
      </c>
      <c r="E2530" t="s">
        <v>2532</v>
      </c>
      <c r="F2530">
        <f>HYPERLINK("http://pbs.twimg.com/media/Da49JsNUMAAYf8W.jpg", "http://pbs.twimg.com/media/Da49JsNUMAAYf8W.jpg")</f>
        <v/>
      </c>
      <c r="G2530" t="s"/>
      <c r="H2530" t="s"/>
      <c r="I2530" t="s"/>
      <c r="J2530" t="n">
        <v>0.4391</v>
      </c>
      <c r="K2530" t="n">
        <v>0</v>
      </c>
      <c r="L2530" t="n">
        <v>0.892</v>
      </c>
      <c r="M2530" t="n">
        <v>0.108</v>
      </c>
    </row>
    <row r="2531" spans="1:13">
      <c r="A2531" s="1">
        <f>HYPERLINK("http://www.twitter.com/NathanBLawrence/status/985849588472041472", "985849588472041472")</f>
        <v/>
      </c>
      <c r="B2531" s="2" t="n">
        <v>43206.49805555555</v>
      </c>
      <c r="C2531" t="n">
        <v>8</v>
      </c>
      <c r="D2531" t="n">
        <v>8</v>
      </c>
      <c r="E2531" t="s">
        <v>2533</v>
      </c>
      <c r="F2531" t="s"/>
      <c r="G2531" t="s"/>
      <c r="H2531" t="s"/>
      <c r="I2531" t="s"/>
      <c r="J2531" t="n">
        <v>0.6662</v>
      </c>
      <c r="K2531" t="n">
        <v>0.019</v>
      </c>
      <c r="L2531" t="n">
        <v>0.904</v>
      </c>
      <c r="M2531" t="n">
        <v>0.078</v>
      </c>
    </row>
    <row r="2532" spans="1:13">
      <c r="A2532" s="1">
        <f>HYPERLINK("http://www.twitter.com/NathanBLawrence/status/985847398609059840", "985847398609059840")</f>
        <v/>
      </c>
      <c r="B2532" s="2" t="n">
        <v>43206.49201388889</v>
      </c>
      <c r="C2532" t="n">
        <v>0</v>
      </c>
      <c r="D2532" t="n">
        <v>3</v>
      </c>
      <c r="E2532" t="s">
        <v>2534</v>
      </c>
      <c r="F2532" t="s"/>
      <c r="G2532" t="s"/>
      <c r="H2532" t="s"/>
      <c r="I2532" t="s"/>
      <c r="J2532" t="n">
        <v>-0.0772</v>
      </c>
      <c r="K2532" t="n">
        <v>0.08500000000000001</v>
      </c>
      <c r="L2532" t="n">
        <v>0.915</v>
      </c>
      <c r="M2532" t="n">
        <v>0</v>
      </c>
    </row>
    <row r="2533" spans="1:13">
      <c r="A2533" s="1">
        <f>HYPERLINK("http://www.twitter.com/NathanBLawrence/status/985847330946592768", "985847330946592768")</f>
        <v/>
      </c>
      <c r="B2533" s="2" t="n">
        <v>43206.49182870371</v>
      </c>
      <c r="C2533" t="n">
        <v>0</v>
      </c>
      <c r="D2533" t="n">
        <v>1</v>
      </c>
      <c r="E2533" t="s">
        <v>2535</v>
      </c>
      <c r="F2533" t="s"/>
      <c r="G2533" t="s"/>
      <c r="H2533" t="s"/>
      <c r="I2533" t="s"/>
      <c r="J2533" t="n">
        <v>-0.5009</v>
      </c>
      <c r="K2533" t="n">
        <v>0.188</v>
      </c>
      <c r="L2533" t="n">
        <v>0.8120000000000001</v>
      </c>
      <c r="M2533" t="n">
        <v>0</v>
      </c>
    </row>
    <row r="2534" spans="1:13">
      <c r="A2534" s="1">
        <f>HYPERLINK("http://www.twitter.com/NathanBLawrence/status/985847030940667904", "985847030940667904")</f>
        <v/>
      </c>
      <c r="B2534" s="2" t="n">
        <v>43206.49099537037</v>
      </c>
      <c r="C2534" t="n">
        <v>0</v>
      </c>
      <c r="D2534" t="n">
        <v>2</v>
      </c>
      <c r="E2534" t="s">
        <v>2536</v>
      </c>
      <c r="F2534" t="s"/>
      <c r="G2534" t="s"/>
      <c r="H2534" t="s"/>
      <c r="I2534" t="s"/>
      <c r="J2534" t="n">
        <v>0</v>
      </c>
      <c r="K2534" t="n">
        <v>0</v>
      </c>
      <c r="L2534" t="n">
        <v>1</v>
      </c>
      <c r="M2534" t="n">
        <v>0</v>
      </c>
    </row>
    <row r="2535" spans="1:13">
      <c r="A2535" s="1">
        <f>HYPERLINK("http://www.twitter.com/NathanBLawrence/status/985846674361856000", "985846674361856000")</f>
        <v/>
      </c>
      <c r="B2535" s="2" t="n">
        <v>43206.49001157407</v>
      </c>
      <c r="C2535" t="n">
        <v>1</v>
      </c>
      <c r="D2535" t="n">
        <v>0</v>
      </c>
      <c r="E2535" t="s">
        <v>2537</v>
      </c>
      <c r="F2535" t="s"/>
      <c r="G2535" t="s"/>
      <c r="H2535" t="s"/>
      <c r="I2535" t="s"/>
      <c r="J2535" t="n">
        <v>0</v>
      </c>
      <c r="K2535" t="n">
        <v>0</v>
      </c>
      <c r="L2535" t="n">
        <v>1</v>
      </c>
      <c r="M2535" t="n">
        <v>0</v>
      </c>
    </row>
    <row r="2536" spans="1:13">
      <c r="A2536" s="1">
        <f>HYPERLINK("http://www.twitter.com/NathanBLawrence/status/985846388738154496", "985846388738154496")</f>
        <v/>
      </c>
      <c r="B2536" s="2" t="n">
        <v>43206.48922453704</v>
      </c>
      <c r="C2536" t="n">
        <v>0</v>
      </c>
      <c r="D2536" t="n">
        <v>4</v>
      </c>
      <c r="E2536" t="s">
        <v>2538</v>
      </c>
      <c r="F2536">
        <f>HYPERLINK("http://pbs.twimg.com/media/Da5K5wCUMAAZ9c5.jpg", "http://pbs.twimg.com/media/Da5K5wCUMAAZ9c5.jpg")</f>
        <v/>
      </c>
      <c r="G2536" t="s"/>
      <c r="H2536" t="s"/>
      <c r="I2536" t="s"/>
      <c r="J2536" t="n">
        <v>0</v>
      </c>
      <c r="K2536" t="n">
        <v>0</v>
      </c>
      <c r="L2536" t="n">
        <v>1</v>
      </c>
      <c r="M2536" t="n">
        <v>0</v>
      </c>
    </row>
    <row r="2537" spans="1:13">
      <c r="A2537" s="1">
        <f>HYPERLINK("http://www.twitter.com/NathanBLawrence/status/985716550123556865", "985716550123556865")</f>
        <v/>
      </c>
      <c r="B2537" s="2" t="n">
        <v>43206.1309375</v>
      </c>
      <c r="C2537" t="n">
        <v>0</v>
      </c>
      <c r="D2537" t="n">
        <v>13</v>
      </c>
      <c r="E2537" t="s">
        <v>2539</v>
      </c>
      <c r="F2537">
        <f>HYPERLINK("http://pbs.twimg.com/media/Da3t6KMV4AA6wga.jpg", "http://pbs.twimg.com/media/Da3t6KMV4AA6wga.jpg")</f>
        <v/>
      </c>
      <c r="G2537" t="s"/>
      <c r="H2537" t="s"/>
      <c r="I2537" t="s"/>
      <c r="J2537" t="n">
        <v>-0.5719</v>
      </c>
      <c r="K2537" t="n">
        <v>0.171</v>
      </c>
      <c r="L2537" t="n">
        <v>0.829</v>
      </c>
      <c r="M2537" t="n">
        <v>0</v>
      </c>
    </row>
    <row r="2538" spans="1:13">
      <c r="A2538" s="1">
        <f>HYPERLINK("http://www.twitter.com/NathanBLawrence/status/985714472085016577", "985714472085016577")</f>
        <v/>
      </c>
      <c r="B2538" s="2" t="n">
        <v>43206.12520833333</v>
      </c>
      <c r="C2538" t="n">
        <v>0</v>
      </c>
      <c r="D2538" t="n">
        <v>3</v>
      </c>
      <c r="E2538" t="s">
        <v>2540</v>
      </c>
      <c r="F2538" t="s"/>
      <c r="G2538" t="s"/>
      <c r="H2538" t="s"/>
      <c r="I2538" t="s"/>
      <c r="J2538" t="n">
        <v>0</v>
      </c>
      <c r="K2538" t="n">
        <v>0</v>
      </c>
      <c r="L2538" t="n">
        <v>1</v>
      </c>
      <c r="M2538" t="n">
        <v>0</v>
      </c>
    </row>
    <row r="2539" spans="1:13">
      <c r="A2539" s="1">
        <f>HYPERLINK("http://www.twitter.com/NathanBLawrence/status/985713004745551872", "985713004745551872")</f>
        <v/>
      </c>
      <c r="B2539" s="2" t="n">
        <v>43206.1211574074</v>
      </c>
      <c r="C2539" t="n">
        <v>0</v>
      </c>
      <c r="D2539" t="n">
        <v>19</v>
      </c>
      <c r="E2539" t="s">
        <v>2541</v>
      </c>
      <c r="F2539" t="s"/>
      <c r="G2539" t="s"/>
      <c r="H2539" t="s"/>
      <c r="I2539" t="s"/>
      <c r="J2539" t="n">
        <v>-0.5983000000000001</v>
      </c>
      <c r="K2539" t="n">
        <v>0.197</v>
      </c>
      <c r="L2539" t="n">
        <v>0.803</v>
      </c>
      <c r="M2539" t="n">
        <v>0</v>
      </c>
    </row>
    <row r="2540" spans="1:13">
      <c r="A2540" s="1">
        <f>HYPERLINK("http://www.twitter.com/NathanBLawrence/status/985711320937959426", "985711320937959426")</f>
        <v/>
      </c>
      <c r="B2540" s="2" t="n">
        <v>43206.11651620371</v>
      </c>
      <c r="C2540" t="n">
        <v>0</v>
      </c>
      <c r="D2540" t="n">
        <v>1</v>
      </c>
      <c r="E2540" t="s">
        <v>2542</v>
      </c>
      <c r="F2540" t="s"/>
      <c r="G2540" t="s"/>
      <c r="H2540" t="s"/>
      <c r="I2540" t="s"/>
      <c r="J2540" t="n">
        <v>-0.3182</v>
      </c>
      <c r="K2540" t="n">
        <v>0.141</v>
      </c>
      <c r="L2540" t="n">
        <v>0.859</v>
      </c>
      <c r="M2540" t="n">
        <v>0</v>
      </c>
    </row>
    <row r="2541" spans="1:13">
      <c r="A2541" s="1">
        <f>HYPERLINK("http://www.twitter.com/NathanBLawrence/status/985706886824648705", "985706886824648705")</f>
        <v/>
      </c>
      <c r="B2541" s="2" t="n">
        <v>43206.10428240741</v>
      </c>
      <c r="C2541" t="n">
        <v>0</v>
      </c>
      <c r="D2541" t="n">
        <v>11</v>
      </c>
      <c r="E2541" t="s">
        <v>2543</v>
      </c>
      <c r="F2541" t="s"/>
      <c r="G2541" t="s"/>
      <c r="H2541" t="s"/>
      <c r="I2541" t="s"/>
      <c r="J2541" t="n">
        <v>0</v>
      </c>
      <c r="K2541" t="n">
        <v>0</v>
      </c>
      <c r="L2541" t="n">
        <v>1</v>
      </c>
      <c r="M2541" t="n">
        <v>0</v>
      </c>
    </row>
    <row r="2542" spans="1:13">
      <c r="A2542" s="1">
        <f>HYPERLINK("http://www.twitter.com/NathanBLawrence/status/985706795120328704", "985706795120328704")</f>
        <v/>
      </c>
      <c r="B2542" s="2" t="n">
        <v>43206.10402777778</v>
      </c>
      <c r="C2542" t="n">
        <v>0</v>
      </c>
      <c r="D2542" t="n">
        <v>2</v>
      </c>
      <c r="E2542" t="s">
        <v>2544</v>
      </c>
      <c r="F2542" t="s"/>
      <c r="G2542" t="s"/>
      <c r="H2542" t="s"/>
      <c r="I2542" t="s"/>
      <c r="J2542" t="n">
        <v>-0.5719</v>
      </c>
      <c r="K2542" t="n">
        <v>0.183</v>
      </c>
      <c r="L2542" t="n">
        <v>0.8169999999999999</v>
      </c>
      <c r="M2542" t="n">
        <v>0</v>
      </c>
    </row>
    <row r="2543" spans="1:13">
      <c r="A2543" s="1">
        <f>HYPERLINK("http://www.twitter.com/NathanBLawrence/status/985706737553543168", "985706737553543168")</f>
        <v/>
      </c>
      <c r="B2543" s="2" t="n">
        <v>43206.10386574074</v>
      </c>
      <c r="C2543" t="n">
        <v>0</v>
      </c>
      <c r="D2543" t="n">
        <v>4</v>
      </c>
      <c r="E2543" t="s">
        <v>2545</v>
      </c>
      <c r="F2543" t="s"/>
      <c r="G2543" t="s"/>
      <c r="H2543" t="s"/>
      <c r="I2543" t="s"/>
      <c r="J2543" t="n">
        <v>-0.4215</v>
      </c>
      <c r="K2543" t="n">
        <v>0.173</v>
      </c>
      <c r="L2543" t="n">
        <v>0.748</v>
      </c>
      <c r="M2543" t="n">
        <v>0.078</v>
      </c>
    </row>
    <row r="2544" spans="1:13">
      <c r="A2544" s="1">
        <f>HYPERLINK("http://www.twitter.com/NathanBLawrence/status/985702596848517120", "985702596848517120")</f>
        <v/>
      </c>
      <c r="B2544" s="2" t="n">
        <v>43206.09244212963</v>
      </c>
      <c r="C2544" t="n">
        <v>0</v>
      </c>
      <c r="D2544" t="n">
        <v>12</v>
      </c>
      <c r="E2544" t="s">
        <v>2546</v>
      </c>
      <c r="F2544">
        <f>HYPERLINK("http://pbs.twimg.com/media/Da29rXTUMAAdauk.jpg", "http://pbs.twimg.com/media/Da29rXTUMAAdauk.jpg")</f>
        <v/>
      </c>
      <c r="G2544" t="s"/>
      <c r="H2544" t="s"/>
      <c r="I2544" t="s"/>
      <c r="J2544" t="n">
        <v>-0.5610000000000001</v>
      </c>
      <c r="K2544" t="n">
        <v>0.16</v>
      </c>
      <c r="L2544" t="n">
        <v>0.84</v>
      </c>
      <c r="M2544" t="n">
        <v>0</v>
      </c>
    </row>
    <row r="2545" spans="1:13">
      <c r="A2545" s="1">
        <f>HYPERLINK("http://www.twitter.com/NathanBLawrence/status/985692910971703297", "985692910971703297")</f>
        <v/>
      </c>
      <c r="B2545" s="2" t="n">
        <v>43206.06570601852</v>
      </c>
      <c r="C2545" t="n">
        <v>0</v>
      </c>
      <c r="D2545" t="n">
        <v>9</v>
      </c>
      <c r="E2545" t="s">
        <v>2547</v>
      </c>
      <c r="F2545">
        <f>HYPERLINK("http://pbs.twimg.com/media/Da2-alaV4AA1S34.jpg", "http://pbs.twimg.com/media/Da2-alaV4AA1S34.jpg")</f>
        <v/>
      </c>
      <c r="G2545" t="s"/>
      <c r="H2545" t="s"/>
      <c r="I2545" t="s"/>
      <c r="J2545" t="n">
        <v>-0.6808</v>
      </c>
      <c r="K2545" t="n">
        <v>0.203</v>
      </c>
      <c r="L2545" t="n">
        <v>0.797</v>
      </c>
      <c r="M2545" t="n">
        <v>0</v>
      </c>
    </row>
    <row r="2546" spans="1:13">
      <c r="A2546" s="1">
        <f>HYPERLINK("http://www.twitter.com/NathanBLawrence/status/985689234253238272", "985689234253238272")</f>
        <v/>
      </c>
      <c r="B2546" s="2" t="n">
        <v>43206.05556712963</v>
      </c>
      <c r="C2546" t="n">
        <v>1</v>
      </c>
      <c r="D2546" t="n">
        <v>0</v>
      </c>
      <c r="E2546" t="s">
        <v>2548</v>
      </c>
      <c r="F2546" t="s"/>
      <c r="G2546" t="s"/>
      <c r="H2546" t="s"/>
      <c r="I2546" t="s"/>
      <c r="J2546" t="n">
        <v>0.765</v>
      </c>
      <c r="K2546" t="n">
        <v>0</v>
      </c>
      <c r="L2546" t="n">
        <v>0.602</v>
      </c>
      <c r="M2546" t="n">
        <v>0.398</v>
      </c>
    </row>
    <row r="2547" spans="1:13">
      <c r="A2547" s="1">
        <f>HYPERLINK("http://www.twitter.com/NathanBLawrence/status/985682441078804480", "985682441078804480")</f>
        <v/>
      </c>
      <c r="B2547" s="2" t="n">
        <v>43206.03681712963</v>
      </c>
      <c r="C2547" t="n">
        <v>0</v>
      </c>
      <c r="D2547" t="n">
        <v>13</v>
      </c>
      <c r="E2547" t="s">
        <v>2549</v>
      </c>
      <c r="F2547" t="s"/>
      <c r="G2547" t="s"/>
      <c r="H2547" t="s"/>
      <c r="I2547" t="s"/>
      <c r="J2547" t="n">
        <v>0.5106000000000001</v>
      </c>
      <c r="K2547" t="n">
        <v>0.05</v>
      </c>
      <c r="L2547" t="n">
        <v>0.772</v>
      </c>
      <c r="M2547" t="n">
        <v>0.178</v>
      </c>
    </row>
    <row r="2548" spans="1:13">
      <c r="A2548" s="1">
        <f>HYPERLINK("http://www.twitter.com/NathanBLawrence/status/985681969164976128", "985681969164976128")</f>
        <v/>
      </c>
      <c r="B2548" s="2" t="n">
        <v>43206.03552083333</v>
      </c>
      <c r="C2548" t="n">
        <v>0</v>
      </c>
      <c r="D2548" t="n">
        <v>0</v>
      </c>
      <c r="E2548" t="s">
        <v>2550</v>
      </c>
      <c r="F2548" t="s"/>
      <c r="G2548" t="s"/>
      <c r="H2548" t="s"/>
      <c r="I2548" t="s"/>
      <c r="J2548" t="n">
        <v>0.7579</v>
      </c>
      <c r="K2548" t="n">
        <v>0</v>
      </c>
      <c r="L2548" t="n">
        <v>0.8</v>
      </c>
      <c r="M2548" t="n">
        <v>0.2</v>
      </c>
    </row>
    <row r="2549" spans="1:13">
      <c r="A2549" s="1">
        <f>HYPERLINK("http://www.twitter.com/NathanBLawrence/status/985680760358268928", "985680760358268928")</f>
        <v/>
      </c>
      <c r="B2549" s="2" t="n">
        <v>43206.03217592592</v>
      </c>
      <c r="C2549" t="n">
        <v>1</v>
      </c>
      <c r="D2549" t="n">
        <v>0</v>
      </c>
      <c r="E2549" t="s">
        <v>2551</v>
      </c>
      <c r="F2549" t="s"/>
      <c r="G2549" t="s"/>
      <c r="H2549" t="s"/>
      <c r="I2549" t="s"/>
      <c r="J2549" t="n">
        <v>0.681</v>
      </c>
      <c r="K2549" t="n">
        <v>0</v>
      </c>
      <c r="L2549" t="n">
        <v>0.728</v>
      </c>
      <c r="M2549" t="n">
        <v>0.272</v>
      </c>
    </row>
    <row r="2550" spans="1:13">
      <c r="A2550" s="1">
        <f>HYPERLINK("http://www.twitter.com/NathanBLawrence/status/985680064472911872", "985680064472911872")</f>
        <v/>
      </c>
      <c r="B2550" s="2" t="n">
        <v>43206.03026620371</v>
      </c>
      <c r="C2550" t="n">
        <v>0</v>
      </c>
      <c r="D2550" t="n">
        <v>0</v>
      </c>
      <c r="E2550" t="s">
        <v>2552</v>
      </c>
      <c r="F2550" t="s"/>
      <c r="G2550" t="s"/>
      <c r="H2550" t="s"/>
      <c r="I2550" t="s"/>
      <c r="J2550" t="n">
        <v>0.7589</v>
      </c>
      <c r="K2550" t="n">
        <v>0</v>
      </c>
      <c r="L2550" t="n">
        <v>0.835</v>
      </c>
      <c r="M2550" t="n">
        <v>0.165</v>
      </c>
    </row>
    <row r="2551" spans="1:13">
      <c r="A2551" s="1">
        <f>HYPERLINK("http://www.twitter.com/NathanBLawrence/status/985679089561407488", "985679089561407488")</f>
        <v/>
      </c>
      <c r="B2551" s="2" t="n">
        <v>43206.02756944444</v>
      </c>
      <c r="C2551" t="n">
        <v>1</v>
      </c>
      <c r="D2551" t="n">
        <v>0</v>
      </c>
      <c r="E2551" t="s">
        <v>2553</v>
      </c>
      <c r="F2551" t="s"/>
      <c r="G2551" t="s"/>
      <c r="H2551" t="s"/>
      <c r="I2551" t="s"/>
      <c r="J2551" t="n">
        <v>-0.34</v>
      </c>
      <c r="K2551" t="n">
        <v>0.298</v>
      </c>
      <c r="L2551" t="n">
        <v>0.585</v>
      </c>
      <c r="M2551" t="n">
        <v>0.117</v>
      </c>
    </row>
    <row r="2552" spans="1:13">
      <c r="A2552" s="1">
        <f>HYPERLINK("http://www.twitter.com/NathanBLawrence/status/985678718944337921", "985678718944337921")</f>
        <v/>
      </c>
      <c r="B2552" s="2" t="n">
        <v>43206.02655092593</v>
      </c>
      <c r="C2552" t="n">
        <v>0</v>
      </c>
      <c r="D2552" t="n">
        <v>0</v>
      </c>
      <c r="E2552" t="s">
        <v>2554</v>
      </c>
      <c r="F2552" t="s"/>
      <c r="G2552" t="s"/>
      <c r="H2552" t="s"/>
      <c r="I2552" t="s"/>
      <c r="J2552" t="n">
        <v>0</v>
      </c>
      <c r="K2552" t="n">
        <v>0</v>
      </c>
      <c r="L2552" t="n">
        <v>1</v>
      </c>
      <c r="M2552" t="n">
        <v>0</v>
      </c>
    </row>
    <row r="2553" spans="1:13">
      <c r="A2553" s="1">
        <f>HYPERLINK("http://www.twitter.com/NathanBLawrence/status/985676735483187205", "985676735483187205")</f>
        <v/>
      </c>
      <c r="B2553" s="2" t="n">
        <v>43206.02107638889</v>
      </c>
      <c r="C2553" t="n">
        <v>0</v>
      </c>
      <c r="D2553" t="n">
        <v>0</v>
      </c>
      <c r="E2553" t="s">
        <v>2555</v>
      </c>
      <c r="F2553" t="s"/>
      <c r="G2553" t="s"/>
      <c r="H2553" t="s"/>
      <c r="I2553" t="s"/>
      <c r="J2553" t="n">
        <v>0</v>
      </c>
      <c r="K2553" t="n">
        <v>0</v>
      </c>
      <c r="L2553" t="n">
        <v>1</v>
      </c>
      <c r="M2553" t="n">
        <v>0</v>
      </c>
    </row>
    <row r="2554" spans="1:13">
      <c r="A2554" s="1">
        <f>HYPERLINK("http://www.twitter.com/NathanBLawrence/status/985676250197954560", "985676250197954560")</f>
        <v/>
      </c>
      <c r="B2554" s="2" t="n">
        <v>43206.0197337963</v>
      </c>
      <c r="C2554" t="n">
        <v>0</v>
      </c>
      <c r="D2554" t="n">
        <v>5</v>
      </c>
      <c r="E2554" t="s">
        <v>2556</v>
      </c>
      <c r="F2554" t="s"/>
      <c r="G2554" t="s"/>
      <c r="H2554" t="s"/>
      <c r="I2554" t="s"/>
      <c r="J2554" t="n">
        <v>-0.3703</v>
      </c>
      <c r="K2554" t="n">
        <v>0.13</v>
      </c>
      <c r="L2554" t="n">
        <v>0.87</v>
      </c>
      <c r="M2554" t="n">
        <v>0</v>
      </c>
    </row>
    <row r="2555" spans="1:13">
      <c r="A2555" s="1">
        <f>HYPERLINK("http://www.twitter.com/NathanBLawrence/status/985675527989137408", "985675527989137408")</f>
        <v/>
      </c>
      <c r="B2555" s="2" t="n">
        <v>43206.01774305556</v>
      </c>
      <c r="C2555" t="n">
        <v>0</v>
      </c>
      <c r="D2555" t="n">
        <v>7</v>
      </c>
      <c r="E2555" t="s">
        <v>2557</v>
      </c>
      <c r="F2555">
        <f>HYPERLINK("http://pbs.twimg.com/media/Da2zKOZVwAA5cTB.jpg", "http://pbs.twimg.com/media/Da2zKOZVwAA5cTB.jpg")</f>
        <v/>
      </c>
      <c r="G2555" t="s"/>
      <c r="H2555" t="s"/>
      <c r="I2555" t="s"/>
      <c r="J2555" t="n">
        <v>0</v>
      </c>
      <c r="K2555" t="n">
        <v>0</v>
      </c>
      <c r="L2555" t="n">
        <v>1</v>
      </c>
      <c r="M2555" t="n">
        <v>0</v>
      </c>
    </row>
    <row r="2556" spans="1:13">
      <c r="A2556" s="1">
        <f>HYPERLINK("http://www.twitter.com/NathanBLawrence/status/985675464353177600", "985675464353177600")</f>
        <v/>
      </c>
      <c r="B2556" s="2" t="n">
        <v>43206.01756944445</v>
      </c>
      <c r="C2556" t="n">
        <v>1</v>
      </c>
      <c r="D2556" t="n">
        <v>0</v>
      </c>
      <c r="E2556" t="s">
        <v>2558</v>
      </c>
      <c r="F2556" t="s"/>
      <c r="G2556" t="s"/>
      <c r="H2556" t="s"/>
      <c r="I2556" t="s"/>
      <c r="J2556" t="n">
        <v>0.6633</v>
      </c>
      <c r="K2556" t="n">
        <v>0</v>
      </c>
      <c r="L2556" t="n">
        <v>0.802</v>
      </c>
      <c r="M2556" t="n">
        <v>0.198</v>
      </c>
    </row>
    <row r="2557" spans="1:13">
      <c r="A2557" s="1">
        <f>HYPERLINK("http://www.twitter.com/NathanBLawrence/status/985673785541058560", "985673785541058560")</f>
        <v/>
      </c>
      <c r="B2557" s="2" t="n">
        <v>43206.01293981481</v>
      </c>
      <c r="C2557" t="n">
        <v>0</v>
      </c>
      <c r="D2557" t="n">
        <v>3</v>
      </c>
      <c r="E2557" t="s">
        <v>2559</v>
      </c>
      <c r="F2557" t="s"/>
      <c r="G2557" t="s"/>
      <c r="H2557" t="s"/>
      <c r="I2557" t="s"/>
      <c r="J2557" t="n">
        <v>0</v>
      </c>
      <c r="K2557" t="n">
        <v>0</v>
      </c>
      <c r="L2557" t="n">
        <v>1</v>
      </c>
      <c r="M2557" t="n">
        <v>0</v>
      </c>
    </row>
    <row r="2558" spans="1:13">
      <c r="A2558" s="1">
        <f>HYPERLINK("http://www.twitter.com/NathanBLawrence/status/985673042729762816", "985673042729762816")</f>
        <v/>
      </c>
      <c r="B2558" s="2" t="n">
        <v>43206.01087962963</v>
      </c>
      <c r="C2558" t="n">
        <v>0</v>
      </c>
      <c r="D2558" t="n">
        <v>2</v>
      </c>
      <c r="E2558" t="s">
        <v>2560</v>
      </c>
      <c r="F2558" t="s"/>
      <c r="G2558" t="s"/>
      <c r="H2558" t="s"/>
      <c r="I2558" t="s"/>
      <c r="J2558" t="n">
        <v>0</v>
      </c>
      <c r="K2558" t="n">
        <v>0</v>
      </c>
      <c r="L2558" t="n">
        <v>1</v>
      </c>
      <c r="M2558" t="n">
        <v>0</v>
      </c>
    </row>
    <row r="2559" spans="1:13">
      <c r="A2559" s="1">
        <f>HYPERLINK("http://www.twitter.com/NathanBLawrence/status/985672743780864000", "985672743780864000")</f>
        <v/>
      </c>
      <c r="B2559" s="2" t="n">
        <v>43206.01005787037</v>
      </c>
      <c r="C2559" t="n">
        <v>0</v>
      </c>
      <c r="D2559" t="n">
        <v>8</v>
      </c>
      <c r="E2559" t="s">
        <v>2561</v>
      </c>
      <c r="F2559" t="s"/>
      <c r="G2559" t="s"/>
      <c r="H2559" t="s"/>
      <c r="I2559" t="s"/>
      <c r="J2559" t="n">
        <v>0</v>
      </c>
      <c r="K2559" t="n">
        <v>0</v>
      </c>
      <c r="L2559" t="n">
        <v>1</v>
      </c>
      <c r="M2559" t="n">
        <v>0</v>
      </c>
    </row>
    <row r="2560" spans="1:13">
      <c r="A2560" s="1">
        <f>HYPERLINK("http://www.twitter.com/NathanBLawrence/status/985672459033726976", "985672459033726976")</f>
        <v/>
      </c>
      <c r="B2560" s="2" t="n">
        <v>43206.00927083333</v>
      </c>
      <c r="C2560" t="n">
        <v>0</v>
      </c>
      <c r="D2560" t="n">
        <v>3</v>
      </c>
      <c r="E2560" t="s">
        <v>2562</v>
      </c>
      <c r="F2560" t="s"/>
      <c r="G2560" t="s"/>
      <c r="H2560" t="s"/>
      <c r="I2560" t="s"/>
      <c r="J2560" t="n">
        <v>0</v>
      </c>
      <c r="K2560" t="n">
        <v>0</v>
      </c>
      <c r="L2560" t="n">
        <v>1</v>
      </c>
      <c r="M2560" t="n">
        <v>0</v>
      </c>
    </row>
    <row r="2561" spans="1:13">
      <c r="A2561" s="1">
        <f>HYPERLINK("http://www.twitter.com/NathanBLawrence/status/985672427563814912", "985672427563814912")</f>
        <v/>
      </c>
      <c r="B2561" s="2" t="n">
        <v>43206.00918981482</v>
      </c>
      <c r="C2561" t="n">
        <v>1</v>
      </c>
      <c r="D2561" t="n">
        <v>0</v>
      </c>
      <c r="E2561" t="s">
        <v>2563</v>
      </c>
      <c r="F2561" t="s"/>
      <c r="G2561" t="s"/>
      <c r="H2561" t="s"/>
      <c r="I2561" t="s"/>
      <c r="J2561" t="n">
        <v>0.7506</v>
      </c>
      <c r="K2561" t="n">
        <v>0</v>
      </c>
      <c r="L2561" t="n">
        <v>0.738</v>
      </c>
      <c r="M2561" t="n">
        <v>0.262</v>
      </c>
    </row>
    <row r="2562" spans="1:13">
      <c r="A2562" s="1">
        <f>HYPERLINK("http://www.twitter.com/NathanBLawrence/status/985640670277795842", "985640670277795842")</f>
        <v/>
      </c>
      <c r="B2562" s="2" t="n">
        <v>43205.92155092592</v>
      </c>
      <c r="C2562" t="n">
        <v>1</v>
      </c>
      <c r="D2562" t="n">
        <v>0</v>
      </c>
      <c r="E2562" t="s">
        <v>2564</v>
      </c>
      <c r="F2562" t="s"/>
      <c r="G2562" t="s"/>
      <c r="H2562" t="s"/>
      <c r="I2562" t="s"/>
      <c r="J2562" t="n">
        <v>-0.6369</v>
      </c>
      <c r="K2562" t="n">
        <v>0.238</v>
      </c>
      <c r="L2562" t="n">
        <v>0.674</v>
      </c>
      <c r="M2562" t="n">
        <v>0.089</v>
      </c>
    </row>
    <row r="2563" spans="1:13">
      <c r="A2563" s="1">
        <f>HYPERLINK("http://www.twitter.com/NathanBLawrence/status/985633063521718272", "985633063521718272")</f>
        <v/>
      </c>
      <c r="B2563" s="2" t="n">
        <v>43205.90056712963</v>
      </c>
      <c r="C2563" t="n">
        <v>2</v>
      </c>
      <c r="D2563" t="n">
        <v>0</v>
      </c>
      <c r="E2563" t="s">
        <v>2565</v>
      </c>
      <c r="F2563" t="s"/>
      <c r="G2563" t="s"/>
      <c r="H2563" t="s"/>
      <c r="I2563" t="s"/>
      <c r="J2563" t="n">
        <v>-0.3818</v>
      </c>
      <c r="K2563" t="n">
        <v>0.178</v>
      </c>
      <c r="L2563" t="n">
        <v>0.822</v>
      </c>
      <c r="M2563" t="n">
        <v>0</v>
      </c>
    </row>
    <row r="2564" spans="1:13">
      <c r="A2564" s="1">
        <f>HYPERLINK("http://www.twitter.com/NathanBLawrence/status/985626340748644353", "985626340748644353")</f>
        <v/>
      </c>
      <c r="B2564" s="2" t="n">
        <v>43205.88201388889</v>
      </c>
      <c r="C2564" t="n">
        <v>1</v>
      </c>
      <c r="D2564" t="n">
        <v>0</v>
      </c>
      <c r="E2564" t="s">
        <v>2566</v>
      </c>
      <c r="F2564" t="s"/>
      <c r="G2564" t="s"/>
      <c r="H2564" t="s"/>
      <c r="I2564" t="s"/>
      <c r="J2564" t="n">
        <v>0</v>
      </c>
      <c r="K2564" t="n">
        <v>0</v>
      </c>
      <c r="L2564" t="n">
        <v>1</v>
      </c>
      <c r="M2564" t="n">
        <v>0</v>
      </c>
    </row>
    <row r="2565" spans="1:13">
      <c r="A2565" s="1">
        <f>HYPERLINK("http://www.twitter.com/NathanBLawrence/status/985625786769125376", "985625786769125376")</f>
        <v/>
      </c>
      <c r="B2565" s="2" t="n">
        <v>43205.88048611111</v>
      </c>
      <c r="C2565" t="n">
        <v>7</v>
      </c>
      <c r="D2565" t="n">
        <v>5</v>
      </c>
      <c r="E2565" t="s">
        <v>2567</v>
      </c>
      <c r="F2565" t="s"/>
      <c r="G2565" t="s"/>
      <c r="H2565" t="s"/>
      <c r="I2565" t="s"/>
      <c r="J2565" t="n">
        <v>-0.4404</v>
      </c>
      <c r="K2565" t="n">
        <v>0.127</v>
      </c>
      <c r="L2565" t="n">
        <v>0.873</v>
      </c>
      <c r="M2565" t="n">
        <v>0</v>
      </c>
    </row>
    <row r="2566" spans="1:13">
      <c r="A2566" s="1">
        <f>HYPERLINK("http://www.twitter.com/NathanBLawrence/status/985621080873283585", "985621080873283585")</f>
        <v/>
      </c>
      <c r="B2566" s="2" t="n">
        <v>43205.8675</v>
      </c>
      <c r="C2566" t="n">
        <v>1</v>
      </c>
      <c r="D2566" t="n">
        <v>0</v>
      </c>
      <c r="E2566" t="s">
        <v>2568</v>
      </c>
      <c r="F2566" t="s"/>
      <c r="G2566" t="s"/>
      <c r="H2566" t="s"/>
      <c r="I2566" t="s"/>
      <c r="J2566" t="n">
        <v>0</v>
      </c>
      <c r="K2566" t="n">
        <v>0</v>
      </c>
      <c r="L2566" t="n">
        <v>1</v>
      </c>
      <c r="M2566" t="n">
        <v>0</v>
      </c>
    </row>
    <row r="2567" spans="1:13">
      <c r="A2567" s="1">
        <f>HYPERLINK("http://www.twitter.com/NathanBLawrence/status/985618157724422144", "985618157724422144")</f>
        <v/>
      </c>
      <c r="B2567" s="2" t="n">
        <v>43205.85943287037</v>
      </c>
      <c r="C2567" t="n">
        <v>0</v>
      </c>
      <c r="D2567" t="n">
        <v>4</v>
      </c>
      <c r="E2567" t="s">
        <v>2569</v>
      </c>
      <c r="F2567" t="s"/>
      <c r="G2567" t="s"/>
      <c r="H2567" t="s"/>
      <c r="I2567" t="s"/>
      <c r="J2567" t="n">
        <v>-0.3595</v>
      </c>
      <c r="K2567" t="n">
        <v>0.103</v>
      </c>
      <c r="L2567" t="n">
        <v>0.849</v>
      </c>
      <c r="M2567" t="n">
        <v>0.048</v>
      </c>
    </row>
    <row r="2568" spans="1:13">
      <c r="A2568" s="1">
        <f>HYPERLINK("http://www.twitter.com/NathanBLawrence/status/985614941645426688", "985614941645426688")</f>
        <v/>
      </c>
      <c r="B2568" s="2" t="n">
        <v>43205.85055555555</v>
      </c>
      <c r="C2568" t="n">
        <v>0</v>
      </c>
      <c r="D2568" t="n">
        <v>7</v>
      </c>
      <c r="E2568" t="s">
        <v>2570</v>
      </c>
      <c r="F2568" t="s"/>
      <c r="G2568" t="s"/>
      <c r="H2568" t="s"/>
      <c r="I2568" t="s"/>
      <c r="J2568" t="n">
        <v>0.4404</v>
      </c>
      <c r="K2568" t="n">
        <v>0</v>
      </c>
      <c r="L2568" t="n">
        <v>0.837</v>
      </c>
      <c r="M2568" t="n">
        <v>0.163</v>
      </c>
    </row>
    <row r="2569" spans="1:13">
      <c r="A2569" s="1">
        <f>HYPERLINK("http://www.twitter.com/NathanBLawrence/status/985611988561735680", "985611988561735680")</f>
        <v/>
      </c>
      <c r="B2569" s="2" t="n">
        <v>43205.84240740741</v>
      </c>
      <c r="C2569" t="n">
        <v>0</v>
      </c>
      <c r="D2569" t="n">
        <v>14</v>
      </c>
      <c r="E2569" t="s">
        <v>2571</v>
      </c>
      <c r="F2569" t="s"/>
      <c r="G2569" t="s"/>
      <c r="H2569" t="s"/>
      <c r="I2569" t="s"/>
      <c r="J2569" t="n">
        <v>-0.0382</v>
      </c>
      <c r="K2569" t="n">
        <v>0.089</v>
      </c>
      <c r="L2569" t="n">
        <v>0.828</v>
      </c>
      <c r="M2569" t="n">
        <v>0.083</v>
      </c>
    </row>
    <row r="2570" spans="1:13">
      <c r="A2570" s="1">
        <f>HYPERLINK("http://www.twitter.com/NathanBLawrence/status/985607632810598401", "985607632810598401")</f>
        <v/>
      </c>
      <c r="B2570" s="2" t="n">
        <v>43205.83039351852</v>
      </c>
      <c r="C2570" t="n">
        <v>3</v>
      </c>
      <c r="D2570" t="n">
        <v>1</v>
      </c>
      <c r="E2570" t="s">
        <v>2572</v>
      </c>
      <c r="F2570">
        <f>HYPERLINK("http://pbs.twimg.com/media/Da2U6nzWAAAc7nh.jpg", "http://pbs.twimg.com/media/Da2U6nzWAAAc7nh.jpg")</f>
        <v/>
      </c>
      <c r="G2570" t="s"/>
      <c r="H2570" t="s"/>
      <c r="I2570" t="s"/>
      <c r="J2570" t="n">
        <v>0</v>
      </c>
      <c r="K2570" t="n">
        <v>0</v>
      </c>
      <c r="L2570" t="n">
        <v>1</v>
      </c>
      <c r="M2570" t="n">
        <v>0</v>
      </c>
    </row>
    <row r="2571" spans="1:13">
      <c r="A2571" s="1">
        <f>HYPERLINK("http://www.twitter.com/NathanBLawrence/status/985606837667016712", "985606837667016712")</f>
        <v/>
      </c>
      <c r="B2571" s="2" t="n">
        <v>43205.82819444445</v>
      </c>
      <c r="C2571" t="n">
        <v>0</v>
      </c>
      <c r="D2571" t="n">
        <v>6</v>
      </c>
      <c r="E2571" t="s">
        <v>2573</v>
      </c>
      <c r="F2571" t="s"/>
      <c r="G2571" t="s"/>
      <c r="H2571" t="s"/>
      <c r="I2571" t="s"/>
      <c r="J2571" t="n">
        <v>-0.4466</v>
      </c>
      <c r="K2571" t="n">
        <v>0.134</v>
      </c>
      <c r="L2571" t="n">
        <v>0.866</v>
      </c>
      <c r="M2571" t="n">
        <v>0</v>
      </c>
    </row>
    <row r="2572" spans="1:13">
      <c r="A2572" s="1">
        <f>HYPERLINK("http://www.twitter.com/NathanBLawrence/status/985606476654923776", "985606476654923776")</f>
        <v/>
      </c>
      <c r="B2572" s="2" t="n">
        <v>43205.82719907408</v>
      </c>
      <c r="C2572" t="n">
        <v>8</v>
      </c>
      <c r="D2572" t="n">
        <v>6</v>
      </c>
      <c r="E2572" t="s">
        <v>2574</v>
      </c>
      <c r="F2572" t="s"/>
      <c r="G2572" t="s"/>
      <c r="H2572" t="s"/>
      <c r="I2572" t="s"/>
      <c r="J2572" t="n">
        <v>-0.9402</v>
      </c>
      <c r="K2572" t="n">
        <v>0.322</v>
      </c>
      <c r="L2572" t="n">
        <v>0.631</v>
      </c>
      <c r="M2572" t="n">
        <v>0.047</v>
      </c>
    </row>
    <row r="2573" spans="1:13">
      <c r="A2573" s="1">
        <f>HYPERLINK("http://www.twitter.com/NathanBLawrence/status/985603817545740288", "985603817545740288")</f>
        <v/>
      </c>
      <c r="B2573" s="2" t="n">
        <v>43205.81986111111</v>
      </c>
      <c r="C2573" t="n">
        <v>0</v>
      </c>
      <c r="D2573" t="n">
        <v>1</v>
      </c>
      <c r="E2573" t="s">
        <v>2575</v>
      </c>
      <c r="F2573" t="s"/>
      <c r="G2573" t="s"/>
      <c r="H2573" t="s"/>
      <c r="I2573" t="s"/>
      <c r="J2573" t="n">
        <v>0</v>
      </c>
      <c r="K2573" t="n">
        <v>0</v>
      </c>
      <c r="L2573" t="n">
        <v>1</v>
      </c>
      <c r="M2573" t="n">
        <v>0</v>
      </c>
    </row>
    <row r="2574" spans="1:13">
      <c r="A2574" s="1">
        <f>HYPERLINK("http://www.twitter.com/NathanBLawrence/status/985598467367108608", "985598467367108608")</f>
        <v/>
      </c>
      <c r="B2574" s="2" t="n">
        <v>43205.80509259259</v>
      </c>
      <c r="C2574" t="n">
        <v>0</v>
      </c>
      <c r="D2574" t="n">
        <v>9</v>
      </c>
      <c r="E2574" t="s">
        <v>2576</v>
      </c>
      <c r="F2574" t="s"/>
      <c r="G2574" t="s"/>
      <c r="H2574" t="s"/>
      <c r="I2574" t="s"/>
      <c r="J2574" t="n">
        <v>0</v>
      </c>
      <c r="K2574" t="n">
        <v>0</v>
      </c>
      <c r="L2574" t="n">
        <v>1</v>
      </c>
      <c r="M2574" t="n">
        <v>0</v>
      </c>
    </row>
    <row r="2575" spans="1:13">
      <c r="A2575" s="1">
        <f>HYPERLINK("http://www.twitter.com/NathanBLawrence/status/985598442474037248", "985598442474037248")</f>
        <v/>
      </c>
      <c r="B2575" s="2" t="n">
        <v>43205.80502314815</v>
      </c>
      <c r="C2575" t="n">
        <v>4</v>
      </c>
      <c r="D2575" t="n">
        <v>3</v>
      </c>
      <c r="E2575" t="s">
        <v>2577</v>
      </c>
      <c r="F2575" t="s"/>
      <c r="G2575" t="s"/>
      <c r="H2575" t="s"/>
      <c r="I2575" t="s"/>
      <c r="J2575" t="n">
        <v>-0.0258</v>
      </c>
      <c r="K2575" t="n">
        <v>0.062</v>
      </c>
      <c r="L2575" t="n">
        <v>0.878</v>
      </c>
      <c r="M2575" t="n">
        <v>0.06</v>
      </c>
    </row>
    <row r="2576" spans="1:13">
      <c r="A2576" s="1">
        <f>HYPERLINK("http://www.twitter.com/NathanBLawrence/status/985594181061152768", "985594181061152768")</f>
        <v/>
      </c>
      <c r="B2576" s="2" t="n">
        <v>43205.79326388889</v>
      </c>
      <c r="C2576" t="n">
        <v>3</v>
      </c>
      <c r="D2576" t="n">
        <v>0</v>
      </c>
      <c r="E2576" t="s">
        <v>2578</v>
      </c>
      <c r="F2576" t="s"/>
      <c r="G2576" t="s"/>
      <c r="H2576" t="s"/>
      <c r="I2576" t="s"/>
      <c r="J2576" t="n">
        <v>0.1682</v>
      </c>
      <c r="K2576" t="n">
        <v>0</v>
      </c>
      <c r="L2576" t="n">
        <v>0.916</v>
      </c>
      <c r="M2576" t="n">
        <v>0.08400000000000001</v>
      </c>
    </row>
    <row r="2577" spans="1:13">
      <c r="A2577" s="1">
        <f>HYPERLINK("http://www.twitter.com/NathanBLawrence/status/985591225146372100", "985591225146372100")</f>
        <v/>
      </c>
      <c r="B2577" s="2" t="n">
        <v>43205.78511574074</v>
      </c>
      <c r="C2577" t="n">
        <v>0</v>
      </c>
      <c r="D2577" t="n">
        <v>1</v>
      </c>
      <c r="E2577" t="s">
        <v>2579</v>
      </c>
      <c r="F2577" t="s"/>
      <c r="G2577" t="s"/>
      <c r="H2577" t="s"/>
      <c r="I2577" t="s"/>
      <c r="J2577" t="n">
        <v>0</v>
      </c>
      <c r="K2577" t="n">
        <v>0</v>
      </c>
      <c r="L2577" t="n">
        <v>1</v>
      </c>
      <c r="M2577" t="n">
        <v>0</v>
      </c>
    </row>
    <row r="2578" spans="1:13">
      <c r="A2578" s="1">
        <f>HYPERLINK("http://www.twitter.com/NathanBLawrence/status/985586544357593090", "985586544357593090")</f>
        <v/>
      </c>
      <c r="B2578" s="2" t="n">
        <v>43205.77219907408</v>
      </c>
      <c r="C2578" t="n">
        <v>0</v>
      </c>
      <c r="D2578" t="n">
        <v>4</v>
      </c>
      <c r="E2578" t="s">
        <v>2580</v>
      </c>
      <c r="F2578" t="s"/>
      <c r="G2578" t="s"/>
      <c r="H2578" t="s"/>
      <c r="I2578" t="s"/>
      <c r="J2578" t="n">
        <v>0.4019</v>
      </c>
      <c r="K2578" t="n">
        <v>0</v>
      </c>
      <c r="L2578" t="n">
        <v>0.863</v>
      </c>
      <c r="M2578" t="n">
        <v>0.137</v>
      </c>
    </row>
    <row r="2579" spans="1:13">
      <c r="A2579" s="1">
        <f>HYPERLINK("http://www.twitter.com/NathanBLawrence/status/985585497400659968", "985585497400659968")</f>
        <v/>
      </c>
      <c r="B2579" s="2" t="n">
        <v>43205.76930555556</v>
      </c>
      <c r="C2579" t="n">
        <v>0</v>
      </c>
      <c r="D2579" t="n">
        <v>16</v>
      </c>
      <c r="E2579" t="s">
        <v>2581</v>
      </c>
      <c r="F2579" t="s"/>
      <c r="G2579" t="s"/>
      <c r="H2579" t="s"/>
      <c r="I2579" t="s"/>
      <c r="J2579" t="n">
        <v>-0.0688</v>
      </c>
      <c r="K2579" t="n">
        <v>0.105</v>
      </c>
      <c r="L2579" t="n">
        <v>0.801</v>
      </c>
      <c r="M2579" t="n">
        <v>0.094</v>
      </c>
    </row>
    <row r="2580" spans="1:13">
      <c r="A2580" s="1">
        <f>HYPERLINK("http://www.twitter.com/NathanBLawrence/status/985584059928776705", "985584059928776705")</f>
        <v/>
      </c>
      <c r="B2580" s="2" t="n">
        <v>43205.76533564815</v>
      </c>
      <c r="C2580" t="n">
        <v>1</v>
      </c>
      <c r="D2580" t="n">
        <v>0</v>
      </c>
      <c r="E2580" t="s">
        <v>2582</v>
      </c>
      <c r="F2580" t="s"/>
      <c r="G2580" t="s"/>
      <c r="H2580" t="s"/>
      <c r="I2580" t="s"/>
      <c r="J2580" t="n">
        <v>-0.4019</v>
      </c>
      <c r="K2580" t="n">
        <v>0.197</v>
      </c>
      <c r="L2580" t="n">
        <v>0.803</v>
      </c>
      <c r="M2580" t="n">
        <v>0</v>
      </c>
    </row>
    <row r="2581" spans="1:13">
      <c r="A2581" s="1">
        <f>HYPERLINK("http://www.twitter.com/NathanBLawrence/status/985583605798797312", "985583605798797312")</f>
        <v/>
      </c>
      <c r="B2581" s="2" t="n">
        <v>43205.76408564814</v>
      </c>
      <c r="C2581" t="n">
        <v>0</v>
      </c>
      <c r="D2581" t="n">
        <v>3</v>
      </c>
      <c r="E2581" t="s">
        <v>2583</v>
      </c>
      <c r="F2581" t="s"/>
      <c r="G2581" t="s"/>
      <c r="H2581" t="s"/>
      <c r="I2581" t="s"/>
      <c r="J2581" t="n">
        <v>0</v>
      </c>
      <c r="K2581" t="n">
        <v>0</v>
      </c>
      <c r="L2581" t="n">
        <v>1</v>
      </c>
      <c r="M2581" t="n">
        <v>0</v>
      </c>
    </row>
    <row r="2582" spans="1:13">
      <c r="A2582" s="1">
        <f>HYPERLINK("http://www.twitter.com/NathanBLawrence/status/985583384645832705", "985583384645832705")</f>
        <v/>
      </c>
      <c r="B2582" s="2" t="n">
        <v>43205.76347222222</v>
      </c>
      <c r="C2582" t="n">
        <v>0</v>
      </c>
      <c r="D2582" t="n">
        <v>26</v>
      </c>
      <c r="E2582" t="s">
        <v>2584</v>
      </c>
      <c r="F2582">
        <f>HYPERLINK("http://pbs.twimg.com/media/Da16xU8X0AAb7JT.jpg", "http://pbs.twimg.com/media/Da16xU8X0AAb7JT.jpg")</f>
        <v/>
      </c>
      <c r="G2582" t="s"/>
      <c r="H2582" t="s"/>
      <c r="I2582" t="s"/>
      <c r="J2582" t="n">
        <v>-0.3612</v>
      </c>
      <c r="K2582" t="n">
        <v>0.128</v>
      </c>
      <c r="L2582" t="n">
        <v>0.872</v>
      </c>
      <c r="M2582" t="n">
        <v>0</v>
      </c>
    </row>
    <row r="2583" spans="1:13">
      <c r="A2583" s="1">
        <f>HYPERLINK("http://www.twitter.com/NathanBLawrence/status/985582417250586625", "985582417250586625")</f>
        <v/>
      </c>
      <c r="B2583" s="2" t="n">
        <v>43205.76081018519</v>
      </c>
      <c r="C2583" t="n">
        <v>8</v>
      </c>
      <c r="D2583" t="n">
        <v>6</v>
      </c>
      <c r="E2583" t="s">
        <v>2585</v>
      </c>
      <c r="F2583" t="s"/>
      <c r="G2583" t="s"/>
      <c r="H2583" t="s"/>
      <c r="I2583" t="s"/>
      <c r="J2583" t="n">
        <v>0.1027</v>
      </c>
      <c r="K2583" t="n">
        <v>0.066</v>
      </c>
      <c r="L2583" t="n">
        <v>0.861</v>
      </c>
      <c r="M2583" t="n">
        <v>0.073</v>
      </c>
    </row>
    <row r="2584" spans="1:13">
      <c r="A2584" s="1">
        <f>HYPERLINK("http://www.twitter.com/NathanBLawrence/status/985569564611276800", "985569564611276800")</f>
        <v/>
      </c>
      <c r="B2584" s="2" t="n">
        <v>43205.72533564815</v>
      </c>
      <c r="C2584" t="n">
        <v>0</v>
      </c>
      <c r="D2584" t="n">
        <v>10</v>
      </c>
      <c r="E2584" t="s">
        <v>2586</v>
      </c>
      <c r="F2584" t="s"/>
      <c r="G2584" t="s"/>
      <c r="H2584" t="s"/>
      <c r="I2584" t="s"/>
      <c r="J2584" t="n">
        <v>0</v>
      </c>
      <c r="K2584" t="n">
        <v>0</v>
      </c>
      <c r="L2584" t="n">
        <v>1</v>
      </c>
      <c r="M2584" t="n">
        <v>0</v>
      </c>
    </row>
    <row r="2585" spans="1:13">
      <c r="A2585" s="1">
        <f>HYPERLINK("http://www.twitter.com/NathanBLawrence/status/985564594985951233", "985564594985951233")</f>
        <v/>
      </c>
      <c r="B2585" s="2" t="n">
        <v>43205.71163194445</v>
      </c>
      <c r="C2585" t="n">
        <v>0</v>
      </c>
      <c r="D2585" t="n">
        <v>4</v>
      </c>
      <c r="E2585" t="s">
        <v>2587</v>
      </c>
      <c r="F2585" t="s"/>
      <c r="G2585" t="s"/>
      <c r="H2585" t="s"/>
      <c r="I2585" t="s"/>
      <c r="J2585" t="n">
        <v>0.0258</v>
      </c>
      <c r="K2585" t="n">
        <v>0.105</v>
      </c>
      <c r="L2585" t="n">
        <v>0.786</v>
      </c>
      <c r="M2585" t="n">
        <v>0.109</v>
      </c>
    </row>
    <row r="2586" spans="1:13">
      <c r="A2586" s="1">
        <f>HYPERLINK("http://www.twitter.com/NathanBLawrence/status/985564390605905920", "985564390605905920")</f>
        <v/>
      </c>
      <c r="B2586" s="2" t="n">
        <v>43205.71106481482</v>
      </c>
      <c r="C2586" t="n">
        <v>0</v>
      </c>
      <c r="D2586" t="n">
        <v>15</v>
      </c>
      <c r="E2586" t="s">
        <v>2588</v>
      </c>
      <c r="F2586" t="s"/>
      <c r="G2586" t="s"/>
      <c r="H2586" t="s"/>
      <c r="I2586" t="s"/>
      <c r="J2586" t="n">
        <v>-0.296</v>
      </c>
      <c r="K2586" t="n">
        <v>0.095</v>
      </c>
      <c r="L2586" t="n">
        <v>0.905</v>
      </c>
      <c r="M2586" t="n">
        <v>0</v>
      </c>
    </row>
    <row r="2587" spans="1:13">
      <c r="A2587" s="1">
        <f>HYPERLINK("http://www.twitter.com/NathanBLawrence/status/985562980715819008", "985562980715819008")</f>
        <v/>
      </c>
      <c r="B2587" s="2" t="n">
        <v>43205.70717592593</v>
      </c>
      <c r="C2587" t="n">
        <v>2</v>
      </c>
      <c r="D2587" t="n">
        <v>0</v>
      </c>
      <c r="E2587" t="s">
        <v>2589</v>
      </c>
      <c r="F2587" t="s"/>
      <c r="G2587" t="s"/>
      <c r="H2587" t="s"/>
      <c r="I2587" t="s"/>
      <c r="J2587" t="n">
        <v>0</v>
      </c>
      <c r="K2587" t="n">
        <v>0</v>
      </c>
      <c r="L2587" t="n">
        <v>1</v>
      </c>
      <c r="M2587" t="n">
        <v>0</v>
      </c>
    </row>
    <row r="2588" spans="1:13">
      <c r="A2588" s="1">
        <f>HYPERLINK("http://www.twitter.com/NathanBLawrence/status/985562502330281984", "985562502330281984")</f>
        <v/>
      </c>
      <c r="B2588" s="2" t="n">
        <v>43205.70585648148</v>
      </c>
      <c r="C2588" t="n">
        <v>0</v>
      </c>
      <c r="D2588" t="n">
        <v>15</v>
      </c>
      <c r="E2588" t="s">
        <v>2590</v>
      </c>
      <c r="F2588" t="s"/>
      <c r="G2588" t="s"/>
      <c r="H2588" t="s"/>
      <c r="I2588" t="s"/>
      <c r="J2588" t="n">
        <v>0</v>
      </c>
      <c r="K2588" t="n">
        <v>0</v>
      </c>
      <c r="L2588" t="n">
        <v>1</v>
      </c>
      <c r="M2588" t="n">
        <v>0</v>
      </c>
    </row>
    <row r="2589" spans="1:13">
      <c r="A2589" s="1">
        <f>HYPERLINK("http://www.twitter.com/NathanBLawrence/status/985562296071151616", "985562296071151616")</f>
        <v/>
      </c>
      <c r="B2589" s="2" t="n">
        <v>43205.70527777778</v>
      </c>
      <c r="C2589" t="n">
        <v>0</v>
      </c>
      <c r="D2589" t="n">
        <v>2</v>
      </c>
      <c r="E2589" t="s">
        <v>2591</v>
      </c>
      <c r="F2589" t="s"/>
      <c r="G2589" t="s"/>
      <c r="H2589" t="s"/>
      <c r="I2589" t="s"/>
      <c r="J2589" t="n">
        <v>0</v>
      </c>
      <c r="K2589" t="n">
        <v>0</v>
      </c>
      <c r="L2589" t="n">
        <v>1</v>
      </c>
      <c r="M2589" t="n">
        <v>0</v>
      </c>
    </row>
    <row r="2590" spans="1:13">
      <c r="A2590" s="1">
        <f>HYPERLINK("http://www.twitter.com/NathanBLawrence/status/985561828104327168", "985561828104327168")</f>
        <v/>
      </c>
      <c r="B2590" s="2" t="n">
        <v>43205.70399305555</v>
      </c>
      <c r="C2590" t="n">
        <v>0</v>
      </c>
      <c r="D2590" t="n">
        <v>8</v>
      </c>
      <c r="E2590" t="s">
        <v>2592</v>
      </c>
      <c r="F2590" t="s"/>
      <c r="G2590" t="s"/>
      <c r="H2590" t="s"/>
      <c r="I2590" t="s"/>
      <c r="J2590" t="n">
        <v>0</v>
      </c>
      <c r="K2590" t="n">
        <v>0</v>
      </c>
      <c r="L2590" t="n">
        <v>1</v>
      </c>
      <c r="M2590" t="n">
        <v>0</v>
      </c>
    </row>
    <row r="2591" spans="1:13">
      <c r="A2591" s="1">
        <f>HYPERLINK("http://www.twitter.com/NathanBLawrence/status/985554884526247936", "985554884526247936")</f>
        <v/>
      </c>
      <c r="B2591" s="2" t="n">
        <v>43205.68482638889</v>
      </c>
      <c r="C2591" t="n">
        <v>1</v>
      </c>
      <c r="D2591" t="n">
        <v>0</v>
      </c>
      <c r="E2591" t="s">
        <v>2593</v>
      </c>
      <c r="F2591" t="s"/>
      <c r="G2591" t="s"/>
      <c r="H2591" t="s"/>
      <c r="I2591" t="s"/>
      <c r="J2591" t="n">
        <v>0</v>
      </c>
      <c r="K2591" t="n">
        <v>0</v>
      </c>
      <c r="L2591" t="n">
        <v>1</v>
      </c>
      <c r="M2591" t="n">
        <v>0</v>
      </c>
    </row>
    <row r="2592" spans="1:13">
      <c r="A2592" s="1">
        <f>HYPERLINK("http://www.twitter.com/NathanBLawrence/status/985553887418601472", "985553887418601472")</f>
        <v/>
      </c>
      <c r="B2592" s="2" t="n">
        <v>43205.68208333333</v>
      </c>
      <c r="C2592" t="n">
        <v>0</v>
      </c>
      <c r="D2592" t="n">
        <v>9</v>
      </c>
      <c r="E2592" t="s">
        <v>2594</v>
      </c>
      <c r="F2592" t="s"/>
      <c r="G2592" t="s"/>
      <c r="H2592" t="s"/>
      <c r="I2592" t="s"/>
      <c r="J2592" t="n">
        <v>-0.296</v>
      </c>
      <c r="K2592" t="n">
        <v>0.136</v>
      </c>
      <c r="L2592" t="n">
        <v>0.864</v>
      </c>
      <c r="M2592" t="n">
        <v>0</v>
      </c>
    </row>
    <row r="2593" spans="1:13">
      <c r="A2593" s="1">
        <f>HYPERLINK("http://www.twitter.com/NathanBLawrence/status/985553866551939075", "985553866551939075")</f>
        <v/>
      </c>
      <c r="B2593" s="2" t="n">
        <v>43205.68202546296</v>
      </c>
      <c r="C2593" t="n">
        <v>0</v>
      </c>
      <c r="D2593" t="n">
        <v>12</v>
      </c>
      <c r="E2593" t="s">
        <v>2595</v>
      </c>
      <c r="F2593" t="s"/>
      <c r="G2593" t="s"/>
      <c r="H2593" t="s"/>
      <c r="I2593" t="s"/>
      <c r="J2593" t="n">
        <v>-0.5983000000000001</v>
      </c>
      <c r="K2593" t="n">
        <v>0.386</v>
      </c>
      <c r="L2593" t="n">
        <v>0.445</v>
      </c>
      <c r="M2593" t="n">
        <v>0.169</v>
      </c>
    </row>
    <row r="2594" spans="1:13">
      <c r="A2594" s="1">
        <f>HYPERLINK("http://www.twitter.com/NathanBLawrence/status/985553138680770560", "985553138680770560")</f>
        <v/>
      </c>
      <c r="B2594" s="2" t="n">
        <v>43205.68001157408</v>
      </c>
      <c r="C2594" t="n">
        <v>0</v>
      </c>
      <c r="D2594" t="n">
        <v>0</v>
      </c>
      <c r="E2594" t="s">
        <v>2596</v>
      </c>
      <c r="F2594" t="s"/>
      <c r="G2594" t="s"/>
      <c r="H2594" t="s"/>
      <c r="I2594" t="s"/>
      <c r="J2594" t="n">
        <v>-0.6124000000000001</v>
      </c>
      <c r="K2594" t="n">
        <v>0.237</v>
      </c>
      <c r="L2594" t="n">
        <v>0.677</v>
      </c>
      <c r="M2594" t="n">
        <v>0.08599999999999999</v>
      </c>
    </row>
    <row r="2595" spans="1:13">
      <c r="A2595" s="1">
        <f>HYPERLINK("http://www.twitter.com/NathanBLawrence/status/985552082496344067", "985552082496344067")</f>
        <v/>
      </c>
      <c r="B2595" s="2" t="n">
        <v>43205.67709490741</v>
      </c>
      <c r="C2595" t="n">
        <v>0</v>
      </c>
      <c r="D2595" t="n">
        <v>14</v>
      </c>
      <c r="E2595" t="s">
        <v>2597</v>
      </c>
      <c r="F2595" t="s"/>
      <c r="G2595" t="s"/>
      <c r="H2595" t="s"/>
      <c r="I2595" t="s"/>
      <c r="J2595" t="n">
        <v>0.3612</v>
      </c>
      <c r="K2595" t="n">
        <v>0</v>
      </c>
      <c r="L2595" t="n">
        <v>0.839</v>
      </c>
      <c r="M2595" t="n">
        <v>0.161</v>
      </c>
    </row>
    <row r="2596" spans="1:13">
      <c r="A2596" s="1">
        <f>HYPERLINK("http://www.twitter.com/NathanBLawrence/status/985551443171201030", "985551443171201030")</f>
        <v/>
      </c>
      <c r="B2596" s="2" t="n">
        <v>43205.67533564815</v>
      </c>
      <c r="C2596" t="n">
        <v>2</v>
      </c>
      <c r="D2596" t="n">
        <v>2</v>
      </c>
      <c r="E2596" t="s">
        <v>2598</v>
      </c>
      <c r="F2596" t="s"/>
      <c r="G2596" t="s"/>
      <c r="H2596" t="s"/>
      <c r="I2596" t="s"/>
      <c r="J2596" t="n">
        <v>0</v>
      </c>
      <c r="K2596" t="n">
        <v>0</v>
      </c>
      <c r="L2596" t="n">
        <v>1</v>
      </c>
      <c r="M2596" t="n">
        <v>0</v>
      </c>
    </row>
    <row r="2597" spans="1:13">
      <c r="A2597" s="1">
        <f>HYPERLINK("http://www.twitter.com/NathanBLawrence/status/985548338585063426", "985548338585063426")</f>
        <v/>
      </c>
      <c r="B2597" s="2" t="n">
        <v>43205.66677083333</v>
      </c>
      <c r="C2597" t="n">
        <v>0</v>
      </c>
      <c r="D2597" t="n">
        <v>3</v>
      </c>
      <c r="E2597" t="s">
        <v>2599</v>
      </c>
      <c r="F2597" t="s"/>
      <c r="G2597" t="s"/>
      <c r="H2597" t="s"/>
      <c r="I2597" t="s"/>
      <c r="J2597" t="n">
        <v>0.4019</v>
      </c>
      <c r="K2597" t="n">
        <v>0</v>
      </c>
      <c r="L2597" t="n">
        <v>0.876</v>
      </c>
      <c r="M2597" t="n">
        <v>0.124</v>
      </c>
    </row>
    <row r="2598" spans="1:13">
      <c r="A2598" s="1">
        <f>HYPERLINK("http://www.twitter.com/NathanBLawrence/status/985548268485664770", "985548268485664770")</f>
        <v/>
      </c>
      <c r="B2598" s="2" t="n">
        <v>43205.66657407407</v>
      </c>
      <c r="C2598" t="n">
        <v>3</v>
      </c>
      <c r="D2598" t="n">
        <v>0</v>
      </c>
      <c r="E2598" t="s">
        <v>2600</v>
      </c>
      <c r="F2598" t="s"/>
      <c r="G2598" t="s"/>
      <c r="H2598" t="s"/>
      <c r="I2598" t="s"/>
      <c r="J2598" t="n">
        <v>0.2023</v>
      </c>
      <c r="K2598" t="n">
        <v>0</v>
      </c>
      <c r="L2598" t="n">
        <v>0.859</v>
      </c>
      <c r="M2598" t="n">
        <v>0.141</v>
      </c>
    </row>
    <row r="2599" spans="1:13">
      <c r="A2599" s="1">
        <f>HYPERLINK("http://www.twitter.com/NathanBLawrence/status/985547750388436992", "985547750388436992")</f>
        <v/>
      </c>
      <c r="B2599" s="2" t="n">
        <v>43205.66513888889</v>
      </c>
      <c r="C2599" t="n">
        <v>0</v>
      </c>
      <c r="D2599" t="n">
        <v>4</v>
      </c>
      <c r="E2599" t="s">
        <v>2601</v>
      </c>
      <c r="F2599" t="s"/>
      <c r="G2599" t="s"/>
      <c r="H2599" t="s"/>
      <c r="I2599" t="s"/>
      <c r="J2599" t="n">
        <v>0</v>
      </c>
      <c r="K2599" t="n">
        <v>0</v>
      </c>
      <c r="L2599" t="n">
        <v>1</v>
      </c>
      <c r="M2599" t="n">
        <v>0</v>
      </c>
    </row>
    <row r="2600" spans="1:13">
      <c r="A2600" s="1">
        <f>HYPERLINK("http://www.twitter.com/NathanBLawrence/status/985546092287754240", "985546092287754240")</f>
        <v/>
      </c>
      <c r="B2600" s="2" t="n">
        <v>43205.66056712963</v>
      </c>
      <c r="C2600" t="n">
        <v>0</v>
      </c>
      <c r="D2600" t="n">
        <v>0</v>
      </c>
      <c r="E2600" t="s">
        <v>2602</v>
      </c>
      <c r="F2600">
        <f>HYPERLINK("http://pbs.twimg.com/media/Da1c8LWUwAAYhF1.jpg", "http://pbs.twimg.com/media/Da1c8LWUwAAYhF1.jpg")</f>
        <v/>
      </c>
      <c r="G2600" t="s"/>
      <c r="H2600" t="s"/>
      <c r="I2600" t="s"/>
      <c r="J2600" t="n">
        <v>0</v>
      </c>
      <c r="K2600" t="n">
        <v>0</v>
      </c>
      <c r="L2600" t="n">
        <v>1</v>
      </c>
      <c r="M2600" t="n">
        <v>0</v>
      </c>
    </row>
    <row r="2601" spans="1:13">
      <c r="A2601" s="1">
        <f>HYPERLINK("http://www.twitter.com/NathanBLawrence/status/985546027968188416", "985546027968188416")</f>
        <v/>
      </c>
      <c r="B2601" s="2" t="n">
        <v>43205.66039351852</v>
      </c>
      <c r="C2601" t="n">
        <v>1</v>
      </c>
      <c r="D2601" t="n">
        <v>1</v>
      </c>
      <c r="E2601" t="s">
        <v>2603</v>
      </c>
      <c r="F2601">
        <f>HYPERLINK("http://pbs.twimg.com/media/Da1c4hZU8AAB2qO.jpg", "http://pbs.twimg.com/media/Da1c4hZU8AAB2qO.jpg")</f>
        <v/>
      </c>
      <c r="G2601" t="s"/>
      <c r="H2601" t="s"/>
      <c r="I2601" t="s"/>
      <c r="J2601" t="n">
        <v>0</v>
      </c>
      <c r="K2601" t="n">
        <v>0</v>
      </c>
      <c r="L2601" t="n">
        <v>1</v>
      </c>
      <c r="M2601" t="n">
        <v>0</v>
      </c>
    </row>
    <row r="2602" spans="1:13">
      <c r="A2602" s="1">
        <f>HYPERLINK("http://www.twitter.com/NathanBLawrence/status/985542560830644224", "985542560830644224")</f>
        <v/>
      </c>
      <c r="B2602" s="2" t="n">
        <v>43205.65082175926</v>
      </c>
      <c r="C2602" t="n">
        <v>0</v>
      </c>
      <c r="D2602" t="n">
        <v>1</v>
      </c>
      <c r="E2602" t="s">
        <v>2604</v>
      </c>
      <c r="F2602" t="s"/>
      <c r="G2602" t="s"/>
      <c r="H2602" t="s"/>
      <c r="I2602" t="s"/>
      <c r="J2602" t="n">
        <v>-0.4019</v>
      </c>
      <c r="K2602" t="n">
        <v>0.197</v>
      </c>
      <c r="L2602" t="n">
        <v>0.803</v>
      </c>
      <c r="M2602" t="n">
        <v>0</v>
      </c>
    </row>
    <row r="2603" spans="1:13">
      <c r="A2603" s="1">
        <f>HYPERLINK("http://www.twitter.com/NathanBLawrence/status/985542524298293248", "985542524298293248")</f>
        <v/>
      </c>
      <c r="B2603" s="2" t="n">
        <v>43205.65071759259</v>
      </c>
      <c r="C2603" t="n">
        <v>0</v>
      </c>
      <c r="D2603" t="n">
        <v>1</v>
      </c>
      <c r="E2603" t="s">
        <v>2605</v>
      </c>
      <c r="F2603" t="s"/>
      <c r="G2603" t="s"/>
      <c r="H2603" t="s"/>
      <c r="I2603" t="s"/>
      <c r="J2603" t="n">
        <v>-0.34</v>
      </c>
      <c r="K2603" t="n">
        <v>0.18</v>
      </c>
      <c r="L2603" t="n">
        <v>0.733</v>
      </c>
      <c r="M2603" t="n">
        <v>0.08699999999999999</v>
      </c>
    </row>
    <row r="2604" spans="1:13">
      <c r="A2604" s="1">
        <f>HYPERLINK("http://www.twitter.com/NathanBLawrence/status/985540511560806401", "985540511560806401")</f>
        <v/>
      </c>
      <c r="B2604" s="2" t="n">
        <v>43205.64517361111</v>
      </c>
      <c r="C2604" t="n">
        <v>0</v>
      </c>
      <c r="D2604" t="n">
        <v>1</v>
      </c>
      <c r="E2604" t="s">
        <v>2606</v>
      </c>
      <c r="F2604" t="s"/>
      <c r="G2604" t="s"/>
      <c r="H2604" t="s"/>
      <c r="I2604" t="s"/>
      <c r="J2604" t="n">
        <v>-0.9217</v>
      </c>
      <c r="K2604" t="n">
        <v>0.423</v>
      </c>
      <c r="L2604" t="n">
        <v>0.577</v>
      </c>
      <c r="M2604" t="n">
        <v>0</v>
      </c>
    </row>
    <row r="2605" spans="1:13">
      <c r="A2605" s="1">
        <f>HYPERLINK("http://www.twitter.com/NathanBLawrence/status/985539293925036032", "985539293925036032")</f>
        <v/>
      </c>
      <c r="B2605" s="2" t="n">
        <v>43205.64180555556</v>
      </c>
      <c r="C2605" t="n">
        <v>0</v>
      </c>
      <c r="D2605" t="n">
        <v>0</v>
      </c>
      <c r="E2605" t="s">
        <v>2607</v>
      </c>
      <c r="F2605" t="s"/>
      <c r="G2605" t="s"/>
      <c r="H2605" t="s"/>
      <c r="I2605" t="s"/>
      <c r="J2605" t="n">
        <v>0.5423</v>
      </c>
      <c r="K2605" t="n">
        <v>0</v>
      </c>
      <c r="L2605" t="n">
        <v>0.857</v>
      </c>
      <c r="M2605" t="n">
        <v>0.143</v>
      </c>
    </row>
    <row r="2606" spans="1:13">
      <c r="A2606" s="1">
        <f>HYPERLINK("http://www.twitter.com/NathanBLawrence/status/985537007425327105", "985537007425327105")</f>
        <v/>
      </c>
      <c r="B2606" s="2" t="n">
        <v>43205.63549768519</v>
      </c>
      <c r="C2606" t="n">
        <v>0</v>
      </c>
      <c r="D2606" t="n">
        <v>6</v>
      </c>
      <c r="E2606" t="s">
        <v>2608</v>
      </c>
      <c r="F2606" t="s"/>
      <c r="G2606" t="s"/>
      <c r="H2606" t="s"/>
      <c r="I2606" t="s"/>
      <c r="J2606" t="n">
        <v>0</v>
      </c>
      <c r="K2606" t="n">
        <v>0</v>
      </c>
      <c r="L2606" t="n">
        <v>1</v>
      </c>
      <c r="M2606" t="n">
        <v>0</v>
      </c>
    </row>
    <row r="2607" spans="1:13">
      <c r="A2607" s="1">
        <f>HYPERLINK("http://www.twitter.com/NathanBLawrence/status/985533853057060865", "985533853057060865")</f>
        <v/>
      </c>
      <c r="B2607" s="2" t="n">
        <v>43205.62679398148</v>
      </c>
      <c r="C2607" t="n">
        <v>1</v>
      </c>
      <c r="D2607" t="n">
        <v>0</v>
      </c>
      <c r="E2607" t="s">
        <v>2609</v>
      </c>
      <c r="F2607" t="s"/>
      <c r="G2607" t="s"/>
      <c r="H2607" t="s"/>
      <c r="I2607" t="s"/>
      <c r="J2607" t="n">
        <v>0.6124000000000001</v>
      </c>
      <c r="K2607" t="n">
        <v>0</v>
      </c>
      <c r="L2607" t="n">
        <v>0.615</v>
      </c>
      <c r="M2607" t="n">
        <v>0.385</v>
      </c>
    </row>
    <row r="2608" spans="1:13">
      <c r="A2608" s="1">
        <f>HYPERLINK("http://www.twitter.com/NathanBLawrence/status/985533597766639616", "985533597766639616")</f>
        <v/>
      </c>
      <c r="B2608" s="2" t="n">
        <v>43205.62608796296</v>
      </c>
      <c r="C2608" t="n">
        <v>0</v>
      </c>
      <c r="D2608" t="n">
        <v>6</v>
      </c>
      <c r="E2608" t="s">
        <v>2610</v>
      </c>
      <c r="F2608" t="s"/>
      <c r="G2608" t="s"/>
      <c r="H2608" t="s"/>
      <c r="I2608" t="s"/>
      <c r="J2608" t="n">
        <v>0</v>
      </c>
      <c r="K2608" t="n">
        <v>0</v>
      </c>
      <c r="L2608" t="n">
        <v>1</v>
      </c>
      <c r="M2608" t="n">
        <v>0</v>
      </c>
    </row>
    <row r="2609" spans="1:13">
      <c r="A2609" s="1">
        <f>HYPERLINK("http://www.twitter.com/NathanBLawrence/status/985532825293262848", "985532825293262848")</f>
        <v/>
      </c>
      <c r="B2609" s="2" t="n">
        <v>43205.62395833333</v>
      </c>
      <c r="C2609" t="n">
        <v>1</v>
      </c>
      <c r="D2609" t="n">
        <v>0</v>
      </c>
      <c r="E2609" t="s">
        <v>2611</v>
      </c>
      <c r="F2609" t="s"/>
      <c r="G2609" t="s"/>
      <c r="H2609" t="s"/>
      <c r="I2609" t="s"/>
      <c r="J2609" t="n">
        <v>-0.3182</v>
      </c>
      <c r="K2609" t="n">
        <v>0.151</v>
      </c>
      <c r="L2609" t="n">
        <v>0.753</v>
      </c>
      <c r="M2609" t="n">
        <v>0.096</v>
      </c>
    </row>
    <row r="2610" spans="1:13">
      <c r="A2610" s="1">
        <f>HYPERLINK("http://www.twitter.com/NathanBLawrence/status/985531626573762560", "985531626573762560")</f>
        <v/>
      </c>
      <c r="B2610" s="2" t="n">
        <v>43205.62064814815</v>
      </c>
      <c r="C2610" t="n">
        <v>0</v>
      </c>
      <c r="D2610" t="n">
        <v>11</v>
      </c>
      <c r="E2610" t="s">
        <v>2612</v>
      </c>
      <c r="F2610" t="s"/>
      <c r="G2610" t="s"/>
      <c r="H2610" t="s"/>
      <c r="I2610" t="s"/>
      <c r="J2610" t="n">
        <v>0.5147</v>
      </c>
      <c r="K2610" t="n">
        <v>0.137</v>
      </c>
      <c r="L2610" t="n">
        <v>0.612</v>
      </c>
      <c r="M2610" t="n">
        <v>0.25</v>
      </c>
    </row>
    <row r="2611" spans="1:13">
      <c r="A2611" s="1">
        <f>HYPERLINK("http://www.twitter.com/NathanBLawrence/status/985530372871131136", "985530372871131136")</f>
        <v/>
      </c>
      <c r="B2611" s="2" t="n">
        <v>43205.6171875</v>
      </c>
      <c r="C2611" t="n">
        <v>5</v>
      </c>
      <c r="D2611" t="n">
        <v>3</v>
      </c>
      <c r="E2611" t="s">
        <v>2613</v>
      </c>
      <c r="F2611" t="s"/>
      <c r="G2611" t="s"/>
      <c r="H2611" t="s"/>
      <c r="I2611" t="s"/>
      <c r="J2611" t="n">
        <v>0.0258</v>
      </c>
      <c r="K2611" t="n">
        <v>0.054</v>
      </c>
      <c r="L2611" t="n">
        <v>0.889</v>
      </c>
      <c r="M2611" t="n">
        <v>0.057</v>
      </c>
    </row>
    <row r="2612" spans="1:13">
      <c r="A2612" s="1">
        <f>HYPERLINK("http://www.twitter.com/NathanBLawrence/status/985523131778588674", "985523131778588674")</f>
        <v/>
      </c>
      <c r="B2612" s="2" t="n">
        <v>43205.59721064815</v>
      </c>
      <c r="C2612" t="n">
        <v>1</v>
      </c>
      <c r="D2612" t="n">
        <v>1</v>
      </c>
      <c r="E2612" t="s">
        <v>2614</v>
      </c>
      <c r="F2612" t="s"/>
      <c r="G2612" t="s"/>
      <c r="H2612" t="s"/>
      <c r="I2612" t="s"/>
      <c r="J2612" t="n">
        <v>0.34</v>
      </c>
      <c r="K2612" t="n">
        <v>0</v>
      </c>
      <c r="L2612" t="n">
        <v>0.805</v>
      </c>
      <c r="M2612" t="n">
        <v>0.195</v>
      </c>
    </row>
    <row r="2613" spans="1:13">
      <c r="A2613" s="1">
        <f>HYPERLINK("http://www.twitter.com/NathanBLawrence/status/985522378628313093", "985522378628313093")</f>
        <v/>
      </c>
      <c r="B2613" s="2" t="n">
        <v>43205.59512731482</v>
      </c>
      <c r="C2613" t="n">
        <v>8</v>
      </c>
      <c r="D2613" t="n">
        <v>8</v>
      </c>
      <c r="E2613" t="s">
        <v>2615</v>
      </c>
      <c r="F2613" t="s"/>
      <c r="G2613" t="s"/>
      <c r="H2613" t="s"/>
      <c r="I2613" t="s"/>
      <c r="J2613" t="n">
        <v>0.8225</v>
      </c>
      <c r="K2613" t="n">
        <v>0</v>
      </c>
      <c r="L2613" t="n">
        <v>0.8139999999999999</v>
      </c>
      <c r="M2613" t="n">
        <v>0.186</v>
      </c>
    </row>
    <row r="2614" spans="1:13">
      <c r="A2614" s="1">
        <f>HYPERLINK("http://www.twitter.com/NathanBLawrence/status/985519070559854592", "985519070559854592")</f>
        <v/>
      </c>
      <c r="B2614" s="2" t="n">
        <v>43205.58600694445</v>
      </c>
      <c r="C2614" t="n">
        <v>0</v>
      </c>
      <c r="D2614" t="n">
        <v>1</v>
      </c>
      <c r="E2614" t="s">
        <v>2616</v>
      </c>
      <c r="F2614" t="s"/>
      <c r="G2614" t="s"/>
      <c r="H2614" t="s"/>
      <c r="I2614" t="s"/>
      <c r="J2614" t="n">
        <v>-0.4019</v>
      </c>
      <c r="K2614" t="n">
        <v>0.213</v>
      </c>
      <c r="L2614" t="n">
        <v>0.787</v>
      </c>
      <c r="M2614" t="n">
        <v>0</v>
      </c>
    </row>
    <row r="2615" spans="1:13">
      <c r="A2615" s="1">
        <f>HYPERLINK("http://www.twitter.com/NathanBLawrence/status/985518888346636289", "985518888346636289")</f>
        <v/>
      </c>
      <c r="B2615" s="2" t="n">
        <v>43205.58549768518</v>
      </c>
      <c r="C2615" t="n">
        <v>0</v>
      </c>
      <c r="D2615" t="n">
        <v>1</v>
      </c>
      <c r="E2615" t="s">
        <v>2617</v>
      </c>
      <c r="F2615" t="s"/>
      <c r="G2615" t="s"/>
      <c r="H2615" t="s"/>
      <c r="I2615" t="s"/>
      <c r="J2615" t="n">
        <v>-0.6908</v>
      </c>
      <c r="K2615" t="n">
        <v>0.289</v>
      </c>
      <c r="L2615" t="n">
        <v>0.711</v>
      </c>
      <c r="M2615" t="n">
        <v>0</v>
      </c>
    </row>
    <row r="2616" spans="1:13">
      <c r="A2616" s="1">
        <f>HYPERLINK("http://www.twitter.com/NathanBLawrence/status/985518134466576385", "985518134466576385")</f>
        <v/>
      </c>
      <c r="B2616" s="2" t="n">
        <v>43205.58341435185</v>
      </c>
      <c r="C2616" t="n">
        <v>0</v>
      </c>
      <c r="D2616" t="n">
        <v>1</v>
      </c>
      <c r="E2616" t="s">
        <v>2618</v>
      </c>
      <c r="F2616" t="s"/>
      <c r="G2616" t="s"/>
      <c r="H2616" t="s"/>
      <c r="I2616" t="s"/>
      <c r="J2616" t="n">
        <v>0</v>
      </c>
      <c r="K2616" t="n">
        <v>0</v>
      </c>
      <c r="L2616" t="n">
        <v>1</v>
      </c>
      <c r="M2616" t="n">
        <v>0</v>
      </c>
    </row>
    <row r="2617" spans="1:13">
      <c r="A2617" s="1">
        <f>HYPERLINK("http://www.twitter.com/NathanBLawrence/status/985517566251724801", "985517566251724801")</f>
        <v/>
      </c>
      <c r="B2617" s="2" t="n">
        <v>43205.58185185185</v>
      </c>
      <c r="C2617" t="n">
        <v>0</v>
      </c>
      <c r="D2617" t="n">
        <v>0</v>
      </c>
      <c r="E2617" t="s">
        <v>2619</v>
      </c>
      <c r="F2617" t="s"/>
      <c r="G2617" t="s"/>
      <c r="H2617" t="s"/>
      <c r="I2617" t="s"/>
      <c r="J2617" t="n">
        <v>-0.5266999999999999</v>
      </c>
      <c r="K2617" t="n">
        <v>0.152</v>
      </c>
      <c r="L2617" t="n">
        <v>0.848</v>
      </c>
      <c r="M2617" t="n">
        <v>0</v>
      </c>
    </row>
    <row r="2618" spans="1:13">
      <c r="A2618" s="1">
        <f>HYPERLINK("http://www.twitter.com/NathanBLawrence/status/985515778899369985", "985515778899369985")</f>
        <v/>
      </c>
      <c r="B2618" s="2" t="n">
        <v>43205.5769212963</v>
      </c>
      <c r="C2618" t="n">
        <v>0</v>
      </c>
      <c r="D2618" t="n">
        <v>2</v>
      </c>
      <c r="E2618" t="s">
        <v>2620</v>
      </c>
      <c r="F2618" t="s"/>
      <c r="G2618" t="s"/>
      <c r="H2618" t="s"/>
      <c r="I2618" t="s"/>
      <c r="J2618" t="n">
        <v>-0.6705</v>
      </c>
      <c r="K2618" t="n">
        <v>0.29</v>
      </c>
      <c r="L2618" t="n">
        <v>0.71</v>
      </c>
      <c r="M2618" t="n">
        <v>0</v>
      </c>
    </row>
    <row r="2619" spans="1:13">
      <c r="A2619" s="1">
        <f>HYPERLINK("http://www.twitter.com/NathanBLawrence/status/985515177033588736", "985515177033588736")</f>
        <v/>
      </c>
      <c r="B2619" s="2" t="n">
        <v>43205.57525462963</v>
      </c>
      <c r="C2619" t="n">
        <v>0</v>
      </c>
      <c r="D2619" t="n">
        <v>8</v>
      </c>
      <c r="E2619" t="s">
        <v>2621</v>
      </c>
      <c r="F2619" t="s"/>
      <c r="G2619" t="s"/>
      <c r="H2619" t="s"/>
      <c r="I2619" t="s"/>
      <c r="J2619" t="n">
        <v>-0.9337</v>
      </c>
      <c r="K2619" t="n">
        <v>0.487</v>
      </c>
      <c r="L2619" t="n">
        <v>0.44</v>
      </c>
      <c r="M2619" t="n">
        <v>0.073</v>
      </c>
    </row>
    <row r="2620" spans="1:13">
      <c r="A2620" s="1">
        <f>HYPERLINK("http://www.twitter.com/NathanBLawrence/status/985514312402964481", "985514312402964481")</f>
        <v/>
      </c>
      <c r="B2620" s="2" t="n">
        <v>43205.57287037037</v>
      </c>
      <c r="C2620" t="n">
        <v>0</v>
      </c>
      <c r="D2620" t="n">
        <v>0</v>
      </c>
      <c r="E2620" t="s">
        <v>2622</v>
      </c>
      <c r="F2620" t="s"/>
      <c r="G2620" t="s"/>
      <c r="H2620" t="s"/>
      <c r="I2620" t="s"/>
      <c r="J2620" t="n">
        <v>0</v>
      </c>
      <c r="K2620" t="n">
        <v>0</v>
      </c>
      <c r="L2620" t="n">
        <v>1</v>
      </c>
      <c r="M2620" t="n">
        <v>0</v>
      </c>
    </row>
    <row r="2621" spans="1:13">
      <c r="A2621" s="1">
        <f>HYPERLINK("http://www.twitter.com/NathanBLawrence/status/985513564877328385", "985513564877328385")</f>
        <v/>
      </c>
      <c r="B2621" s="2" t="n">
        <v>43205.57081018519</v>
      </c>
      <c r="C2621" t="n">
        <v>2</v>
      </c>
      <c r="D2621" t="n">
        <v>2</v>
      </c>
      <c r="E2621" t="s">
        <v>2623</v>
      </c>
      <c r="F2621" t="s"/>
      <c r="G2621" t="s"/>
      <c r="H2621" t="s"/>
      <c r="I2621" t="s"/>
      <c r="J2621" t="n">
        <v>-0.3009</v>
      </c>
      <c r="K2621" t="n">
        <v>0.173</v>
      </c>
      <c r="L2621" t="n">
        <v>0.745</v>
      </c>
      <c r="M2621" t="n">
        <v>0.082</v>
      </c>
    </row>
    <row r="2622" spans="1:13">
      <c r="A2622" s="1">
        <f>HYPERLINK("http://www.twitter.com/NathanBLawrence/status/985512086888501249", "985512086888501249")</f>
        <v/>
      </c>
      <c r="B2622" s="2" t="n">
        <v>43205.56673611111</v>
      </c>
      <c r="C2622" t="n">
        <v>0</v>
      </c>
      <c r="D2622" t="n">
        <v>3</v>
      </c>
      <c r="E2622" t="s">
        <v>2624</v>
      </c>
      <c r="F2622" t="s"/>
      <c r="G2622" t="s"/>
      <c r="H2622" t="s"/>
      <c r="I2622" t="s"/>
      <c r="J2622" t="n">
        <v>0</v>
      </c>
      <c r="K2622" t="n">
        <v>0</v>
      </c>
      <c r="L2622" t="n">
        <v>1</v>
      </c>
      <c r="M2622" t="n">
        <v>0</v>
      </c>
    </row>
    <row r="2623" spans="1:13">
      <c r="A2623" s="1">
        <f>HYPERLINK("http://www.twitter.com/NathanBLawrence/status/985512059633897474", "985512059633897474")</f>
        <v/>
      </c>
      <c r="B2623" s="2" t="n">
        <v>43205.5666550926</v>
      </c>
      <c r="C2623" t="n">
        <v>0</v>
      </c>
      <c r="D2623" t="n">
        <v>4</v>
      </c>
      <c r="E2623" t="s">
        <v>2625</v>
      </c>
      <c r="F2623" t="s"/>
      <c r="G2623" t="s"/>
      <c r="H2623" t="s"/>
      <c r="I2623" t="s"/>
      <c r="J2623" t="n">
        <v>0</v>
      </c>
      <c r="K2623" t="n">
        <v>0</v>
      </c>
      <c r="L2623" t="n">
        <v>1</v>
      </c>
      <c r="M2623" t="n">
        <v>0</v>
      </c>
    </row>
    <row r="2624" spans="1:13">
      <c r="A2624" s="1">
        <f>HYPERLINK("http://www.twitter.com/NathanBLawrence/status/985512002977239040", "985512002977239040")</f>
        <v/>
      </c>
      <c r="B2624" s="2" t="n">
        <v>43205.56650462963</v>
      </c>
      <c r="C2624" t="n">
        <v>0</v>
      </c>
      <c r="D2624" t="n">
        <v>5</v>
      </c>
      <c r="E2624" t="s">
        <v>2626</v>
      </c>
      <c r="F2624" t="s"/>
      <c r="G2624" t="s"/>
      <c r="H2624" t="s"/>
      <c r="I2624" t="s"/>
      <c r="J2624" t="n">
        <v>-0.6107</v>
      </c>
      <c r="K2624" t="n">
        <v>0.192</v>
      </c>
      <c r="L2624" t="n">
        <v>0.8080000000000001</v>
      </c>
      <c r="M2624" t="n">
        <v>0</v>
      </c>
    </row>
    <row r="2625" spans="1:13">
      <c r="A2625" s="1">
        <f>HYPERLINK("http://www.twitter.com/NathanBLawrence/status/985511807229014016", "985511807229014016")</f>
        <v/>
      </c>
      <c r="B2625" s="2" t="n">
        <v>43205.56596064815</v>
      </c>
      <c r="C2625" t="n">
        <v>2</v>
      </c>
      <c r="D2625" t="n">
        <v>1</v>
      </c>
      <c r="E2625" t="s">
        <v>2627</v>
      </c>
      <c r="F2625" t="s"/>
      <c r="G2625" t="s"/>
      <c r="H2625" t="s"/>
      <c r="I2625" t="s"/>
      <c r="J2625" t="n">
        <v>0.8834</v>
      </c>
      <c r="K2625" t="n">
        <v>0.167</v>
      </c>
      <c r="L2625" t="n">
        <v>0.531</v>
      </c>
      <c r="M2625" t="n">
        <v>0.301</v>
      </c>
    </row>
    <row r="2626" spans="1:13">
      <c r="A2626" s="1">
        <f>HYPERLINK("http://www.twitter.com/NathanBLawrence/status/985510498153259009", "985510498153259009")</f>
        <v/>
      </c>
      <c r="B2626" s="2" t="n">
        <v>43205.56234953704</v>
      </c>
      <c r="C2626" t="n">
        <v>0</v>
      </c>
      <c r="D2626" t="n">
        <v>7</v>
      </c>
      <c r="E2626" t="s">
        <v>2628</v>
      </c>
      <c r="F2626" t="s"/>
      <c r="G2626" t="s"/>
      <c r="H2626" t="s"/>
      <c r="I2626" t="s"/>
      <c r="J2626" t="n">
        <v>-0.9006</v>
      </c>
      <c r="K2626" t="n">
        <v>0.367</v>
      </c>
      <c r="L2626" t="n">
        <v>0.633</v>
      </c>
      <c r="M2626" t="n">
        <v>0</v>
      </c>
    </row>
    <row r="2627" spans="1:13">
      <c r="A2627" s="1">
        <f>HYPERLINK("http://www.twitter.com/NathanBLawrence/status/985509996761935874", "985509996761935874")</f>
        <v/>
      </c>
      <c r="B2627" s="2" t="n">
        <v>43205.56096064814</v>
      </c>
      <c r="C2627" t="n">
        <v>0</v>
      </c>
      <c r="D2627" t="n">
        <v>0</v>
      </c>
      <c r="E2627" t="s">
        <v>2629</v>
      </c>
      <c r="F2627" t="s"/>
      <c r="G2627" t="s"/>
      <c r="H2627" t="s"/>
      <c r="I2627" t="s"/>
      <c r="J2627" t="n">
        <v>0</v>
      </c>
      <c r="K2627" t="n">
        <v>0</v>
      </c>
      <c r="L2627" t="n">
        <v>1</v>
      </c>
      <c r="M2627" t="n">
        <v>0</v>
      </c>
    </row>
    <row r="2628" spans="1:13">
      <c r="A2628" s="1">
        <f>HYPERLINK("http://www.twitter.com/NathanBLawrence/status/985507445362561024", "985507445362561024")</f>
        <v/>
      </c>
      <c r="B2628" s="2" t="n">
        <v>43205.55392361111</v>
      </c>
      <c r="C2628" t="n">
        <v>6</v>
      </c>
      <c r="D2628" t="n">
        <v>3</v>
      </c>
      <c r="E2628" t="s">
        <v>2630</v>
      </c>
      <c r="F2628" t="s"/>
      <c r="G2628" t="s"/>
      <c r="H2628" t="s"/>
      <c r="I2628" t="s"/>
      <c r="J2628" t="n">
        <v>0.4767</v>
      </c>
      <c r="K2628" t="n">
        <v>0</v>
      </c>
      <c r="L2628" t="n">
        <v>0.907</v>
      </c>
      <c r="M2628" t="n">
        <v>0.093</v>
      </c>
    </row>
    <row r="2629" spans="1:13">
      <c r="A2629" s="1">
        <f>HYPERLINK("http://www.twitter.com/NathanBLawrence/status/985501990888312833", "985501990888312833")</f>
        <v/>
      </c>
      <c r="B2629" s="2" t="n">
        <v>43205.53887731482</v>
      </c>
      <c r="C2629" t="n">
        <v>6</v>
      </c>
      <c r="D2629" t="n">
        <v>6</v>
      </c>
      <c r="E2629" t="s">
        <v>2631</v>
      </c>
      <c r="F2629" t="s"/>
      <c r="G2629" t="s"/>
      <c r="H2629" t="s"/>
      <c r="I2629" t="s"/>
      <c r="J2629" t="n">
        <v>0.5574</v>
      </c>
      <c r="K2629" t="n">
        <v>0.054</v>
      </c>
      <c r="L2629" t="n">
        <v>0.805</v>
      </c>
      <c r="M2629" t="n">
        <v>0.14</v>
      </c>
    </row>
    <row r="2630" spans="1:13">
      <c r="A2630" s="1">
        <f>HYPERLINK("http://www.twitter.com/NathanBLawrence/status/985498895559077888", "985498895559077888")</f>
        <v/>
      </c>
      <c r="B2630" s="2" t="n">
        <v>43205.53033564815</v>
      </c>
      <c r="C2630" t="n">
        <v>0</v>
      </c>
      <c r="D2630" t="n">
        <v>0</v>
      </c>
      <c r="E2630" t="s">
        <v>2632</v>
      </c>
      <c r="F2630" t="s"/>
      <c r="G2630" t="s"/>
      <c r="H2630" t="s"/>
      <c r="I2630" t="s"/>
      <c r="J2630" t="n">
        <v>0.5423</v>
      </c>
      <c r="K2630" t="n">
        <v>0.037</v>
      </c>
      <c r="L2630" t="n">
        <v>0.84</v>
      </c>
      <c r="M2630" t="n">
        <v>0.123</v>
      </c>
    </row>
    <row r="2631" spans="1:13">
      <c r="A2631" s="1">
        <f>HYPERLINK("http://www.twitter.com/NathanBLawrence/status/985498097202679808", "985498097202679808")</f>
        <v/>
      </c>
      <c r="B2631" s="2" t="n">
        <v>43205.528125</v>
      </c>
      <c r="C2631" t="n">
        <v>13</v>
      </c>
      <c r="D2631" t="n">
        <v>7</v>
      </c>
      <c r="E2631" t="s">
        <v>2633</v>
      </c>
      <c r="F2631" t="s"/>
      <c r="G2631" t="s"/>
      <c r="H2631" t="s"/>
      <c r="I2631" t="s"/>
      <c r="J2631" t="n">
        <v>-0.6327</v>
      </c>
      <c r="K2631" t="n">
        <v>0.181</v>
      </c>
      <c r="L2631" t="n">
        <v>0.735</v>
      </c>
      <c r="M2631" t="n">
        <v>0.08400000000000001</v>
      </c>
    </row>
    <row r="2632" spans="1:13">
      <c r="A2632" s="1">
        <f>HYPERLINK("http://www.twitter.com/NathanBLawrence/status/985495174246780928", "985495174246780928")</f>
        <v/>
      </c>
      <c r="B2632" s="2" t="n">
        <v>43205.52005787037</v>
      </c>
      <c r="C2632" t="n">
        <v>0</v>
      </c>
      <c r="D2632" t="n">
        <v>1</v>
      </c>
      <c r="E2632" t="s">
        <v>2634</v>
      </c>
      <c r="F2632" t="s"/>
      <c r="G2632" t="s"/>
      <c r="H2632" t="s"/>
      <c r="I2632" t="s"/>
      <c r="J2632" t="n">
        <v>0</v>
      </c>
      <c r="K2632" t="n">
        <v>0</v>
      </c>
      <c r="L2632" t="n">
        <v>1</v>
      </c>
      <c r="M2632" t="n">
        <v>0</v>
      </c>
    </row>
    <row r="2633" spans="1:13">
      <c r="A2633" s="1">
        <f>HYPERLINK("http://www.twitter.com/NathanBLawrence/status/985369231255572481", "985369231255572481")</f>
        <v/>
      </c>
      <c r="B2633" s="2" t="n">
        <v>43205.17252314815</v>
      </c>
      <c r="C2633" t="n">
        <v>0</v>
      </c>
      <c r="D2633" t="n">
        <v>0</v>
      </c>
      <c r="E2633" t="s">
        <v>2635</v>
      </c>
      <c r="F2633" t="s"/>
      <c r="G2633" t="s"/>
      <c r="H2633" t="s"/>
      <c r="I2633" t="s"/>
      <c r="J2633" t="n">
        <v>-0.7184</v>
      </c>
      <c r="K2633" t="n">
        <v>0.167</v>
      </c>
      <c r="L2633" t="n">
        <v>0.833</v>
      </c>
      <c r="M2633" t="n">
        <v>0</v>
      </c>
    </row>
    <row r="2634" spans="1:13">
      <c r="A2634" s="1">
        <f>HYPERLINK("http://www.twitter.com/NathanBLawrence/status/985366236400898048", "985366236400898048")</f>
        <v/>
      </c>
      <c r="B2634" s="2" t="n">
        <v>43205.16425925926</v>
      </c>
      <c r="C2634" t="n">
        <v>0</v>
      </c>
      <c r="D2634" t="n">
        <v>0</v>
      </c>
      <c r="E2634" t="s">
        <v>2636</v>
      </c>
      <c r="F2634" t="s"/>
      <c r="G2634" t="s"/>
      <c r="H2634" t="s"/>
      <c r="I2634" t="s"/>
      <c r="J2634" t="n">
        <v>0</v>
      </c>
      <c r="K2634" t="n">
        <v>0</v>
      </c>
      <c r="L2634" t="n">
        <v>1</v>
      </c>
      <c r="M2634" t="n">
        <v>0</v>
      </c>
    </row>
    <row r="2635" spans="1:13">
      <c r="A2635" s="1">
        <f>HYPERLINK("http://www.twitter.com/NathanBLawrence/status/985364881921728512", "985364881921728512")</f>
        <v/>
      </c>
      <c r="B2635" s="2" t="n">
        <v>43205.16052083333</v>
      </c>
      <c r="C2635" t="n">
        <v>0</v>
      </c>
      <c r="D2635" t="n">
        <v>0</v>
      </c>
      <c r="E2635" t="s">
        <v>2637</v>
      </c>
      <c r="F2635" t="s"/>
      <c r="G2635" t="s"/>
      <c r="H2635" t="s"/>
      <c r="I2635" t="s"/>
      <c r="J2635" t="n">
        <v>0</v>
      </c>
      <c r="K2635" t="n">
        <v>0</v>
      </c>
      <c r="L2635" t="n">
        <v>1</v>
      </c>
      <c r="M2635" t="n">
        <v>0</v>
      </c>
    </row>
    <row r="2636" spans="1:13">
      <c r="A2636" s="1">
        <f>HYPERLINK("http://www.twitter.com/NathanBLawrence/status/985363030555922432", "985363030555922432")</f>
        <v/>
      </c>
      <c r="B2636" s="2" t="n">
        <v>43205.15541666667</v>
      </c>
      <c r="C2636" t="n">
        <v>0</v>
      </c>
      <c r="D2636" t="n">
        <v>0</v>
      </c>
      <c r="E2636" t="s">
        <v>2638</v>
      </c>
      <c r="F2636" t="s"/>
      <c r="G2636" t="s"/>
      <c r="H2636" t="s"/>
      <c r="I2636" t="s"/>
      <c r="J2636" t="n">
        <v>0</v>
      </c>
      <c r="K2636" t="n">
        <v>0</v>
      </c>
      <c r="L2636" t="n">
        <v>1</v>
      </c>
      <c r="M2636" t="n">
        <v>0</v>
      </c>
    </row>
    <row r="2637" spans="1:13">
      <c r="A2637" s="1">
        <f>HYPERLINK("http://www.twitter.com/NathanBLawrence/status/985360970821357568", "985360970821357568")</f>
        <v/>
      </c>
      <c r="B2637" s="2" t="n">
        <v>43205.14973379629</v>
      </c>
      <c r="C2637" t="n">
        <v>0</v>
      </c>
      <c r="D2637" t="n">
        <v>0</v>
      </c>
      <c r="E2637" t="s">
        <v>2639</v>
      </c>
      <c r="F2637" t="s"/>
      <c r="G2637" t="s"/>
      <c r="H2637" t="s"/>
      <c r="I2637" t="s"/>
      <c r="J2637" t="n">
        <v>-0.6696</v>
      </c>
      <c r="K2637" t="n">
        <v>0.207</v>
      </c>
      <c r="L2637" t="n">
        <v>0.793</v>
      </c>
      <c r="M2637" t="n">
        <v>0</v>
      </c>
    </row>
    <row r="2638" spans="1:13">
      <c r="A2638" s="1">
        <f>HYPERLINK("http://www.twitter.com/NathanBLawrence/status/985359205073932288", "985359205073932288")</f>
        <v/>
      </c>
      <c r="B2638" s="2" t="n">
        <v>43205.14486111111</v>
      </c>
      <c r="C2638" t="n">
        <v>0</v>
      </c>
      <c r="D2638" t="n">
        <v>0</v>
      </c>
      <c r="E2638" t="s">
        <v>2640</v>
      </c>
      <c r="F2638" t="s"/>
      <c r="G2638" t="s"/>
      <c r="H2638" t="s"/>
      <c r="I2638" t="s"/>
      <c r="J2638" t="n">
        <v>0</v>
      </c>
      <c r="K2638" t="n">
        <v>0</v>
      </c>
      <c r="L2638" t="n">
        <v>1</v>
      </c>
      <c r="M2638" t="n">
        <v>0</v>
      </c>
    </row>
    <row r="2639" spans="1:13">
      <c r="A2639" s="1">
        <f>HYPERLINK("http://www.twitter.com/NathanBLawrence/status/985358508270014464", "985358508270014464")</f>
        <v/>
      </c>
      <c r="B2639" s="2" t="n">
        <v>43205.14293981482</v>
      </c>
      <c r="C2639" t="n">
        <v>0</v>
      </c>
      <c r="D2639" t="n">
        <v>0</v>
      </c>
      <c r="E2639" t="s">
        <v>2641</v>
      </c>
      <c r="F2639" t="s"/>
      <c r="G2639" t="s"/>
      <c r="H2639" t="s"/>
      <c r="I2639" t="s"/>
      <c r="J2639" t="n">
        <v>0</v>
      </c>
      <c r="K2639" t="n">
        <v>0</v>
      </c>
      <c r="L2639" t="n">
        <v>1</v>
      </c>
      <c r="M2639" t="n">
        <v>0</v>
      </c>
    </row>
    <row r="2640" spans="1:13">
      <c r="A2640" s="1">
        <f>HYPERLINK("http://www.twitter.com/NathanBLawrence/status/985356562616201216", "985356562616201216")</f>
        <v/>
      </c>
      <c r="B2640" s="2" t="n">
        <v>43205.13756944444</v>
      </c>
      <c r="C2640" t="n">
        <v>0</v>
      </c>
      <c r="D2640" t="n">
        <v>0</v>
      </c>
      <c r="E2640" t="s">
        <v>2642</v>
      </c>
      <c r="F2640" t="s"/>
      <c r="G2640" t="s"/>
      <c r="H2640" t="s"/>
      <c r="I2640" t="s"/>
      <c r="J2640" t="n">
        <v>0</v>
      </c>
      <c r="K2640" t="n">
        <v>0</v>
      </c>
      <c r="L2640" t="n">
        <v>1</v>
      </c>
      <c r="M2640" t="n">
        <v>0</v>
      </c>
    </row>
    <row r="2641" spans="1:13">
      <c r="A2641" s="1">
        <f>HYPERLINK("http://www.twitter.com/NathanBLawrence/status/985356450330546176", "985356450330546176")</f>
        <v/>
      </c>
      <c r="B2641" s="2" t="n">
        <v>43205.13725694444</v>
      </c>
      <c r="C2641" t="n">
        <v>0</v>
      </c>
      <c r="D2641" t="n">
        <v>0</v>
      </c>
      <c r="E2641" t="s">
        <v>2643</v>
      </c>
      <c r="F2641" t="s"/>
      <c r="G2641" t="s"/>
      <c r="H2641" t="s"/>
      <c r="I2641" t="s"/>
      <c r="J2641" t="n">
        <v>0</v>
      </c>
      <c r="K2641" t="n">
        <v>0</v>
      </c>
      <c r="L2641" t="n">
        <v>1</v>
      </c>
      <c r="M2641" t="n">
        <v>0</v>
      </c>
    </row>
    <row r="2642" spans="1:13">
      <c r="A2642" s="1">
        <f>HYPERLINK("http://www.twitter.com/NathanBLawrence/status/985356275432161281", "985356275432161281")</f>
        <v/>
      </c>
      <c r="B2642" s="2" t="n">
        <v>43205.13677083333</v>
      </c>
      <c r="C2642" t="n">
        <v>0</v>
      </c>
      <c r="D2642" t="n">
        <v>0</v>
      </c>
      <c r="E2642" t="s">
        <v>2644</v>
      </c>
      <c r="F2642" t="s"/>
      <c r="G2642" t="s"/>
      <c r="H2642" t="s"/>
      <c r="I2642" t="s"/>
      <c r="J2642" t="n">
        <v>0</v>
      </c>
      <c r="K2642" t="n">
        <v>0</v>
      </c>
      <c r="L2642" t="n">
        <v>1</v>
      </c>
      <c r="M2642" t="n">
        <v>0</v>
      </c>
    </row>
    <row r="2643" spans="1:13">
      <c r="A2643" s="1">
        <f>HYPERLINK("http://www.twitter.com/NathanBLawrence/status/985355269273214976", "985355269273214976")</f>
        <v/>
      </c>
      <c r="B2643" s="2" t="n">
        <v>43205.13399305556</v>
      </c>
      <c r="C2643" t="n">
        <v>0</v>
      </c>
      <c r="D2643" t="n">
        <v>6</v>
      </c>
      <c r="E2643" t="s">
        <v>2645</v>
      </c>
      <c r="F2643" t="s"/>
      <c r="G2643" t="s"/>
      <c r="H2643" t="s"/>
      <c r="I2643" t="s"/>
      <c r="J2643" t="n">
        <v>-0.5859</v>
      </c>
      <c r="K2643" t="n">
        <v>0.167</v>
      </c>
      <c r="L2643" t="n">
        <v>0.833</v>
      </c>
      <c r="M2643" t="n">
        <v>0</v>
      </c>
    </row>
    <row r="2644" spans="1:13">
      <c r="A2644" s="1">
        <f>HYPERLINK("http://www.twitter.com/NathanBLawrence/status/985354704833208320", "985354704833208320")</f>
        <v/>
      </c>
      <c r="B2644" s="2" t="n">
        <v>43205.13244212963</v>
      </c>
      <c r="C2644" t="n">
        <v>13</v>
      </c>
      <c r="D2644" t="n">
        <v>9</v>
      </c>
      <c r="E2644" t="s">
        <v>2646</v>
      </c>
      <c r="F2644">
        <f>HYPERLINK("http://pbs.twimg.com/media/Dayu35QUQAA1F3w.jpg", "http://pbs.twimg.com/media/Dayu35QUQAA1F3w.jpg")</f>
        <v/>
      </c>
      <c r="G2644" t="s"/>
      <c r="H2644" t="s"/>
      <c r="I2644" t="s"/>
      <c r="J2644" t="n">
        <v>0</v>
      </c>
      <c r="K2644" t="n">
        <v>0</v>
      </c>
      <c r="L2644" t="n">
        <v>1</v>
      </c>
      <c r="M2644" t="n">
        <v>0</v>
      </c>
    </row>
    <row r="2645" spans="1:13">
      <c r="A2645" s="1">
        <f>HYPERLINK("http://www.twitter.com/NathanBLawrence/status/985325618362486785", "985325618362486785")</f>
        <v/>
      </c>
      <c r="B2645" s="2" t="n">
        <v>43205.05217592593</v>
      </c>
      <c r="C2645" t="n">
        <v>9</v>
      </c>
      <c r="D2645" t="n">
        <v>9</v>
      </c>
      <c r="E2645" t="s">
        <v>2647</v>
      </c>
      <c r="F2645" t="s"/>
      <c r="G2645" t="s"/>
      <c r="H2645" t="s"/>
      <c r="I2645" t="s"/>
      <c r="J2645" t="n">
        <v>-0.0936</v>
      </c>
      <c r="K2645" t="n">
        <v>0.146</v>
      </c>
      <c r="L2645" t="n">
        <v>0.718</v>
      </c>
      <c r="M2645" t="n">
        <v>0.136</v>
      </c>
    </row>
    <row r="2646" spans="1:13">
      <c r="A2646" s="1">
        <f>HYPERLINK("http://www.twitter.com/NathanBLawrence/status/985322675634663425", "985322675634663425")</f>
        <v/>
      </c>
      <c r="B2646" s="2" t="n">
        <v>43205.04405092593</v>
      </c>
      <c r="C2646" t="n">
        <v>3</v>
      </c>
      <c r="D2646" t="n">
        <v>2</v>
      </c>
      <c r="E2646" t="s">
        <v>2648</v>
      </c>
      <c r="F2646" t="s"/>
      <c r="G2646" t="s"/>
      <c r="H2646" t="s"/>
      <c r="I2646" t="s"/>
      <c r="J2646" t="n">
        <v>0</v>
      </c>
      <c r="K2646" t="n">
        <v>0</v>
      </c>
      <c r="L2646" t="n">
        <v>1</v>
      </c>
      <c r="M2646" t="n">
        <v>0</v>
      </c>
    </row>
    <row r="2647" spans="1:13">
      <c r="A2647" s="1">
        <f>HYPERLINK("http://www.twitter.com/NathanBLawrence/status/985321869174804480", "985321869174804480")</f>
        <v/>
      </c>
      <c r="B2647" s="2" t="n">
        <v>43205.0418287037</v>
      </c>
      <c r="C2647" t="n">
        <v>1</v>
      </c>
      <c r="D2647" t="n">
        <v>1</v>
      </c>
      <c r="E2647" t="s">
        <v>2649</v>
      </c>
      <c r="F2647" t="s"/>
      <c r="G2647" t="s"/>
      <c r="H2647" t="s"/>
      <c r="I2647" t="s"/>
      <c r="J2647" t="n">
        <v>0</v>
      </c>
      <c r="K2647" t="n">
        <v>0</v>
      </c>
      <c r="L2647" t="n">
        <v>1</v>
      </c>
      <c r="M2647" t="n">
        <v>0</v>
      </c>
    </row>
    <row r="2648" spans="1:13">
      <c r="A2648" s="1">
        <f>HYPERLINK("http://www.twitter.com/NathanBLawrence/status/985320960122335232", "985320960122335232")</f>
        <v/>
      </c>
      <c r="B2648" s="2" t="n">
        <v>43205.03931712963</v>
      </c>
      <c r="C2648" t="n">
        <v>0</v>
      </c>
      <c r="D2648" t="n">
        <v>1</v>
      </c>
      <c r="E2648" t="s">
        <v>2649</v>
      </c>
      <c r="F2648" t="s"/>
      <c r="G2648" t="s"/>
      <c r="H2648" t="s"/>
      <c r="I2648" t="s"/>
      <c r="J2648" t="n">
        <v>0</v>
      </c>
      <c r="K2648" t="n">
        <v>0</v>
      </c>
      <c r="L2648" t="n">
        <v>1</v>
      </c>
      <c r="M2648" t="n">
        <v>0</v>
      </c>
    </row>
    <row r="2649" spans="1:13">
      <c r="A2649" s="1">
        <f>HYPERLINK("http://www.twitter.com/NathanBLawrence/status/985320281525964801", "985320281525964801")</f>
        <v/>
      </c>
      <c r="B2649" s="2" t="n">
        <v>43205.03745370371</v>
      </c>
      <c r="C2649" t="n">
        <v>3</v>
      </c>
      <c r="D2649" t="n">
        <v>1</v>
      </c>
      <c r="E2649" t="s">
        <v>2640</v>
      </c>
      <c r="F2649" t="s"/>
      <c r="G2649" t="s"/>
      <c r="H2649" t="s"/>
      <c r="I2649" t="s"/>
      <c r="J2649" t="n">
        <v>0</v>
      </c>
      <c r="K2649" t="n">
        <v>0</v>
      </c>
      <c r="L2649" t="n">
        <v>1</v>
      </c>
      <c r="M2649" t="n">
        <v>0</v>
      </c>
    </row>
    <row r="2650" spans="1:13">
      <c r="A2650" s="1">
        <f>HYPERLINK("http://www.twitter.com/NathanBLawrence/status/985318770037141504", "985318770037141504")</f>
        <v/>
      </c>
      <c r="B2650" s="2" t="n">
        <v>43205.03327546296</v>
      </c>
      <c r="C2650" t="n">
        <v>1</v>
      </c>
      <c r="D2650" t="n">
        <v>0</v>
      </c>
      <c r="E2650" t="s">
        <v>2650</v>
      </c>
      <c r="F2650" t="s"/>
      <c r="G2650" t="s"/>
      <c r="H2650" t="s"/>
      <c r="I2650" t="s"/>
      <c r="J2650" t="n">
        <v>0.5994</v>
      </c>
      <c r="K2650" t="n">
        <v>0</v>
      </c>
      <c r="L2650" t="n">
        <v>0.776</v>
      </c>
      <c r="M2650" t="n">
        <v>0.224</v>
      </c>
    </row>
    <row r="2651" spans="1:13">
      <c r="A2651" s="1">
        <f>HYPERLINK("http://www.twitter.com/NathanBLawrence/status/985318026542243840", "985318026542243840")</f>
        <v/>
      </c>
      <c r="B2651" s="2" t="n">
        <v>43205.03122685185</v>
      </c>
      <c r="C2651" t="n">
        <v>1</v>
      </c>
      <c r="D2651" t="n">
        <v>1</v>
      </c>
      <c r="E2651" t="s">
        <v>2651</v>
      </c>
      <c r="F2651" t="s"/>
      <c r="G2651" t="s"/>
      <c r="H2651" t="s"/>
      <c r="I2651" t="s"/>
      <c r="J2651" t="n">
        <v>-0.4854</v>
      </c>
      <c r="K2651" t="n">
        <v>0.119</v>
      </c>
      <c r="L2651" t="n">
        <v>0.803</v>
      </c>
      <c r="M2651" t="n">
        <v>0.078</v>
      </c>
    </row>
    <row r="2652" spans="1:13">
      <c r="A2652" s="1">
        <f>HYPERLINK("http://www.twitter.com/NathanBLawrence/status/985287112479199233", "985287112479199233")</f>
        <v/>
      </c>
      <c r="B2652" s="2" t="n">
        <v>43204.94592592592</v>
      </c>
      <c r="C2652" t="n">
        <v>1</v>
      </c>
      <c r="D2652" t="n">
        <v>1</v>
      </c>
      <c r="E2652" t="s">
        <v>2652</v>
      </c>
      <c r="F2652" t="s"/>
      <c r="G2652" t="s"/>
      <c r="H2652" t="s"/>
      <c r="I2652" t="s"/>
      <c r="J2652" t="n">
        <v>0</v>
      </c>
      <c r="K2652" t="n">
        <v>0</v>
      </c>
      <c r="L2652" t="n">
        <v>1</v>
      </c>
      <c r="M2652" t="n">
        <v>0</v>
      </c>
    </row>
    <row r="2653" spans="1:13">
      <c r="A2653" s="1">
        <f>HYPERLINK("http://www.twitter.com/NathanBLawrence/status/985286496520474626", "985286496520474626")</f>
        <v/>
      </c>
      <c r="B2653" s="2" t="n">
        <v>43204.94422453704</v>
      </c>
      <c r="C2653" t="n">
        <v>1</v>
      </c>
      <c r="D2653" t="n">
        <v>1</v>
      </c>
      <c r="E2653" t="s">
        <v>2653</v>
      </c>
      <c r="F2653" t="s"/>
      <c r="G2653" t="s"/>
      <c r="H2653" t="s"/>
      <c r="I2653" t="s"/>
      <c r="J2653" t="n">
        <v>0.3182</v>
      </c>
      <c r="K2653" t="n">
        <v>0</v>
      </c>
      <c r="L2653" t="n">
        <v>0.897</v>
      </c>
      <c r="M2653" t="n">
        <v>0.103</v>
      </c>
    </row>
    <row r="2654" spans="1:13">
      <c r="A2654" s="1">
        <f>HYPERLINK("http://www.twitter.com/NathanBLawrence/status/985283943732793344", "985283943732793344")</f>
        <v/>
      </c>
      <c r="B2654" s="2" t="n">
        <v>43204.93717592592</v>
      </c>
      <c r="C2654" t="n">
        <v>0</v>
      </c>
      <c r="D2654" t="n">
        <v>2</v>
      </c>
      <c r="E2654" t="s">
        <v>2654</v>
      </c>
      <c r="F2654" t="s"/>
      <c r="G2654" t="s"/>
      <c r="H2654" t="s"/>
      <c r="I2654" t="s"/>
      <c r="J2654" t="n">
        <v>-0.6115</v>
      </c>
      <c r="K2654" t="n">
        <v>0.222</v>
      </c>
      <c r="L2654" t="n">
        <v>0.778</v>
      </c>
      <c r="M2654" t="n">
        <v>0</v>
      </c>
    </row>
    <row r="2655" spans="1:13">
      <c r="A2655" s="1">
        <f>HYPERLINK("http://www.twitter.com/NathanBLawrence/status/985282113456037890", "985282113456037890")</f>
        <v/>
      </c>
      <c r="B2655" s="2" t="n">
        <v>43204.93212962963</v>
      </c>
      <c r="C2655" t="n">
        <v>3</v>
      </c>
      <c r="D2655" t="n">
        <v>3</v>
      </c>
      <c r="E2655" t="s">
        <v>2655</v>
      </c>
      <c r="F2655" t="s"/>
      <c r="G2655" t="s"/>
      <c r="H2655" t="s"/>
      <c r="I2655" t="s"/>
      <c r="J2655" t="n">
        <v>0</v>
      </c>
      <c r="K2655" t="n">
        <v>0</v>
      </c>
      <c r="L2655" t="n">
        <v>1</v>
      </c>
      <c r="M2655" t="n">
        <v>0</v>
      </c>
    </row>
    <row r="2656" spans="1:13">
      <c r="A2656" s="1">
        <f>HYPERLINK("http://www.twitter.com/NathanBLawrence/status/985279490367655936", "985279490367655936")</f>
        <v/>
      </c>
      <c r="B2656" s="2" t="n">
        <v>43204.92488425926</v>
      </c>
      <c r="C2656" t="n">
        <v>2</v>
      </c>
      <c r="D2656" t="n">
        <v>0</v>
      </c>
      <c r="E2656" t="s">
        <v>2656</v>
      </c>
      <c r="F2656" t="s"/>
      <c r="G2656" t="s"/>
      <c r="H2656" t="s"/>
      <c r="I2656" t="s"/>
      <c r="J2656" t="n">
        <v>-0.5948</v>
      </c>
      <c r="K2656" t="n">
        <v>0.258</v>
      </c>
      <c r="L2656" t="n">
        <v>0.742</v>
      </c>
      <c r="M2656" t="n">
        <v>0</v>
      </c>
    </row>
    <row r="2657" spans="1:13">
      <c r="A2657" s="1">
        <f>HYPERLINK("http://www.twitter.com/NathanBLawrence/status/985277769117589504", "985277769117589504")</f>
        <v/>
      </c>
      <c r="B2657" s="2" t="n">
        <v>43204.92013888889</v>
      </c>
      <c r="C2657" t="n">
        <v>1</v>
      </c>
      <c r="D2657" t="n">
        <v>1</v>
      </c>
      <c r="E2657" t="s">
        <v>2657</v>
      </c>
      <c r="F2657" t="s"/>
      <c r="G2657" t="s"/>
      <c r="H2657" t="s"/>
      <c r="I2657" t="s"/>
      <c r="J2657" t="n">
        <v>0.2023</v>
      </c>
      <c r="K2657" t="n">
        <v>0.08400000000000001</v>
      </c>
      <c r="L2657" t="n">
        <v>0.787</v>
      </c>
      <c r="M2657" t="n">
        <v>0.129</v>
      </c>
    </row>
    <row r="2658" spans="1:13">
      <c r="A2658" s="1">
        <f>HYPERLINK("http://www.twitter.com/NathanBLawrence/status/985274317888991238", "985274317888991238")</f>
        <v/>
      </c>
      <c r="B2658" s="2" t="n">
        <v>43204.91061342593</v>
      </c>
      <c r="C2658" t="n">
        <v>10</v>
      </c>
      <c r="D2658" t="n">
        <v>7</v>
      </c>
      <c r="E2658" t="s">
        <v>2658</v>
      </c>
      <c r="F2658" t="s"/>
      <c r="G2658" t="s"/>
      <c r="H2658" t="s"/>
      <c r="I2658" t="s"/>
      <c r="J2658" t="n">
        <v>-0.5983000000000001</v>
      </c>
      <c r="K2658" t="n">
        <v>0.176</v>
      </c>
      <c r="L2658" t="n">
        <v>0.735</v>
      </c>
      <c r="M2658" t="n">
        <v>0.089</v>
      </c>
    </row>
    <row r="2659" spans="1:13">
      <c r="A2659" s="1">
        <f>HYPERLINK("http://www.twitter.com/NathanBLawrence/status/985271981481349120", "985271981481349120")</f>
        <v/>
      </c>
      <c r="B2659" s="2" t="n">
        <v>43204.90416666667</v>
      </c>
      <c r="C2659" t="n">
        <v>8</v>
      </c>
      <c r="D2659" t="n">
        <v>6</v>
      </c>
      <c r="E2659" t="s">
        <v>2659</v>
      </c>
      <c r="F2659" t="s"/>
      <c r="G2659" t="s"/>
      <c r="H2659" t="s"/>
      <c r="I2659" t="s"/>
      <c r="J2659" t="n">
        <v>0.5994</v>
      </c>
      <c r="K2659" t="n">
        <v>0.118</v>
      </c>
      <c r="L2659" t="n">
        <v>0.543</v>
      </c>
      <c r="M2659" t="n">
        <v>0.339</v>
      </c>
    </row>
    <row r="2660" spans="1:13">
      <c r="A2660" s="1">
        <f>HYPERLINK("http://www.twitter.com/NathanBLawrence/status/985271174941888512", "985271174941888512")</f>
        <v/>
      </c>
      <c r="B2660" s="2" t="n">
        <v>43204.90194444444</v>
      </c>
      <c r="C2660" t="n">
        <v>2</v>
      </c>
      <c r="D2660" t="n">
        <v>0</v>
      </c>
      <c r="E2660" t="s">
        <v>2660</v>
      </c>
      <c r="F2660" t="s"/>
      <c r="G2660" t="s"/>
      <c r="H2660" t="s"/>
      <c r="I2660" t="s"/>
      <c r="J2660" t="n">
        <v>0.1511</v>
      </c>
      <c r="K2660" t="n">
        <v>0.095</v>
      </c>
      <c r="L2660" t="n">
        <v>0.793</v>
      </c>
      <c r="M2660" t="n">
        <v>0.113</v>
      </c>
    </row>
    <row r="2661" spans="1:13">
      <c r="A2661" s="1">
        <f>HYPERLINK("http://www.twitter.com/NathanBLawrence/status/985262921507921920", "985262921507921920")</f>
        <v/>
      </c>
      <c r="B2661" s="2" t="n">
        <v>43204.87916666667</v>
      </c>
      <c r="C2661" t="n">
        <v>1</v>
      </c>
      <c r="D2661" t="n">
        <v>0</v>
      </c>
      <c r="E2661" t="s">
        <v>2661</v>
      </c>
      <c r="F2661" t="s"/>
      <c r="G2661" t="s"/>
      <c r="H2661" t="s"/>
      <c r="I2661" t="s"/>
      <c r="J2661" t="n">
        <v>0</v>
      </c>
      <c r="K2661" t="n">
        <v>0</v>
      </c>
      <c r="L2661" t="n">
        <v>1</v>
      </c>
      <c r="M2661" t="n">
        <v>0</v>
      </c>
    </row>
    <row r="2662" spans="1:13">
      <c r="A2662" s="1">
        <f>HYPERLINK("http://www.twitter.com/NathanBLawrence/status/985262058743783429", "985262058743783429")</f>
        <v/>
      </c>
      <c r="B2662" s="2" t="n">
        <v>43204.87678240741</v>
      </c>
      <c r="C2662" t="n">
        <v>1</v>
      </c>
      <c r="D2662" t="n">
        <v>0</v>
      </c>
      <c r="E2662" t="s">
        <v>2662</v>
      </c>
      <c r="F2662" t="s"/>
      <c r="G2662" t="s"/>
      <c r="H2662" t="s"/>
      <c r="I2662" t="s"/>
      <c r="J2662" t="n">
        <v>0.5725</v>
      </c>
      <c r="K2662" t="n">
        <v>0.1</v>
      </c>
      <c r="L2662" t="n">
        <v>0.587</v>
      </c>
      <c r="M2662" t="n">
        <v>0.313</v>
      </c>
    </row>
    <row r="2663" spans="1:13">
      <c r="A2663" s="1">
        <f>HYPERLINK("http://www.twitter.com/NathanBLawrence/status/985261091180765184", "985261091180765184")</f>
        <v/>
      </c>
      <c r="B2663" s="2" t="n">
        <v>43204.87412037037</v>
      </c>
      <c r="C2663" t="n">
        <v>0</v>
      </c>
      <c r="D2663" t="n">
        <v>0</v>
      </c>
      <c r="E2663" t="s">
        <v>2663</v>
      </c>
      <c r="F2663" t="s"/>
      <c r="G2663" t="s"/>
      <c r="H2663" t="s"/>
      <c r="I2663" t="s"/>
      <c r="J2663" t="n">
        <v>0</v>
      </c>
      <c r="K2663" t="n">
        <v>0</v>
      </c>
      <c r="L2663" t="n">
        <v>1</v>
      </c>
      <c r="M2663" t="n">
        <v>0</v>
      </c>
    </row>
    <row r="2664" spans="1:13">
      <c r="A2664" s="1">
        <f>HYPERLINK("http://www.twitter.com/NathanBLawrence/status/985260519769694208", "985260519769694208")</f>
        <v/>
      </c>
      <c r="B2664" s="2" t="n">
        <v>43204.87253472222</v>
      </c>
      <c r="C2664" t="n">
        <v>0</v>
      </c>
      <c r="D2664" t="n">
        <v>0</v>
      </c>
      <c r="E2664" t="s">
        <v>2664</v>
      </c>
      <c r="F2664" t="s"/>
      <c r="G2664" t="s"/>
      <c r="H2664" t="s"/>
      <c r="I2664" t="s"/>
      <c r="J2664" t="n">
        <v>0.6908</v>
      </c>
      <c r="K2664" t="n">
        <v>0</v>
      </c>
      <c r="L2664" t="n">
        <v>0.725</v>
      </c>
      <c r="M2664" t="n">
        <v>0.275</v>
      </c>
    </row>
    <row r="2665" spans="1:13">
      <c r="A2665" s="1">
        <f>HYPERLINK("http://www.twitter.com/NathanBLawrence/status/985253191779586050", "985253191779586050")</f>
        <v/>
      </c>
      <c r="B2665" s="2" t="n">
        <v>43204.85231481482</v>
      </c>
      <c r="C2665" t="n">
        <v>1</v>
      </c>
      <c r="D2665" t="n">
        <v>1</v>
      </c>
      <c r="E2665" t="s">
        <v>2665</v>
      </c>
      <c r="F2665" t="s"/>
      <c r="G2665" t="s"/>
      <c r="H2665" t="s"/>
      <c r="I2665" t="s"/>
      <c r="J2665" t="n">
        <v>0.4019</v>
      </c>
      <c r="K2665" t="n">
        <v>0</v>
      </c>
      <c r="L2665" t="n">
        <v>0.838</v>
      </c>
      <c r="M2665" t="n">
        <v>0.162</v>
      </c>
    </row>
    <row r="2666" spans="1:13">
      <c r="A2666" s="1">
        <f>HYPERLINK("http://www.twitter.com/NathanBLawrence/status/985252417066303488", "985252417066303488")</f>
        <v/>
      </c>
      <c r="B2666" s="2" t="n">
        <v>43204.85017361111</v>
      </c>
      <c r="C2666" t="n">
        <v>5</v>
      </c>
      <c r="D2666" t="n">
        <v>3</v>
      </c>
      <c r="E2666" t="s">
        <v>2666</v>
      </c>
      <c r="F2666" t="s"/>
      <c r="G2666" t="s"/>
      <c r="H2666" t="s"/>
      <c r="I2666" t="s"/>
      <c r="J2666" t="n">
        <v>0.126</v>
      </c>
      <c r="K2666" t="n">
        <v>0.103</v>
      </c>
      <c r="L2666" t="n">
        <v>0.738</v>
      </c>
      <c r="M2666" t="n">
        <v>0.158</v>
      </c>
    </row>
    <row r="2667" spans="1:13">
      <c r="A2667" s="1">
        <f>HYPERLINK("http://www.twitter.com/NathanBLawrence/status/985249672330702853", "985249672330702853")</f>
        <v/>
      </c>
      <c r="B2667" s="2" t="n">
        <v>43204.84260416667</v>
      </c>
      <c r="C2667" t="n">
        <v>0</v>
      </c>
      <c r="D2667" t="n">
        <v>15</v>
      </c>
      <c r="E2667" t="s">
        <v>2667</v>
      </c>
      <c r="F2667">
        <f>HYPERLINK("http://pbs.twimg.com/media/Daw08CRV4AA8fzd.jpg", "http://pbs.twimg.com/media/Daw08CRV4AA8fzd.jpg")</f>
        <v/>
      </c>
      <c r="G2667" t="s"/>
      <c r="H2667" t="s"/>
      <c r="I2667" t="s"/>
      <c r="J2667" t="n">
        <v>0.4084</v>
      </c>
      <c r="K2667" t="n">
        <v>0.054</v>
      </c>
      <c r="L2667" t="n">
        <v>0.8129999999999999</v>
      </c>
      <c r="M2667" t="n">
        <v>0.133</v>
      </c>
    </row>
    <row r="2668" spans="1:13">
      <c r="A2668" s="1">
        <f>HYPERLINK("http://www.twitter.com/NathanBLawrence/status/985249075506438144", "985249075506438144")</f>
        <v/>
      </c>
      <c r="B2668" s="2" t="n">
        <v>43204.84096064815</v>
      </c>
      <c r="C2668" t="n">
        <v>3</v>
      </c>
      <c r="D2668" t="n">
        <v>0</v>
      </c>
      <c r="E2668" t="s">
        <v>2668</v>
      </c>
      <c r="F2668" t="s"/>
      <c r="G2668" t="s"/>
      <c r="H2668" t="s"/>
      <c r="I2668" t="s"/>
      <c r="J2668" t="n">
        <v>-0.4215</v>
      </c>
      <c r="K2668" t="n">
        <v>0.101</v>
      </c>
      <c r="L2668" t="n">
        <v>0.899</v>
      </c>
      <c r="M2668" t="n">
        <v>0</v>
      </c>
    </row>
    <row r="2669" spans="1:13">
      <c r="A2669" s="1">
        <f>HYPERLINK("http://www.twitter.com/NathanBLawrence/status/985246148003860480", "985246148003860480")</f>
        <v/>
      </c>
      <c r="B2669" s="2" t="n">
        <v>43204.83288194444</v>
      </c>
      <c r="C2669" t="n">
        <v>4</v>
      </c>
      <c r="D2669" t="n">
        <v>4</v>
      </c>
      <c r="E2669" t="s">
        <v>2669</v>
      </c>
      <c r="F2669" t="s"/>
      <c r="G2669" t="s"/>
      <c r="H2669" t="s"/>
      <c r="I2669" t="s"/>
      <c r="J2669" t="n">
        <v>-0.8442</v>
      </c>
      <c r="K2669" t="n">
        <v>0.244</v>
      </c>
      <c r="L2669" t="n">
        <v>0.6860000000000001</v>
      </c>
      <c r="M2669" t="n">
        <v>0.07000000000000001</v>
      </c>
    </row>
    <row r="2670" spans="1:13">
      <c r="A2670" s="1">
        <f>HYPERLINK("http://www.twitter.com/NathanBLawrence/status/985230596204003329", "985230596204003329")</f>
        <v/>
      </c>
      <c r="B2670" s="2" t="n">
        <v>43204.78996527778</v>
      </c>
      <c r="C2670" t="n">
        <v>7</v>
      </c>
      <c r="D2670" t="n">
        <v>7</v>
      </c>
      <c r="E2670" t="s">
        <v>2670</v>
      </c>
      <c r="F2670" t="s"/>
      <c r="G2670" t="s"/>
      <c r="H2670" t="s"/>
      <c r="I2670" t="s"/>
      <c r="J2670" t="n">
        <v>-0.719</v>
      </c>
      <c r="K2670" t="n">
        <v>0.193</v>
      </c>
      <c r="L2670" t="n">
        <v>0.6870000000000001</v>
      </c>
      <c r="M2670" t="n">
        <v>0.12</v>
      </c>
    </row>
    <row r="2671" spans="1:13">
      <c r="A2671" s="1">
        <f>HYPERLINK("http://www.twitter.com/NathanBLawrence/status/985228615087480833", "985228615087480833")</f>
        <v/>
      </c>
      <c r="B2671" s="2" t="n">
        <v>43204.78450231482</v>
      </c>
      <c r="C2671" t="n">
        <v>2</v>
      </c>
      <c r="D2671" t="n">
        <v>1</v>
      </c>
      <c r="E2671" t="s">
        <v>2671</v>
      </c>
      <c r="F2671" t="s"/>
      <c r="G2671" t="s"/>
      <c r="H2671" t="s"/>
      <c r="I2671" t="s"/>
      <c r="J2671" t="n">
        <v>0.6166</v>
      </c>
      <c r="K2671" t="n">
        <v>0.063</v>
      </c>
      <c r="L2671" t="n">
        <v>0.762</v>
      </c>
      <c r="M2671" t="n">
        <v>0.175</v>
      </c>
    </row>
    <row r="2672" spans="1:13">
      <c r="A2672" s="1">
        <f>HYPERLINK("http://www.twitter.com/NathanBLawrence/status/985220850076053506", "985220850076053506")</f>
        <v/>
      </c>
      <c r="B2672" s="2" t="n">
        <v>43204.76306712963</v>
      </c>
      <c r="C2672" t="n">
        <v>1</v>
      </c>
      <c r="D2672" t="n">
        <v>0</v>
      </c>
      <c r="E2672" t="s">
        <v>2672</v>
      </c>
      <c r="F2672" t="s"/>
      <c r="G2672" t="s"/>
      <c r="H2672" t="s"/>
      <c r="I2672" t="s"/>
      <c r="J2672" t="n">
        <v>0</v>
      </c>
      <c r="K2672" t="n">
        <v>0</v>
      </c>
      <c r="L2672" t="n">
        <v>1</v>
      </c>
      <c r="M2672" t="n">
        <v>0</v>
      </c>
    </row>
    <row r="2673" spans="1:13">
      <c r="A2673" s="1">
        <f>HYPERLINK("http://www.twitter.com/NathanBLawrence/status/985220632878243845", "985220632878243845")</f>
        <v/>
      </c>
      <c r="B2673" s="2" t="n">
        <v>43204.76247685185</v>
      </c>
      <c r="C2673" t="n">
        <v>18</v>
      </c>
      <c r="D2673" t="n">
        <v>15</v>
      </c>
      <c r="E2673" t="s">
        <v>2673</v>
      </c>
      <c r="F2673">
        <f>HYPERLINK("http://pbs.twimg.com/media/Daw08CRV4AA8fzd.jpg", "http://pbs.twimg.com/media/Daw08CRV4AA8fzd.jpg")</f>
        <v/>
      </c>
      <c r="G2673" t="s"/>
      <c r="H2673" t="s"/>
      <c r="I2673" t="s"/>
      <c r="J2673" t="n">
        <v>0.5917</v>
      </c>
      <c r="K2673" t="n">
        <v>0.027</v>
      </c>
      <c r="L2673" t="n">
        <v>0.859</v>
      </c>
      <c r="M2673" t="n">
        <v>0.114</v>
      </c>
    </row>
    <row r="2674" spans="1:13">
      <c r="A2674" s="1">
        <f>HYPERLINK("http://www.twitter.com/NathanBLawrence/status/985213687773442051", "985213687773442051")</f>
        <v/>
      </c>
      <c r="B2674" s="2" t="n">
        <v>43204.74331018519</v>
      </c>
      <c r="C2674" t="n">
        <v>2</v>
      </c>
      <c r="D2674" t="n">
        <v>1</v>
      </c>
      <c r="E2674" t="s">
        <v>2674</v>
      </c>
      <c r="F2674" t="s"/>
      <c r="G2674" t="s"/>
      <c r="H2674" t="s"/>
      <c r="I2674" t="s"/>
      <c r="J2674" t="n">
        <v>-0.6597</v>
      </c>
      <c r="K2674" t="n">
        <v>0.184</v>
      </c>
      <c r="L2674" t="n">
        <v>0.8159999999999999</v>
      </c>
      <c r="M2674" t="n">
        <v>0</v>
      </c>
    </row>
    <row r="2675" spans="1:13">
      <c r="A2675" s="1">
        <f>HYPERLINK("http://www.twitter.com/NathanBLawrence/status/985210488127619072", "985210488127619072")</f>
        <v/>
      </c>
      <c r="B2675" s="2" t="n">
        <v>43204.73447916667</v>
      </c>
      <c r="C2675" t="n">
        <v>0</v>
      </c>
      <c r="D2675" t="n">
        <v>10</v>
      </c>
      <c r="E2675" t="s">
        <v>2675</v>
      </c>
      <c r="F2675" t="s"/>
      <c r="G2675" t="s"/>
      <c r="H2675" t="s"/>
      <c r="I2675" t="s"/>
      <c r="J2675" t="n">
        <v>-0.3818</v>
      </c>
      <c r="K2675" t="n">
        <v>0.098</v>
      </c>
      <c r="L2675" t="n">
        <v>0.902</v>
      </c>
      <c r="M2675" t="n">
        <v>0</v>
      </c>
    </row>
    <row r="2676" spans="1:13">
      <c r="A2676" s="1">
        <f>HYPERLINK("http://www.twitter.com/NathanBLawrence/status/985204299474055169", "985204299474055169")</f>
        <v/>
      </c>
      <c r="B2676" s="2" t="n">
        <v>43204.71739583334</v>
      </c>
      <c r="C2676" t="n">
        <v>1</v>
      </c>
      <c r="D2676" t="n">
        <v>0</v>
      </c>
      <c r="E2676" t="s">
        <v>2676</v>
      </c>
      <c r="F2676" t="s"/>
      <c r="G2676" t="s"/>
      <c r="H2676" t="s"/>
      <c r="I2676" t="s"/>
      <c r="J2676" t="n">
        <v>-0.126</v>
      </c>
      <c r="K2676" t="n">
        <v>0.19</v>
      </c>
      <c r="L2676" t="n">
        <v>0.635</v>
      </c>
      <c r="M2676" t="n">
        <v>0.175</v>
      </c>
    </row>
    <row r="2677" spans="1:13">
      <c r="A2677" s="1">
        <f>HYPERLINK("http://www.twitter.com/NathanBLawrence/status/985203876721778694", "985203876721778694")</f>
        <v/>
      </c>
      <c r="B2677" s="2" t="n">
        <v>43204.71623842593</v>
      </c>
      <c r="C2677" t="n">
        <v>0</v>
      </c>
      <c r="D2677" t="n">
        <v>4</v>
      </c>
      <c r="E2677" t="s">
        <v>2677</v>
      </c>
      <c r="F2677" t="s"/>
      <c r="G2677" t="s"/>
      <c r="H2677" t="s"/>
      <c r="I2677" t="s"/>
      <c r="J2677" t="n">
        <v>0.4995</v>
      </c>
      <c r="K2677" t="n">
        <v>0</v>
      </c>
      <c r="L2677" t="n">
        <v>0.848</v>
      </c>
      <c r="M2677" t="n">
        <v>0.152</v>
      </c>
    </row>
    <row r="2678" spans="1:13">
      <c r="A2678" s="1">
        <f>HYPERLINK("http://www.twitter.com/NathanBLawrence/status/985191386352930817", "985191386352930817")</f>
        <v/>
      </c>
      <c r="B2678" s="2" t="n">
        <v>43204.68177083333</v>
      </c>
      <c r="C2678" t="n">
        <v>1</v>
      </c>
      <c r="D2678" t="n">
        <v>1</v>
      </c>
      <c r="E2678" t="s">
        <v>2678</v>
      </c>
      <c r="F2678" t="s"/>
      <c r="G2678" t="s"/>
      <c r="H2678" t="s"/>
      <c r="I2678" t="s"/>
      <c r="J2678" t="n">
        <v>0.1531</v>
      </c>
      <c r="K2678" t="n">
        <v>0.155</v>
      </c>
      <c r="L2678" t="n">
        <v>0.619</v>
      </c>
      <c r="M2678" t="n">
        <v>0.226</v>
      </c>
    </row>
    <row r="2679" spans="1:13">
      <c r="A2679" s="1">
        <f>HYPERLINK("http://www.twitter.com/NathanBLawrence/status/985189924067520512", "985189924067520512")</f>
        <v/>
      </c>
      <c r="B2679" s="2" t="n">
        <v>43204.67773148148</v>
      </c>
      <c r="C2679" t="n">
        <v>13</v>
      </c>
      <c r="D2679" t="n">
        <v>11</v>
      </c>
      <c r="E2679" t="s">
        <v>2679</v>
      </c>
      <c r="F2679" t="s"/>
      <c r="G2679" t="s"/>
      <c r="H2679" t="s"/>
      <c r="I2679" t="s"/>
      <c r="J2679" t="n">
        <v>-0.128</v>
      </c>
      <c r="K2679" t="n">
        <v>0.132</v>
      </c>
      <c r="L2679" t="n">
        <v>0.748</v>
      </c>
      <c r="M2679" t="n">
        <v>0.12</v>
      </c>
    </row>
    <row r="2680" spans="1:13">
      <c r="A2680" s="1">
        <f>HYPERLINK("http://www.twitter.com/NathanBLawrence/status/985189184553078784", "985189184553078784")</f>
        <v/>
      </c>
      <c r="B2680" s="2" t="n">
        <v>43204.67569444444</v>
      </c>
      <c r="C2680" t="n">
        <v>0</v>
      </c>
      <c r="D2680" t="n">
        <v>0</v>
      </c>
      <c r="E2680" t="s">
        <v>2680</v>
      </c>
      <c r="F2680" t="s"/>
      <c r="G2680" t="s"/>
      <c r="H2680" t="s"/>
      <c r="I2680" t="s"/>
      <c r="J2680" t="n">
        <v>-0.765</v>
      </c>
      <c r="K2680" t="n">
        <v>0.489</v>
      </c>
      <c r="L2680" t="n">
        <v>0.368</v>
      </c>
      <c r="M2680" t="n">
        <v>0.142</v>
      </c>
    </row>
    <row r="2681" spans="1:13">
      <c r="A2681" s="1">
        <f>HYPERLINK("http://www.twitter.com/NathanBLawrence/status/985187809827966977", "985187809827966977")</f>
        <v/>
      </c>
      <c r="B2681" s="2" t="n">
        <v>43204.67189814815</v>
      </c>
      <c r="C2681" t="n">
        <v>10</v>
      </c>
      <c r="D2681" t="n">
        <v>9</v>
      </c>
      <c r="E2681" t="s">
        <v>2681</v>
      </c>
      <c r="F2681" t="s"/>
      <c r="G2681" t="s"/>
      <c r="H2681" t="s"/>
      <c r="I2681" t="s"/>
      <c r="J2681" t="n">
        <v>-0.7125</v>
      </c>
      <c r="K2681" t="n">
        <v>0.33</v>
      </c>
      <c r="L2681" t="n">
        <v>0.5610000000000001</v>
      </c>
      <c r="M2681" t="n">
        <v>0.108</v>
      </c>
    </row>
    <row r="2682" spans="1:13">
      <c r="A2682" s="1">
        <f>HYPERLINK("http://www.twitter.com/NathanBLawrence/status/985187292519321605", "985187292519321605")</f>
        <v/>
      </c>
      <c r="B2682" s="2" t="n">
        <v>43204.67047453704</v>
      </c>
      <c r="C2682" t="n">
        <v>4</v>
      </c>
      <c r="D2682" t="n">
        <v>3</v>
      </c>
      <c r="E2682" t="s">
        <v>2682</v>
      </c>
      <c r="F2682" t="s"/>
      <c r="G2682" t="s"/>
      <c r="H2682" t="s"/>
      <c r="I2682" t="s"/>
      <c r="J2682" t="n">
        <v>-0.7579</v>
      </c>
      <c r="K2682" t="n">
        <v>0.196</v>
      </c>
      <c r="L2682" t="n">
        <v>0.758</v>
      </c>
      <c r="M2682" t="n">
        <v>0.046</v>
      </c>
    </row>
    <row r="2683" spans="1:13">
      <c r="A2683" s="1">
        <f>HYPERLINK("http://www.twitter.com/NathanBLawrence/status/985158044391825408", "985158044391825408")</f>
        <v/>
      </c>
      <c r="B2683" s="2" t="n">
        <v>43204.58975694444</v>
      </c>
      <c r="C2683" t="n">
        <v>1</v>
      </c>
      <c r="D2683" t="n">
        <v>0</v>
      </c>
      <c r="E2683" t="s">
        <v>2683</v>
      </c>
      <c r="F2683" t="s"/>
      <c r="G2683" t="s"/>
      <c r="H2683" t="s"/>
      <c r="I2683" t="s"/>
      <c r="J2683" t="n">
        <v>0</v>
      </c>
      <c r="K2683" t="n">
        <v>0</v>
      </c>
      <c r="L2683" t="n">
        <v>1</v>
      </c>
      <c r="M2683" t="n">
        <v>0</v>
      </c>
    </row>
    <row r="2684" spans="1:13">
      <c r="A2684" s="1">
        <f>HYPERLINK("http://www.twitter.com/NathanBLawrence/status/985154085937668098", "985154085937668098")</f>
        <v/>
      </c>
      <c r="B2684" s="2" t="n">
        <v>43204.57884259259</v>
      </c>
      <c r="C2684" t="n">
        <v>0</v>
      </c>
      <c r="D2684" t="n">
        <v>0</v>
      </c>
      <c r="E2684" t="s">
        <v>2684</v>
      </c>
      <c r="F2684" t="s"/>
      <c r="G2684" t="s"/>
      <c r="H2684" t="s"/>
      <c r="I2684" t="s"/>
      <c r="J2684" t="n">
        <v>0</v>
      </c>
      <c r="K2684" t="n">
        <v>0</v>
      </c>
      <c r="L2684" t="n">
        <v>1</v>
      </c>
      <c r="M2684" t="n">
        <v>0</v>
      </c>
    </row>
    <row r="2685" spans="1:13">
      <c r="A2685" s="1">
        <f>HYPERLINK("http://www.twitter.com/NathanBLawrence/status/985153856882569216", "985153856882569216")</f>
        <v/>
      </c>
      <c r="B2685" s="2" t="n">
        <v>43204.57820601852</v>
      </c>
      <c r="C2685" t="n">
        <v>1</v>
      </c>
      <c r="D2685" t="n">
        <v>0</v>
      </c>
      <c r="E2685" t="s">
        <v>2685</v>
      </c>
      <c r="F2685" t="s"/>
      <c r="G2685" t="s"/>
      <c r="H2685" t="s"/>
      <c r="I2685" t="s"/>
      <c r="J2685" t="n">
        <v>0.5719</v>
      </c>
      <c r="K2685" t="n">
        <v>0</v>
      </c>
      <c r="L2685" t="n">
        <v>0.6840000000000001</v>
      </c>
      <c r="M2685" t="n">
        <v>0.316</v>
      </c>
    </row>
    <row r="2686" spans="1:13">
      <c r="A2686" s="1">
        <f>HYPERLINK("http://www.twitter.com/NathanBLawrence/status/985151688184037376", "985151688184037376")</f>
        <v/>
      </c>
      <c r="B2686" s="2" t="n">
        <v>43204.57222222222</v>
      </c>
      <c r="C2686" t="n">
        <v>5</v>
      </c>
      <c r="D2686" t="n">
        <v>0</v>
      </c>
      <c r="E2686" t="s">
        <v>2686</v>
      </c>
      <c r="F2686" t="s"/>
      <c r="G2686" t="s"/>
      <c r="H2686" t="s"/>
      <c r="I2686" t="s"/>
      <c r="J2686" t="n">
        <v>-0.9069</v>
      </c>
      <c r="K2686" t="n">
        <v>0.291</v>
      </c>
      <c r="L2686" t="n">
        <v>0.709</v>
      </c>
      <c r="M2686" t="n">
        <v>0</v>
      </c>
    </row>
    <row r="2687" spans="1:13">
      <c r="A2687" s="1">
        <f>HYPERLINK("http://www.twitter.com/NathanBLawrence/status/985150315845554176", "985150315845554176")</f>
        <v/>
      </c>
      <c r="B2687" s="2" t="n">
        <v>43204.5684375</v>
      </c>
      <c r="C2687" t="n">
        <v>0</v>
      </c>
      <c r="D2687" t="n">
        <v>0</v>
      </c>
      <c r="E2687" t="s">
        <v>2687</v>
      </c>
      <c r="F2687" t="s"/>
      <c r="G2687" t="s"/>
      <c r="H2687" t="s"/>
      <c r="I2687" t="s"/>
      <c r="J2687" t="n">
        <v>-0.7269</v>
      </c>
      <c r="K2687" t="n">
        <v>0.287</v>
      </c>
      <c r="L2687" t="n">
        <v>0.572</v>
      </c>
      <c r="M2687" t="n">
        <v>0.141</v>
      </c>
    </row>
    <row r="2688" spans="1:13">
      <c r="A2688" s="1">
        <f>HYPERLINK("http://www.twitter.com/NathanBLawrence/status/985147874588545024", "985147874588545024")</f>
        <v/>
      </c>
      <c r="B2688" s="2" t="n">
        <v>43204.56170138889</v>
      </c>
      <c r="C2688" t="n">
        <v>1</v>
      </c>
      <c r="D2688" t="n">
        <v>0</v>
      </c>
      <c r="E2688" t="s">
        <v>2688</v>
      </c>
      <c r="F2688" t="s"/>
      <c r="G2688" t="s"/>
      <c r="H2688" t="s"/>
      <c r="I2688" t="s"/>
      <c r="J2688" t="n">
        <v>-0.6486</v>
      </c>
      <c r="K2688" t="n">
        <v>0.29</v>
      </c>
      <c r="L2688" t="n">
        <v>0.71</v>
      </c>
      <c r="M2688" t="n">
        <v>0</v>
      </c>
    </row>
    <row r="2689" spans="1:13">
      <c r="A2689" s="1">
        <f>HYPERLINK("http://www.twitter.com/NathanBLawrence/status/985138327404900354", "985138327404900354")</f>
        <v/>
      </c>
      <c r="B2689" s="2" t="n">
        <v>43204.53534722222</v>
      </c>
      <c r="C2689" t="n">
        <v>0</v>
      </c>
      <c r="D2689" t="n">
        <v>10</v>
      </c>
      <c r="E2689" t="s">
        <v>2689</v>
      </c>
      <c r="F2689" t="s"/>
      <c r="G2689" t="s"/>
      <c r="H2689" t="s"/>
      <c r="I2689" t="s"/>
      <c r="J2689" t="n">
        <v>-0.5994</v>
      </c>
      <c r="K2689" t="n">
        <v>0.218</v>
      </c>
      <c r="L2689" t="n">
        <v>0.782</v>
      </c>
      <c r="M2689" t="n">
        <v>0</v>
      </c>
    </row>
    <row r="2690" spans="1:13">
      <c r="A2690" s="1">
        <f>HYPERLINK("http://www.twitter.com/NathanBLawrence/status/985138099717107712", "985138099717107712")</f>
        <v/>
      </c>
      <c r="B2690" s="2" t="n">
        <v>43204.53472222222</v>
      </c>
      <c r="C2690" t="n">
        <v>7</v>
      </c>
      <c r="D2690" t="n">
        <v>4</v>
      </c>
      <c r="E2690" t="s">
        <v>2690</v>
      </c>
      <c r="F2690" t="s"/>
      <c r="G2690" t="s"/>
      <c r="H2690" t="s"/>
      <c r="I2690" t="s"/>
      <c r="J2690" t="n">
        <v>0.7269</v>
      </c>
      <c r="K2690" t="n">
        <v>0.109</v>
      </c>
      <c r="L2690" t="n">
        <v>0.667</v>
      </c>
      <c r="M2690" t="n">
        <v>0.225</v>
      </c>
    </row>
    <row r="2691" spans="1:13">
      <c r="A2691" s="1">
        <f>HYPERLINK("http://www.twitter.com/NathanBLawrence/status/985134964206338048", "985134964206338048")</f>
        <v/>
      </c>
      <c r="B2691" s="2" t="n">
        <v>43204.52607638889</v>
      </c>
      <c r="C2691" t="n">
        <v>0</v>
      </c>
      <c r="D2691" t="n">
        <v>0</v>
      </c>
      <c r="E2691" t="s">
        <v>2691</v>
      </c>
      <c r="F2691" t="s"/>
      <c r="G2691" t="s"/>
      <c r="H2691" t="s"/>
      <c r="I2691" t="s"/>
      <c r="J2691" t="n">
        <v>-0.6705</v>
      </c>
      <c r="K2691" t="n">
        <v>0.201</v>
      </c>
      <c r="L2691" t="n">
        <v>0.726</v>
      </c>
      <c r="M2691" t="n">
        <v>0.073</v>
      </c>
    </row>
    <row r="2692" spans="1:13">
      <c r="A2692" s="1">
        <f>HYPERLINK("http://www.twitter.com/NathanBLawrence/status/985041351178964992", "985041351178964992")</f>
        <v/>
      </c>
      <c r="B2692" s="2" t="n">
        <v>43204.26774305556</v>
      </c>
      <c r="C2692" t="n">
        <v>0</v>
      </c>
      <c r="D2692" t="n">
        <v>0</v>
      </c>
      <c r="E2692" t="s">
        <v>2692</v>
      </c>
      <c r="F2692" t="s"/>
      <c r="G2692" t="s"/>
      <c r="H2692" t="s"/>
      <c r="I2692" t="s"/>
      <c r="J2692" t="n">
        <v>0.1779</v>
      </c>
      <c r="K2692" t="n">
        <v>0.06</v>
      </c>
      <c r="L2692" t="n">
        <v>0.86</v>
      </c>
      <c r="M2692" t="n">
        <v>0.08</v>
      </c>
    </row>
    <row r="2693" spans="1:13">
      <c r="A2693" s="1">
        <f>HYPERLINK("http://www.twitter.com/NathanBLawrence/status/985039851400679424", "985039851400679424")</f>
        <v/>
      </c>
      <c r="B2693" s="2" t="n">
        <v>43204.26361111111</v>
      </c>
      <c r="C2693" t="n">
        <v>0</v>
      </c>
      <c r="D2693" t="n">
        <v>0</v>
      </c>
      <c r="E2693" t="s">
        <v>2693</v>
      </c>
      <c r="F2693" t="s"/>
      <c r="G2693" t="s"/>
      <c r="H2693" t="s"/>
      <c r="I2693" t="s"/>
      <c r="J2693" t="n">
        <v>0</v>
      </c>
      <c r="K2693" t="n">
        <v>0</v>
      </c>
      <c r="L2693" t="n">
        <v>1</v>
      </c>
      <c r="M2693" t="n">
        <v>0</v>
      </c>
    </row>
    <row r="2694" spans="1:13">
      <c r="A2694" s="1">
        <f>HYPERLINK("http://www.twitter.com/NathanBLawrence/status/985036899176808448", "985036899176808448")</f>
        <v/>
      </c>
      <c r="B2694" s="2" t="n">
        <v>43204.25546296296</v>
      </c>
      <c r="C2694" t="n">
        <v>0</v>
      </c>
      <c r="D2694" t="n">
        <v>1</v>
      </c>
      <c r="E2694" t="s">
        <v>2694</v>
      </c>
      <c r="F2694" t="s"/>
      <c r="G2694" t="s"/>
      <c r="H2694" t="s"/>
      <c r="I2694" t="s"/>
      <c r="J2694" t="n">
        <v>-0.6908</v>
      </c>
      <c r="K2694" t="n">
        <v>0.14</v>
      </c>
      <c r="L2694" t="n">
        <v>0.86</v>
      </c>
      <c r="M2694" t="n">
        <v>0</v>
      </c>
    </row>
    <row r="2695" spans="1:13">
      <c r="A2695" s="1">
        <f>HYPERLINK("http://www.twitter.com/NathanBLawrence/status/985035367094083584", "985035367094083584")</f>
        <v/>
      </c>
      <c r="B2695" s="2" t="n">
        <v>43204.25123842592</v>
      </c>
      <c r="C2695" t="n">
        <v>0</v>
      </c>
      <c r="D2695" t="n">
        <v>0</v>
      </c>
      <c r="E2695" t="s">
        <v>2695</v>
      </c>
      <c r="F2695" t="s"/>
      <c r="G2695" t="s"/>
      <c r="H2695" t="s"/>
      <c r="I2695" t="s"/>
      <c r="J2695" t="n">
        <v>-0.3612</v>
      </c>
      <c r="K2695" t="n">
        <v>0.134</v>
      </c>
      <c r="L2695" t="n">
        <v>0.767</v>
      </c>
      <c r="M2695" t="n">
        <v>0.098</v>
      </c>
    </row>
    <row r="2696" spans="1:13">
      <c r="A2696" s="1">
        <f>HYPERLINK("http://www.twitter.com/NathanBLawrence/status/985032770408845312", "985032770408845312")</f>
        <v/>
      </c>
      <c r="B2696" s="2" t="n">
        <v>43204.24407407407</v>
      </c>
      <c r="C2696" t="n">
        <v>1</v>
      </c>
      <c r="D2696" t="n">
        <v>0</v>
      </c>
      <c r="E2696" t="s">
        <v>2696</v>
      </c>
      <c r="F2696" t="s"/>
      <c r="G2696" t="s"/>
      <c r="H2696" t="s"/>
      <c r="I2696" t="s"/>
      <c r="J2696" t="n">
        <v>0.0516</v>
      </c>
      <c r="K2696" t="n">
        <v>0</v>
      </c>
      <c r="L2696" t="n">
        <v>0.833</v>
      </c>
      <c r="M2696" t="n">
        <v>0.167</v>
      </c>
    </row>
    <row r="2697" spans="1:13">
      <c r="A2697" s="1">
        <f>HYPERLINK("http://www.twitter.com/NathanBLawrence/status/985031598193238016", "985031598193238016")</f>
        <v/>
      </c>
      <c r="B2697" s="2" t="n">
        <v>43204.24083333334</v>
      </c>
      <c r="C2697" t="n">
        <v>0</v>
      </c>
      <c r="D2697" t="n">
        <v>0</v>
      </c>
      <c r="E2697" t="s">
        <v>2697</v>
      </c>
      <c r="F2697" t="s"/>
      <c r="G2697" t="s"/>
      <c r="H2697" t="s"/>
      <c r="I2697" t="s"/>
      <c r="J2697" t="n">
        <v>0.6167</v>
      </c>
      <c r="K2697" t="n">
        <v>0.134</v>
      </c>
      <c r="L2697" t="n">
        <v>0.68</v>
      </c>
      <c r="M2697" t="n">
        <v>0.187</v>
      </c>
    </row>
    <row r="2698" spans="1:13">
      <c r="A2698" s="1">
        <f>HYPERLINK("http://www.twitter.com/NathanBLawrence/status/985028941219008512", "985028941219008512")</f>
        <v/>
      </c>
      <c r="B2698" s="2" t="n">
        <v>43204.23350694445</v>
      </c>
      <c r="C2698" t="n">
        <v>1</v>
      </c>
      <c r="D2698" t="n">
        <v>0</v>
      </c>
      <c r="E2698" t="s">
        <v>2698</v>
      </c>
      <c r="F2698" t="s"/>
      <c r="G2698" t="s"/>
      <c r="H2698" t="s"/>
      <c r="I2698" t="s"/>
      <c r="J2698" t="n">
        <v>-0.3182</v>
      </c>
      <c r="K2698" t="n">
        <v>0.113</v>
      </c>
      <c r="L2698" t="n">
        <v>0.887</v>
      </c>
      <c r="M2698" t="n">
        <v>0</v>
      </c>
    </row>
    <row r="2699" spans="1:13">
      <c r="A2699" s="1">
        <f>HYPERLINK("http://www.twitter.com/NathanBLawrence/status/985028563224203264", "985028563224203264")</f>
        <v/>
      </c>
      <c r="B2699" s="2" t="n">
        <v>43204.23246527778</v>
      </c>
      <c r="C2699" t="n">
        <v>0</v>
      </c>
      <c r="D2699" t="n">
        <v>0</v>
      </c>
      <c r="E2699" t="s">
        <v>2699</v>
      </c>
      <c r="F2699" t="s"/>
      <c r="G2699" t="s"/>
      <c r="H2699" t="s"/>
      <c r="I2699" t="s"/>
      <c r="J2699" t="n">
        <v>-0.0258</v>
      </c>
      <c r="K2699" t="n">
        <v>0.054</v>
      </c>
      <c r="L2699" t="n">
        <v>0.893</v>
      </c>
      <c r="M2699" t="n">
        <v>0.052</v>
      </c>
    </row>
    <row r="2700" spans="1:13">
      <c r="A2700" s="1">
        <f>HYPERLINK("http://www.twitter.com/NathanBLawrence/status/985027958334279680", "985027958334279680")</f>
        <v/>
      </c>
      <c r="B2700" s="2" t="n">
        <v>43204.23078703704</v>
      </c>
      <c r="C2700" t="n">
        <v>0</v>
      </c>
      <c r="D2700" t="n">
        <v>0</v>
      </c>
      <c r="E2700" t="s">
        <v>2700</v>
      </c>
      <c r="F2700" t="s"/>
      <c r="G2700" t="s"/>
      <c r="H2700" t="s"/>
      <c r="I2700" t="s"/>
      <c r="J2700" t="n">
        <v>-0.7982</v>
      </c>
      <c r="K2700" t="n">
        <v>0.197</v>
      </c>
      <c r="L2700" t="n">
        <v>0.767</v>
      </c>
      <c r="M2700" t="n">
        <v>0.036</v>
      </c>
    </row>
    <row r="2701" spans="1:13">
      <c r="A2701" s="1">
        <f>HYPERLINK("http://www.twitter.com/NathanBLawrence/status/985027512454598656", "985027512454598656")</f>
        <v/>
      </c>
      <c r="B2701" s="2" t="n">
        <v>43204.22956018519</v>
      </c>
      <c r="C2701" t="n">
        <v>1</v>
      </c>
      <c r="D2701" t="n">
        <v>2</v>
      </c>
      <c r="E2701" t="s">
        <v>2701</v>
      </c>
      <c r="F2701" t="s"/>
      <c r="G2701" t="s"/>
      <c r="H2701" t="s"/>
      <c r="I2701" t="s"/>
      <c r="J2701" t="n">
        <v>-0.8687</v>
      </c>
      <c r="K2701" t="n">
        <v>0.285</v>
      </c>
      <c r="L2701" t="n">
        <v>0.628</v>
      </c>
      <c r="M2701" t="n">
        <v>0.08699999999999999</v>
      </c>
    </row>
    <row r="2702" spans="1:13">
      <c r="A2702" s="1">
        <f>HYPERLINK("http://www.twitter.com/NathanBLawrence/status/985026557801631745", "985026557801631745")</f>
        <v/>
      </c>
      <c r="B2702" s="2" t="n">
        <v>43204.22692129629</v>
      </c>
      <c r="C2702" t="n">
        <v>0</v>
      </c>
      <c r="D2702" t="n">
        <v>0</v>
      </c>
      <c r="E2702" t="s">
        <v>2702</v>
      </c>
      <c r="F2702" t="s"/>
      <c r="G2702" t="s"/>
      <c r="H2702" t="s"/>
      <c r="I2702" t="s"/>
      <c r="J2702" t="n">
        <v>0</v>
      </c>
      <c r="K2702" t="n">
        <v>0</v>
      </c>
      <c r="L2702" t="n">
        <v>1</v>
      </c>
      <c r="M2702" t="n">
        <v>0</v>
      </c>
    </row>
    <row r="2703" spans="1:13">
      <c r="A2703" s="1">
        <f>HYPERLINK("http://www.twitter.com/NathanBLawrence/status/985025302379335680", "985025302379335680")</f>
        <v/>
      </c>
      <c r="B2703" s="2" t="n">
        <v>43204.22346064815</v>
      </c>
      <c r="C2703" t="n">
        <v>2</v>
      </c>
      <c r="D2703" t="n">
        <v>0</v>
      </c>
      <c r="E2703" t="s">
        <v>2703</v>
      </c>
      <c r="F2703" t="s"/>
      <c r="G2703" t="s"/>
      <c r="H2703" t="s"/>
      <c r="I2703" t="s"/>
      <c r="J2703" t="n">
        <v>-0.4215</v>
      </c>
      <c r="K2703" t="n">
        <v>0.16</v>
      </c>
      <c r="L2703" t="n">
        <v>0.784</v>
      </c>
      <c r="M2703" t="n">
        <v>0.056</v>
      </c>
    </row>
    <row r="2704" spans="1:13">
      <c r="A2704" s="1">
        <f>HYPERLINK("http://www.twitter.com/NathanBLawrence/status/984978299188326400", "984978299188326400")</f>
        <v/>
      </c>
      <c r="B2704" s="2" t="n">
        <v>43204.09376157408</v>
      </c>
      <c r="C2704" t="n">
        <v>0</v>
      </c>
      <c r="D2704" t="n">
        <v>0</v>
      </c>
      <c r="E2704" t="s">
        <v>2704</v>
      </c>
      <c r="F2704" t="s"/>
      <c r="G2704" t="s"/>
      <c r="H2704" t="s"/>
      <c r="I2704" t="s"/>
      <c r="J2704" t="n">
        <v>-0.2694</v>
      </c>
      <c r="K2704" t="n">
        <v>0.118</v>
      </c>
      <c r="L2704" t="n">
        <v>0.828</v>
      </c>
      <c r="M2704" t="n">
        <v>0.054</v>
      </c>
    </row>
    <row r="2705" spans="1:13">
      <c r="A2705" s="1">
        <f>HYPERLINK("http://www.twitter.com/NathanBLawrence/status/984977593853194241", "984977593853194241")</f>
        <v/>
      </c>
      <c r="B2705" s="2" t="n">
        <v>43204.09181712963</v>
      </c>
      <c r="C2705" t="n">
        <v>2</v>
      </c>
      <c r="D2705" t="n">
        <v>0</v>
      </c>
      <c r="E2705" t="s">
        <v>2705</v>
      </c>
      <c r="F2705" t="s"/>
      <c r="G2705" t="s"/>
      <c r="H2705" t="s"/>
      <c r="I2705" t="s"/>
      <c r="J2705" t="n">
        <v>-0.5266999999999999</v>
      </c>
      <c r="K2705" t="n">
        <v>0.173</v>
      </c>
      <c r="L2705" t="n">
        <v>0.827</v>
      </c>
      <c r="M2705" t="n">
        <v>0</v>
      </c>
    </row>
    <row r="2706" spans="1:13">
      <c r="A2706" s="1">
        <f>HYPERLINK("http://www.twitter.com/NathanBLawrence/status/984976969967243264", "984976969967243264")</f>
        <v/>
      </c>
      <c r="B2706" s="2" t="n">
        <v>43204.0900925926</v>
      </c>
      <c r="C2706" t="n">
        <v>6</v>
      </c>
      <c r="D2706" t="n">
        <v>2</v>
      </c>
      <c r="E2706" t="s">
        <v>2706</v>
      </c>
      <c r="F2706" t="s"/>
      <c r="G2706" t="s"/>
      <c r="H2706" t="s"/>
      <c r="I2706" t="s"/>
      <c r="J2706" t="n">
        <v>0</v>
      </c>
      <c r="K2706" t="n">
        <v>0</v>
      </c>
      <c r="L2706" t="n">
        <v>1</v>
      </c>
      <c r="M2706" t="n">
        <v>0</v>
      </c>
    </row>
    <row r="2707" spans="1:13">
      <c r="A2707" s="1">
        <f>HYPERLINK("http://www.twitter.com/NathanBLawrence/status/984976138387636224", "984976138387636224")</f>
        <v/>
      </c>
      <c r="B2707" s="2" t="n">
        <v>43204.08780092592</v>
      </c>
      <c r="C2707" t="n">
        <v>0</v>
      </c>
      <c r="D2707" t="n">
        <v>11</v>
      </c>
      <c r="E2707" t="s">
        <v>2707</v>
      </c>
      <c r="F2707" t="s"/>
      <c r="G2707" t="s"/>
      <c r="H2707" t="s"/>
      <c r="I2707" t="s"/>
      <c r="J2707" t="n">
        <v>0.25</v>
      </c>
      <c r="K2707" t="n">
        <v>0.049</v>
      </c>
      <c r="L2707" t="n">
        <v>0.868</v>
      </c>
      <c r="M2707" t="n">
        <v>0.083</v>
      </c>
    </row>
    <row r="2708" spans="1:13">
      <c r="A2708" s="1">
        <f>HYPERLINK("http://www.twitter.com/NathanBLawrence/status/984956462932819976", "984956462932819976")</f>
        <v/>
      </c>
      <c r="B2708" s="2" t="n">
        <v>43204.03350694444</v>
      </c>
      <c r="C2708" t="n">
        <v>0</v>
      </c>
      <c r="D2708" t="n">
        <v>0</v>
      </c>
      <c r="E2708" t="s">
        <v>2708</v>
      </c>
      <c r="F2708" t="s"/>
      <c r="G2708" t="s"/>
      <c r="H2708" t="s"/>
      <c r="I2708" t="s"/>
      <c r="J2708" t="n">
        <v>-0.8176</v>
      </c>
      <c r="K2708" t="n">
        <v>0.262</v>
      </c>
      <c r="L2708" t="n">
        <v>0.738</v>
      </c>
      <c r="M2708" t="n">
        <v>0</v>
      </c>
    </row>
    <row r="2709" spans="1:13">
      <c r="A2709" s="1">
        <f>HYPERLINK("http://www.twitter.com/NathanBLawrence/status/984955831534964737", "984955831534964737")</f>
        <v/>
      </c>
      <c r="B2709" s="2" t="n">
        <v>43204.03175925926</v>
      </c>
      <c r="C2709" t="n">
        <v>1</v>
      </c>
      <c r="D2709" t="n">
        <v>0</v>
      </c>
      <c r="E2709" t="s">
        <v>2709</v>
      </c>
      <c r="F2709" t="s"/>
      <c r="G2709" t="s"/>
      <c r="H2709" t="s"/>
      <c r="I2709" t="s"/>
      <c r="J2709" t="n">
        <v>0.1531</v>
      </c>
      <c r="K2709" t="n">
        <v>0.116</v>
      </c>
      <c r="L2709" t="n">
        <v>0.775</v>
      </c>
      <c r="M2709" t="n">
        <v>0.109</v>
      </c>
    </row>
    <row r="2710" spans="1:13">
      <c r="A2710" s="1">
        <f>HYPERLINK("http://www.twitter.com/NathanBLawrence/status/984954574850215936", "984954574850215936")</f>
        <v/>
      </c>
      <c r="B2710" s="2" t="n">
        <v>43204.02828703704</v>
      </c>
      <c r="C2710" t="n">
        <v>8</v>
      </c>
      <c r="D2710" t="n">
        <v>4</v>
      </c>
      <c r="E2710" t="s">
        <v>2710</v>
      </c>
      <c r="F2710" t="s"/>
      <c r="G2710" t="s"/>
      <c r="H2710" t="s"/>
      <c r="I2710" t="s"/>
      <c r="J2710" t="n">
        <v>-0.8494</v>
      </c>
      <c r="K2710" t="n">
        <v>0.296</v>
      </c>
      <c r="L2710" t="n">
        <v>0.704</v>
      </c>
      <c r="M2710" t="n">
        <v>0</v>
      </c>
    </row>
    <row r="2711" spans="1:13">
      <c r="A2711" s="1">
        <f>HYPERLINK("http://www.twitter.com/NathanBLawrence/status/984947778815188993", "984947778815188993")</f>
        <v/>
      </c>
      <c r="B2711" s="2" t="n">
        <v>43204.00953703704</v>
      </c>
      <c r="C2711" t="n">
        <v>0</v>
      </c>
      <c r="D2711" t="n">
        <v>22</v>
      </c>
      <c r="E2711" t="s">
        <v>2711</v>
      </c>
      <c r="F2711">
        <f>HYPERLINK("http://pbs.twimg.com/media/DasutJIWsAAhbq7.jpg", "http://pbs.twimg.com/media/DasutJIWsAAhbq7.jpg")</f>
        <v/>
      </c>
      <c r="G2711" t="s"/>
      <c r="H2711" t="s"/>
      <c r="I2711" t="s"/>
      <c r="J2711" t="n">
        <v>-0.8777</v>
      </c>
      <c r="K2711" t="n">
        <v>0.371</v>
      </c>
      <c r="L2711" t="n">
        <v>0.586</v>
      </c>
      <c r="M2711" t="n">
        <v>0.042</v>
      </c>
    </row>
    <row r="2712" spans="1:13">
      <c r="A2712" s="1">
        <f>HYPERLINK("http://www.twitter.com/NathanBLawrence/status/984936313878130689", "984936313878130689")</f>
        <v/>
      </c>
      <c r="B2712" s="2" t="n">
        <v>43203.97790509259</v>
      </c>
      <c r="C2712" t="n">
        <v>7</v>
      </c>
      <c r="D2712" t="n">
        <v>6</v>
      </c>
      <c r="E2712" t="s">
        <v>2712</v>
      </c>
      <c r="F2712" t="s"/>
      <c r="G2712" t="s"/>
      <c r="H2712" t="s"/>
      <c r="I2712" t="s"/>
      <c r="J2712" t="n">
        <v>0.368</v>
      </c>
      <c r="K2712" t="n">
        <v>0.068</v>
      </c>
      <c r="L2712" t="n">
        <v>0.8100000000000001</v>
      </c>
      <c r="M2712" t="n">
        <v>0.122</v>
      </c>
    </row>
    <row r="2713" spans="1:13">
      <c r="A2713" s="1">
        <f>HYPERLINK("http://www.twitter.com/NathanBLawrence/status/984935042127486976", "984935042127486976")</f>
        <v/>
      </c>
      <c r="B2713" s="2" t="n">
        <v>43203.97438657407</v>
      </c>
      <c r="C2713" t="n">
        <v>1</v>
      </c>
      <c r="D2713" t="n">
        <v>0</v>
      </c>
      <c r="E2713" t="s">
        <v>2713</v>
      </c>
      <c r="F2713" t="s"/>
      <c r="G2713" t="s"/>
      <c r="H2713" t="s"/>
      <c r="I2713" t="s"/>
      <c r="J2713" t="n">
        <v>0.4404</v>
      </c>
      <c r="K2713" t="n">
        <v>0</v>
      </c>
      <c r="L2713" t="n">
        <v>0.775</v>
      </c>
      <c r="M2713" t="n">
        <v>0.225</v>
      </c>
    </row>
    <row r="2714" spans="1:13">
      <c r="A2714" s="1">
        <f>HYPERLINK("http://www.twitter.com/NathanBLawrence/status/984934146601603073", "984934146601603073")</f>
        <v/>
      </c>
      <c r="B2714" s="2" t="n">
        <v>43203.9719212963</v>
      </c>
      <c r="C2714" t="n">
        <v>11</v>
      </c>
      <c r="D2714" t="n">
        <v>11</v>
      </c>
      <c r="E2714" t="s">
        <v>2714</v>
      </c>
      <c r="F2714" t="s"/>
      <c r="G2714" t="s"/>
      <c r="H2714" t="s"/>
      <c r="I2714" t="s"/>
      <c r="J2714" t="n">
        <v>-0.6705</v>
      </c>
      <c r="K2714" t="n">
        <v>0.152</v>
      </c>
      <c r="L2714" t="n">
        <v>0.8100000000000001</v>
      </c>
      <c r="M2714" t="n">
        <v>0.038</v>
      </c>
    </row>
    <row r="2715" spans="1:13">
      <c r="A2715" s="1">
        <f>HYPERLINK("http://www.twitter.com/NathanBLawrence/status/984931885796282368", "984931885796282368")</f>
        <v/>
      </c>
      <c r="B2715" s="2" t="n">
        <v>43203.96568287037</v>
      </c>
      <c r="C2715" t="n">
        <v>4</v>
      </c>
      <c r="D2715" t="n">
        <v>0</v>
      </c>
      <c r="E2715" t="s">
        <v>2715</v>
      </c>
      <c r="F2715" t="s"/>
      <c r="G2715" t="s"/>
      <c r="H2715" t="s"/>
      <c r="I2715" t="s"/>
      <c r="J2715" t="n">
        <v>0.6597</v>
      </c>
      <c r="K2715" t="n">
        <v>0.141</v>
      </c>
      <c r="L2715" t="n">
        <v>0.581</v>
      </c>
      <c r="M2715" t="n">
        <v>0.278</v>
      </c>
    </row>
    <row r="2716" spans="1:13">
      <c r="A2716" s="1">
        <f>HYPERLINK("http://www.twitter.com/NathanBLawrence/status/984930864550248448", "984930864550248448")</f>
        <v/>
      </c>
      <c r="B2716" s="2" t="n">
        <v>43203.96285879629</v>
      </c>
      <c r="C2716" t="n">
        <v>0</v>
      </c>
      <c r="D2716" t="n">
        <v>0</v>
      </c>
      <c r="E2716" t="s">
        <v>2716</v>
      </c>
      <c r="F2716" t="s"/>
      <c r="G2716" t="s"/>
      <c r="H2716" t="s"/>
      <c r="I2716" t="s"/>
      <c r="J2716" t="n">
        <v>-0.5983000000000001</v>
      </c>
      <c r="K2716" t="n">
        <v>0.386</v>
      </c>
      <c r="L2716" t="n">
        <v>0.445</v>
      </c>
      <c r="M2716" t="n">
        <v>0.169</v>
      </c>
    </row>
    <row r="2717" spans="1:13">
      <c r="A2717" s="1">
        <f>HYPERLINK("http://www.twitter.com/NathanBLawrence/status/984921732602527744", "984921732602527744")</f>
        <v/>
      </c>
      <c r="B2717" s="2" t="n">
        <v>43203.93766203704</v>
      </c>
      <c r="C2717" t="n">
        <v>0</v>
      </c>
      <c r="D2717" t="n">
        <v>9</v>
      </c>
      <c r="E2717" t="s">
        <v>2717</v>
      </c>
      <c r="F2717" t="s"/>
      <c r="G2717" t="s"/>
      <c r="H2717" t="s"/>
      <c r="I2717" t="s"/>
      <c r="J2717" t="n">
        <v>0</v>
      </c>
      <c r="K2717" t="n">
        <v>0</v>
      </c>
      <c r="L2717" t="n">
        <v>1</v>
      </c>
      <c r="M2717" t="n">
        <v>0</v>
      </c>
    </row>
    <row r="2718" spans="1:13">
      <c r="A2718" s="1">
        <f>HYPERLINK("http://www.twitter.com/NathanBLawrence/status/984921652252299266", "984921652252299266")</f>
        <v/>
      </c>
      <c r="B2718" s="2" t="n">
        <v>43203.93744212963</v>
      </c>
      <c r="C2718" t="n">
        <v>2</v>
      </c>
      <c r="D2718" t="n">
        <v>0</v>
      </c>
      <c r="E2718" t="s">
        <v>2718</v>
      </c>
      <c r="F2718" t="s"/>
      <c r="G2718" t="s"/>
      <c r="H2718" t="s"/>
      <c r="I2718" t="s"/>
      <c r="J2718" t="n">
        <v>0.5106000000000001</v>
      </c>
      <c r="K2718" t="n">
        <v>0</v>
      </c>
      <c r="L2718" t="n">
        <v>0.769</v>
      </c>
      <c r="M2718" t="n">
        <v>0.231</v>
      </c>
    </row>
    <row r="2719" spans="1:13">
      <c r="A2719" s="1">
        <f>HYPERLINK("http://www.twitter.com/NathanBLawrence/status/984919325286043648", "984919325286043648")</f>
        <v/>
      </c>
      <c r="B2719" s="2" t="n">
        <v>43203.93101851852</v>
      </c>
      <c r="C2719" t="n">
        <v>4</v>
      </c>
      <c r="D2719" t="n">
        <v>2</v>
      </c>
      <c r="E2719" t="s">
        <v>2719</v>
      </c>
      <c r="F2719" t="s"/>
      <c r="G2719" t="s"/>
      <c r="H2719" t="s"/>
      <c r="I2719" t="s"/>
      <c r="J2719" t="n">
        <v>0</v>
      </c>
      <c r="K2719" t="n">
        <v>0</v>
      </c>
      <c r="L2719" t="n">
        <v>1</v>
      </c>
      <c r="M2719" t="n">
        <v>0</v>
      </c>
    </row>
    <row r="2720" spans="1:13">
      <c r="A2720" s="1">
        <f>HYPERLINK("http://www.twitter.com/NathanBLawrence/status/984919013020008448", "984919013020008448")</f>
        <v/>
      </c>
      <c r="B2720" s="2" t="n">
        <v>43203.93016203704</v>
      </c>
      <c r="C2720" t="n">
        <v>0</v>
      </c>
      <c r="D2720" t="n">
        <v>5</v>
      </c>
      <c r="E2720" t="s">
        <v>2720</v>
      </c>
      <c r="F2720" t="s"/>
      <c r="G2720" t="s"/>
      <c r="H2720" t="s"/>
      <c r="I2720" t="s"/>
      <c r="J2720" t="n">
        <v>0.5994</v>
      </c>
      <c r="K2720" t="n">
        <v>0.112</v>
      </c>
      <c r="L2720" t="n">
        <v>0.634</v>
      </c>
      <c r="M2720" t="n">
        <v>0.254</v>
      </c>
    </row>
    <row r="2721" spans="1:13">
      <c r="A2721" s="1">
        <f>HYPERLINK("http://www.twitter.com/NathanBLawrence/status/984915191883292672", "984915191883292672")</f>
        <v/>
      </c>
      <c r="B2721" s="2" t="n">
        <v>43203.91961805556</v>
      </c>
      <c r="C2721" t="n">
        <v>0</v>
      </c>
      <c r="D2721" t="n">
        <v>0</v>
      </c>
      <c r="E2721" t="s">
        <v>2721</v>
      </c>
      <c r="F2721" t="s"/>
      <c r="G2721" t="s"/>
      <c r="H2721" t="s"/>
      <c r="I2721" t="s"/>
      <c r="J2721" t="n">
        <v>0</v>
      </c>
      <c r="K2721" t="n">
        <v>0</v>
      </c>
      <c r="L2721" t="n">
        <v>1</v>
      </c>
      <c r="M2721" t="n">
        <v>0</v>
      </c>
    </row>
    <row r="2722" spans="1:13">
      <c r="A2722" s="1">
        <f>HYPERLINK("http://www.twitter.com/NathanBLawrence/status/984913633317703686", "984913633317703686")</f>
        <v/>
      </c>
      <c r="B2722" s="2" t="n">
        <v>43203.9153125</v>
      </c>
      <c r="C2722" t="n">
        <v>0</v>
      </c>
      <c r="D2722" t="n">
        <v>2</v>
      </c>
      <c r="E2722" t="s">
        <v>2722</v>
      </c>
      <c r="F2722" t="s"/>
      <c r="G2722" t="s"/>
      <c r="H2722" t="s"/>
      <c r="I2722" t="s"/>
      <c r="J2722" t="n">
        <v>0.7776999999999999</v>
      </c>
      <c r="K2722" t="n">
        <v>0</v>
      </c>
      <c r="L2722" t="n">
        <v>0.726</v>
      </c>
      <c r="M2722" t="n">
        <v>0.274</v>
      </c>
    </row>
    <row r="2723" spans="1:13">
      <c r="A2723" s="1">
        <f>HYPERLINK("http://www.twitter.com/NathanBLawrence/status/984913140788973569", "984913140788973569")</f>
        <v/>
      </c>
      <c r="B2723" s="2" t="n">
        <v>43203.91395833333</v>
      </c>
      <c r="C2723" t="n">
        <v>1</v>
      </c>
      <c r="D2723" t="n">
        <v>0</v>
      </c>
      <c r="E2723" t="s">
        <v>2723</v>
      </c>
      <c r="F2723" t="s"/>
      <c r="G2723" t="s"/>
      <c r="H2723" t="s"/>
      <c r="I2723" t="s"/>
      <c r="J2723" t="n">
        <v>-0.5744</v>
      </c>
      <c r="K2723" t="n">
        <v>0.217</v>
      </c>
      <c r="L2723" t="n">
        <v>0.649</v>
      </c>
      <c r="M2723" t="n">
        <v>0.134</v>
      </c>
    </row>
    <row r="2724" spans="1:13">
      <c r="A2724" s="1">
        <f>HYPERLINK("http://www.twitter.com/NathanBLawrence/status/984912000772984833", "984912000772984833")</f>
        <v/>
      </c>
      <c r="B2724" s="2" t="n">
        <v>43203.91081018518</v>
      </c>
      <c r="C2724" t="n">
        <v>2</v>
      </c>
      <c r="D2724" t="n">
        <v>0</v>
      </c>
      <c r="E2724" t="s">
        <v>2724</v>
      </c>
      <c r="F2724" t="s"/>
      <c r="G2724" t="s"/>
      <c r="H2724" t="s"/>
      <c r="I2724" t="s"/>
      <c r="J2724" t="n">
        <v>0.4215</v>
      </c>
      <c r="K2724" t="n">
        <v>0</v>
      </c>
      <c r="L2724" t="n">
        <v>0.8110000000000001</v>
      </c>
      <c r="M2724" t="n">
        <v>0.189</v>
      </c>
    </row>
    <row r="2725" spans="1:13">
      <c r="A2725" s="1">
        <f>HYPERLINK("http://www.twitter.com/NathanBLawrence/status/984911811664400384", "984911811664400384")</f>
        <v/>
      </c>
      <c r="B2725" s="2" t="n">
        <v>43203.91028935185</v>
      </c>
      <c r="C2725" t="n">
        <v>1</v>
      </c>
      <c r="D2725" t="n">
        <v>0</v>
      </c>
      <c r="E2725" t="s">
        <v>2725</v>
      </c>
      <c r="F2725" t="s"/>
      <c r="G2725" t="s"/>
      <c r="H2725" t="s"/>
      <c r="I2725" t="s"/>
      <c r="J2725" t="n">
        <v>0.4215</v>
      </c>
      <c r="K2725" t="n">
        <v>0</v>
      </c>
      <c r="L2725" t="n">
        <v>0.872</v>
      </c>
      <c r="M2725" t="n">
        <v>0.128</v>
      </c>
    </row>
    <row r="2726" spans="1:13">
      <c r="A2726" s="1">
        <f>HYPERLINK("http://www.twitter.com/NathanBLawrence/status/984909574108057601", "984909574108057601")</f>
        <v/>
      </c>
      <c r="B2726" s="2" t="n">
        <v>43203.9041087963</v>
      </c>
      <c r="C2726" t="n">
        <v>0</v>
      </c>
      <c r="D2726" t="n">
        <v>12</v>
      </c>
      <c r="E2726" t="s">
        <v>2726</v>
      </c>
      <c r="F2726">
        <f>HYPERLINK("http://pbs.twimg.com/media/DaounTNUMAERpo0.jpg", "http://pbs.twimg.com/media/DaounTNUMAERpo0.jpg")</f>
        <v/>
      </c>
      <c r="G2726">
        <f>HYPERLINK("http://pbs.twimg.com/media/DaounTMU0AAyFjr.jpg", "http://pbs.twimg.com/media/DaounTMU0AAyFjr.jpg")</f>
        <v/>
      </c>
      <c r="H2726">
        <f>HYPERLINK("http://pbs.twimg.com/media/DaounTKU0AAoZv-.jpg", "http://pbs.twimg.com/media/DaounTKU0AAoZv-.jpg")</f>
        <v/>
      </c>
      <c r="I2726">
        <f>HYPERLINK("http://pbs.twimg.com/media/DaounTKUwAAk7Jq.jpg", "http://pbs.twimg.com/media/DaounTKUwAAk7Jq.jpg")</f>
        <v/>
      </c>
      <c r="J2726" t="n">
        <v>0.6093</v>
      </c>
      <c r="K2726" t="n">
        <v>0.058</v>
      </c>
      <c r="L2726" t="n">
        <v>0.731</v>
      </c>
      <c r="M2726" t="n">
        <v>0.211</v>
      </c>
    </row>
    <row r="2727" spans="1:13">
      <c r="A2727" s="1">
        <f>HYPERLINK("http://www.twitter.com/NathanBLawrence/status/984909488753868802", "984909488753868802")</f>
        <v/>
      </c>
      <c r="B2727" s="2" t="n">
        <v>43203.90387731481</v>
      </c>
      <c r="C2727" t="n">
        <v>0</v>
      </c>
      <c r="D2727" t="n">
        <v>0</v>
      </c>
      <c r="E2727" t="s">
        <v>2727</v>
      </c>
      <c r="F2727" t="s"/>
      <c r="G2727" t="s"/>
      <c r="H2727" t="s"/>
      <c r="I2727" t="s"/>
      <c r="J2727" t="n">
        <v>0.0772</v>
      </c>
      <c r="K2727" t="n">
        <v>0.052</v>
      </c>
      <c r="L2727" t="n">
        <v>0.89</v>
      </c>
      <c r="M2727" t="n">
        <v>0.059</v>
      </c>
    </row>
    <row r="2728" spans="1:13">
      <c r="A2728" s="1">
        <f>HYPERLINK("http://www.twitter.com/NathanBLawrence/status/984905792141832192", "984905792141832192")</f>
        <v/>
      </c>
      <c r="B2728" s="2" t="n">
        <v>43203.89368055556</v>
      </c>
      <c r="C2728" t="n">
        <v>0</v>
      </c>
      <c r="D2728" t="n">
        <v>0</v>
      </c>
      <c r="E2728" t="s">
        <v>2728</v>
      </c>
      <c r="F2728">
        <f>HYPERLINK("http://pbs.twimg.com/media/DasWlxWUQAA2ZRV.jpg", "http://pbs.twimg.com/media/DasWlxWUQAA2ZRV.jpg")</f>
        <v/>
      </c>
      <c r="G2728" t="s"/>
      <c r="H2728" t="s"/>
      <c r="I2728" t="s"/>
      <c r="J2728" t="n">
        <v>0</v>
      </c>
      <c r="K2728" t="n">
        <v>0</v>
      </c>
      <c r="L2728" t="n">
        <v>1</v>
      </c>
      <c r="M2728" t="n">
        <v>0</v>
      </c>
    </row>
    <row r="2729" spans="1:13">
      <c r="A2729" s="1">
        <f>HYPERLINK("http://www.twitter.com/NathanBLawrence/status/984903288779870208", "984903288779870208")</f>
        <v/>
      </c>
      <c r="B2729" s="2" t="n">
        <v>43203.88677083333</v>
      </c>
      <c r="C2729" t="n">
        <v>3</v>
      </c>
      <c r="D2729" t="n">
        <v>0</v>
      </c>
      <c r="E2729" t="s">
        <v>2729</v>
      </c>
      <c r="F2729" t="s"/>
      <c r="G2729" t="s"/>
      <c r="H2729" t="s"/>
      <c r="I2729" t="s"/>
      <c r="J2729" t="n">
        <v>-0.3182</v>
      </c>
      <c r="K2729" t="n">
        <v>0.262</v>
      </c>
      <c r="L2729" t="n">
        <v>0.601</v>
      </c>
      <c r="M2729" t="n">
        <v>0.137</v>
      </c>
    </row>
    <row r="2730" spans="1:13">
      <c r="A2730" s="1">
        <f>HYPERLINK("http://www.twitter.com/NathanBLawrence/status/984898819375665156", "984898819375665156")</f>
        <v/>
      </c>
      <c r="B2730" s="2" t="n">
        <v>43203.87443287037</v>
      </c>
      <c r="C2730" t="n">
        <v>0</v>
      </c>
      <c r="D2730" t="n">
        <v>2</v>
      </c>
      <c r="E2730" t="s">
        <v>2730</v>
      </c>
      <c r="F2730" t="s"/>
      <c r="G2730" t="s"/>
      <c r="H2730" t="s"/>
      <c r="I2730" t="s"/>
      <c r="J2730" t="n">
        <v>0</v>
      </c>
      <c r="K2730" t="n">
        <v>0</v>
      </c>
      <c r="L2730" t="n">
        <v>1</v>
      </c>
      <c r="M2730" t="n">
        <v>0</v>
      </c>
    </row>
    <row r="2731" spans="1:13">
      <c r="A2731" s="1">
        <f>HYPERLINK("http://www.twitter.com/NathanBLawrence/status/984898047246262273", "984898047246262273")</f>
        <v/>
      </c>
      <c r="B2731" s="2" t="n">
        <v>43203.87230324074</v>
      </c>
      <c r="C2731" t="n">
        <v>0</v>
      </c>
      <c r="D2731" t="n">
        <v>0</v>
      </c>
      <c r="E2731" t="s">
        <v>2731</v>
      </c>
      <c r="F2731" t="s"/>
      <c r="G2731" t="s"/>
      <c r="H2731" t="s"/>
      <c r="I2731" t="s"/>
      <c r="J2731" t="n">
        <v>-0.6808</v>
      </c>
      <c r="K2731" t="n">
        <v>0.176</v>
      </c>
      <c r="L2731" t="n">
        <v>0.824</v>
      </c>
      <c r="M2731" t="n">
        <v>0</v>
      </c>
    </row>
    <row r="2732" spans="1:13">
      <c r="A2732" s="1">
        <f>HYPERLINK("http://www.twitter.com/NathanBLawrence/status/984897052990693377", "984897052990693377")</f>
        <v/>
      </c>
      <c r="B2732" s="2" t="n">
        <v>43203.86956018519</v>
      </c>
      <c r="C2732" t="n">
        <v>0</v>
      </c>
      <c r="D2732" t="n">
        <v>0</v>
      </c>
      <c r="E2732" t="s">
        <v>2732</v>
      </c>
      <c r="F2732">
        <f>HYPERLINK("http://pbs.twimg.com/media/DasOpUSWAAAQypi.jpg", "http://pbs.twimg.com/media/DasOpUSWAAAQypi.jpg")</f>
        <v/>
      </c>
      <c r="G2732" t="s"/>
      <c r="H2732" t="s"/>
      <c r="I2732" t="s"/>
      <c r="J2732" t="n">
        <v>0</v>
      </c>
      <c r="K2732" t="n">
        <v>0</v>
      </c>
      <c r="L2732" t="n">
        <v>1</v>
      </c>
      <c r="M2732" t="n">
        <v>0</v>
      </c>
    </row>
    <row r="2733" spans="1:13">
      <c r="A2733" s="1">
        <f>HYPERLINK("http://www.twitter.com/NathanBLawrence/status/984896439678627841", "984896439678627841")</f>
        <v/>
      </c>
      <c r="B2733" s="2" t="n">
        <v>43203.86787037037</v>
      </c>
      <c r="C2733" t="n">
        <v>5</v>
      </c>
      <c r="D2733" t="n">
        <v>3</v>
      </c>
      <c r="E2733" t="s">
        <v>2733</v>
      </c>
      <c r="F2733">
        <f>HYPERLINK("http://pbs.twimg.com/media/DasOFkrUwAAPUli.jpg", "http://pbs.twimg.com/media/DasOFkrUwAAPUli.jpg")</f>
        <v/>
      </c>
      <c r="G2733" t="s"/>
      <c r="H2733" t="s"/>
      <c r="I2733" t="s"/>
      <c r="J2733" t="n">
        <v>0</v>
      </c>
      <c r="K2733" t="n">
        <v>0</v>
      </c>
      <c r="L2733" t="n">
        <v>1</v>
      </c>
      <c r="M2733" t="n">
        <v>0</v>
      </c>
    </row>
    <row r="2734" spans="1:13">
      <c r="A2734" s="1">
        <f>HYPERLINK("http://www.twitter.com/NathanBLawrence/status/984894828940087296", "984894828940087296")</f>
        <v/>
      </c>
      <c r="B2734" s="2" t="n">
        <v>43203.86342592593</v>
      </c>
      <c r="C2734" t="n">
        <v>0</v>
      </c>
      <c r="D2734" t="n">
        <v>8</v>
      </c>
      <c r="E2734" t="s">
        <v>2734</v>
      </c>
      <c r="F2734" t="s"/>
      <c r="G2734" t="s"/>
      <c r="H2734" t="s"/>
      <c r="I2734" t="s"/>
      <c r="J2734" t="n">
        <v>0.1531</v>
      </c>
      <c r="K2734" t="n">
        <v>0.048</v>
      </c>
      <c r="L2734" t="n">
        <v>0.882</v>
      </c>
      <c r="M2734" t="n">
        <v>0.07000000000000001</v>
      </c>
    </row>
    <row r="2735" spans="1:13">
      <c r="A2735" s="1">
        <f>HYPERLINK("http://www.twitter.com/NathanBLawrence/status/984894120807337984", "984894120807337984")</f>
        <v/>
      </c>
      <c r="B2735" s="2" t="n">
        <v>43203.86146990741</v>
      </c>
      <c r="C2735" t="n">
        <v>0</v>
      </c>
      <c r="D2735" t="n">
        <v>11</v>
      </c>
      <c r="E2735" t="s">
        <v>2735</v>
      </c>
      <c r="F2735">
        <f>HYPERLINK("http://pbs.twimg.com/media/DasLqm_WsAIwK7o.jpg", "http://pbs.twimg.com/media/DasLqm_WsAIwK7o.jpg")</f>
        <v/>
      </c>
      <c r="G2735" t="s"/>
      <c r="H2735" t="s"/>
      <c r="I2735" t="s"/>
      <c r="J2735" t="n">
        <v>0.6114000000000001</v>
      </c>
      <c r="K2735" t="n">
        <v>0</v>
      </c>
      <c r="L2735" t="n">
        <v>0.84</v>
      </c>
      <c r="M2735" t="n">
        <v>0.16</v>
      </c>
    </row>
    <row r="2736" spans="1:13">
      <c r="A2736" s="1">
        <f>HYPERLINK("http://www.twitter.com/NathanBLawrence/status/984893211272507392", "984893211272507392")</f>
        <v/>
      </c>
      <c r="B2736" s="2" t="n">
        <v>43203.85895833333</v>
      </c>
      <c r="C2736" t="n">
        <v>0</v>
      </c>
      <c r="D2736" t="n">
        <v>12</v>
      </c>
      <c r="E2736" t="s">
        <v>2736</v>
      </c>
      <c r="F2736">
        <f>HYPERLINK("http://pbs.twimg.com/media/DasIk0dWAAsbhdG.jpg", "http://pbs.twimg.com/media/DasIk0dWAAsbhdG.jpg")</f>
        <v/>
      </c>
      <c r="G2736" t="s"/>
      <c r="H2736" t="s"/>
      <c r="I2736" t="s"/>
      <c r="J2736" t="n">
        <v>0.34</v>
      </c>
      <c r="K2736" t="n">
        <v>0</v>
      </c>
      <c r="L2736" t="n">
        <v>0.841</v>
      </c>
      <c r="M2736" t="n">
        <v>0.159</v>
      </c>
    </row>
    <row r="2737" spans="1:13">
      <c r="A2737" s="1">
        <f>HYPERLINK("http://www.twitter.com/NathanBLawrence/status/984893033035509760", "984893033035509760")</f>
        <v/>
      </c>
      <c r="B2737" s="2" t="n">
        <v>43203.85847222222</v>
      </c>
      <c r="C2737" t="n">
        <v>0</v>
      </c>
      <c r="D2737" t="n">
        <v>0</v>
      </c>
      <c r="E2737" t="s">
        <v>2737</v>
      </c>
      <c r="F2737" t="s"/>
      <c r="G2737" t="s"/>
      <c r="H2737" t="s"/>
      <c r="I2737" t="s"/>
      <c r="J2737" t="n">
        <v>0</v>
      </c>
      <c r="K2737" t="n">
        <v>0</v>
      </c>
      <c r="L2737" t="n">
        <v>1</v>
      </c>
      <c r="M2737" t="n">
        <v>0</v>
      </c>
    </row>
    <row r="2738" spans="1:13">
      <c r="A2738" s="1">
        <f>HYPERLINK("http://www.twitter.com/NathanBLawrence/status/984892935748628480", "984892935748628480")</f>
        <v/>
      </c>
      <c r="B2738" s="2" t="n">
        <v>43203.85819444444</v>
      </c>
      <c r="C2738" t="n">
        <v>0</v>
      </c>
      <c r="D2738" t="n">
        <v>2</v>
      </c>
      <c r="E2738" t="s">
        <v>2738</v>
      </c>
      <c r="F2738" t="s"/>
      <c r="G2738" t="s"/>
      <c r="H2738" t="s"/>
      <c r="I2738" t="s"/>
      <c r="J2738" t="n">
        <v>0.0772</v>
      </c>
      <c r="K2738" t="n">
        <v>0</v>
      </c>
      <c r="L2738" t="n">
        <v>0.944</v>
      </c>
      <c r="M2738" t="n">
        <v>0.056</v>
      </c>
    </row>
    <row r="2739" spans="1:13">
      <c r="A2739" s="1">
        <f>HYPERLINK("http://www.twitter.com/NathanBLawrence/status/984865240063102977", "984865240063102977")</f>
        <v/>
      </c>
      <c r="B2739" s="2" t="n">
        <v>43203.78177083333</v>
      </c>
      <c r="C2739" t="n">
        <v>0</v>
      </c>
      <c r="D2739" t="n">
        <v>1</v>
      </c>
      <c r="E2739" t="s">
        <v>2739</v>
      </c>
      <c r="F2739" t="s"/>
      <c r="G2739" t="s"/>
      <c r="H2739" t="s"/>
      <c r="I2739" t="s"/>
      <c r="J2739" t="n">
        <v>-0.3939</v>
      </c>
      <c r="K2739" t="n">
        <v>0.145</v>
      </c>
      <c r="L2739" t="n">
        <v>0.773</v>
      </c>
      <c r="M2739" t="n">
        <v>0.081</v>
      </c>
    </row>
    <row r="2740" spans="1:13">
      <c r="A2740" s="1">
        <f>HYPERLINK("http://www.twitter.com/NathanBLawrence/status/984845523034279938", "984845523034279938")</f>
        <v/>
      </c>
      <c r="B2740" s="2" t="n">
        <v>43203.72736111111</v>
      </c>
      <c r="C2740" t="n">
        <v>0</v>
      </c>
      <c r="D2740" t="n">
        <v>0</v>
      </c>
      <c r="E2740" t="s">
        <v>2740</v>
      </c>
      <c r="F2740" t="s"/>
      <c r="G2740" t="s"/>
      <c r="H2740" t="s"/>
      <c r="I2740" t="s"/>
      <c r="J2740" t="n">
        <v>0</v>
      </c>
      <c r="K2740" t="n">
        <v>0</v>
      </c>
      <c r="L2740" t="n">
        <v>1</v>
      </c>
      <c r="M2740" t="n">
        <v>0</v>
      </c>
    </row>
    <row r="2741" spans="1:13">
      <c r="A2741" s="1">
        <f>HYPERLINK("http://www.twitter.com/NathanBLawrence/status/984839073750814721", "984839073750814721")</f>
        <v/>
      </c>
      <c r="B2741" s="2" t="n">
        <v>43203.70957175926</v>
      </c>
      <c r="C2741" t="n">
        <v>2</v>
      </c>
      <c r="D2741" t="n">
        <v>1</v>
      </c>
      <c r="E2741" t="s">
        <v>2741</v>
      </c>
      <c r="F2741">
        <f>HYPERLINK("http://pbs.twimg.com/media/DarZ6OKUwAAhU5o.jpg", "http://pbs.twimg.com/media/DarZ6OKUwAAhU5o.jpg")</f>
        <v/>
      </c>
      <c r="G2741" t="s"/>
      <c r="H2741" t="s"/>
      <c r="I2741" t="s"/>
      <c r="J2741" t="n">
        <v>0</v>
      </c>
      <c r="K2741" t="n">
        <v>0</v>
      </c>
      <c r="L2741" t="n">
        <v>1</v>
      </c>
      <c r="M2741" t="n">
        <v>0</v>
      </c>
    </row>
    <row r="2742" spans="1:13">
      <c r="A2742" s="1">
        <f>HYPERLINK("http://www.twitter.com/NathanBLawrence/status/984838040765059072", "984838040765059072")</f>
        <v/>
      </c>
      <c r="B2742" s="2" t="n">
        <v>43203.70671296296</v>
      </c>
      <c r="C2742" t="n">
        <v>0</v>
      </c>
      <c r="D2742" t="n">
        <v>0</v>
      </c>
      <c r="E2742" t="s">
        <v>2742</v>
      </c>
      <c r="F2742" t="s"/>
      <c r="G2742" t="s"/>
      <c r="H2742" t="s"/>
      <c r="I2742" t="s"/>
      <c r="J2742" t="n">
        <v>0</v>
      </c>
      <c r="K2742" t="n">
        <v>0</v>
      </c>
      <c r="L2742" t="n">
        <v>1</v>
      </c>
      <c r="M2742" t="n">
        <v>0</v>
      </c>
    </row>
    <row r="2743" spans="1:13">
      <c r="A2743" s="1">
        <f>HYPERLINK("http://www.twitter.com/NathanBLawrence/status/984837372905971712", "984837372905971712")</f>
        <v/>
      </c>
      <c r="B2743" s="2" t="n">
        <v>43203.70487268519</v>
      </c>
      <c r="C2743" t="n">
        <v>0</v>
      </c>
      <c r="D2743" t="n">
        <v>0</v>
      </c>
      <c r="E2743" t="s">
        <v>2743</v>
      </c>
      <c r="F2743" t="s"/>
      <c r="G2743" t="s"/>
      <c r="H2743" t="s"/>
      <c r="I2743" t="s"/>
      <c r="J2743" t="n">
        <v>-0.296</v>
      </c>
      <c r="K2743" t="n">
        <v>0.095</v>
      </c>
      <c r="L2743" t="n">
        <v>0.905</v>
      </c>
      <c r="M2743" t="n">
        <v>0</v>
      </c>
    </row>
    <row r="2744" spans="1:13">
      <c r="A2744" s="1">
        <f>HYPERLINK("http://www.twitter.com/NathanBLawrence/status/984835733012742145", "984835733012742145")</f>
        <v/>
      </c>
      <c r="B2744" s="2" t="n">
        <v>43203.70034722222</v>
      </c>
      <c r="C2744" t="n">
        <v>2</v>
      </c>
      <c r="D2744" t="n">
        <v>0</v>
      </c>
      <c r="E2744" t="s">
        <v>2744</v>
      </c>
      <c r="F2744" t="s"/>
      <c r="G2744" t="s"/>
      <c r="H2744" t="s"/>
      <c r="I2744" t="s"/>
      <c r="J2744" t="n">
        <v>0</v>
      </c>
      <c r="K2744" t="n">
        <v>0</v>
      </c>
      <c r="L2744" t="n">
        <v>1</v>
      </c>
      <c r="M2744" t="n">
        <v>0</v>
      </c>
    </row>
    <row r="2745" spans="1:13">
      <c r="A2745" s="1">
        <f>HYPERLINK("http://www.twitter.com/NathanBLawrence/status/984831273326620672", "984831273326620672")</f>
        <v/>
      </c>
      <c r="B2745" s="2" t="n">
        <v>43203.68804398148</v>
      </c>
      <c r="C2745" t="n">
        <v>1</v>
      </c>
      <c r="D2745" t="n">
        <v>0</v>
      </c>
      <c r="E2745" t="s">
        <v>2745</v>
      </c>
      <c r="F2745" t="s"/>
      <c r="G2745" t="s"/>
      <c r="H2745" t="s"/>
      <c r="I2745" t="s"/>
      <c r="J2745" t="n">
        <v>-0.5707</v>
      </c>
      <c r="K2745" t="n">
        <v>0.538</v>
      </c>
      <c r="L2745" t="n">
        <v>0.22</v>
      </c>
      <c r="M2745" t="n">
        <v>0.242</v>
      </c>
    </row>
    <row r="2746" spans="1:13">
      <c r="A2746" s="1">
        <f>HYPERLINK("http://www.twitter.com/NathanBLawrence/status/984831140040265728", "984831140040265728")</f>
        <v/>
      </c>
      <c r="B2746" s="2" t="n">
        <v>43203.68767361111</v>
      </c>
      <c r="C2746" t="n">
        <v>0</v>
      </c>
      <c r="D2746" t="n">
        <v>6</v>
      </c>
      <c r="E2746" t="s">
        <v>2746</v>
      </c>
      <c r="F2746" t="s"/>
      <c r="G2746" t="s"/>
      <c r="H2746" t="s"/>
      <c r="I2746" t="s"/>
      <c r="J2746" t="n">
        <v>-0.8772</v>
      </c>
      <c r="K2746" t="n">
        <v>0.476</v>
      </c>
      <c r="L2746" t="n">
        <v>0.524</v>
      </c>
      <c r="M2746" t="n">
        <v>0</v>
      </c>
    </row>
    <row r="2747" spans="1:13">
      <c r="A2747" s="1">
        <f>HYPERLINK("http://www.twitter.com/NathanBLawrence/status/984830878831534080", "984830878831534080")</f>
        <v/>
      </c>
      <c r="B2747" s="2" t="n">
        <v>43203.68695601852</v>
      </c>
      <c r="C2747" t="n">
        <v>0</v>
      </c>
      <c r="D2747" t="n">
        <v>0</v>
      </c>
      <c r="E2747" t="s">
        <v>2747</v>
      </c>
      <c r="F2747" t="s"/>
      <c r="G2747" t="s"/>
      <c r="H2747" t="s"/>
      <c r="I2747" t="s"/>
      <c r="J2747" t="n">
        <v>0.2732</v>
      </c>
      <c r="K2747" t="n">
        <v>0</v>
      </c>
      <c r="L2747" t="n">
        <v>0.905</v>
      </c>
      <c r="M2747" t="n">
        <v>0.095</v>
      </c>
    </row>
    <row r="2748" spans="1:13">
      <c r="A2748" s="1">
        <f>HYPERLINK("http://www.twitter.com/NathanBLawrence/status/984830255855751168", "984830255855751168")</f>
        <v/>
      </c>
      <c r="B2748" s="2" t="n">
        <v>43203.68523148148</v>
      </c>
      <c r="C2748" t="n">
        <v>0</v>
      </c>
      <c r="D2748" t="n">
        <v>1</v>
      </c>
      <c r="E2748" t="s">
        <v>2748</v>
      </c>
      <c r="F2748" t="s"/>
      <c r="G2748" t="s"/>
      <c r="H2748" t="s"/>
      <c r="I2748" t="s"/>
      <c r="J2748" t="n">
        <v>-0.3129</v>
      </c>
      <c r="K2748" t="n">
        <v>0.155</v>
      </c>
      <c r="L2748" t="n">
        <v>0.74</v>
      </c>
      <c r="M2748" t="n">
        <v>0.105</v>
      </c>
    </row>
    <row r="2749" spans="1:13">
      <c r="A2749" s="1">
        <f>HYPERLINK("http://www.twitter.com/NathanBLawrence/status/984829454936657930", "984829454936657930")</f>
        <v/>
      </c>
      <c r="B2749" s="2" t="n">
        <v>43203.68302083333</v>
      </c>
      <c r="C2749" t="n">
        <v>5</v>
      </c>
      <c r="D2749" t="n">
        <v>5</v>
      </c>
      <c r="E2749" t="s">
        <v>2749</v>
      </c>
      <c r="F2749" t="s"/>
      <c r="G2749" t="s"/>
      <c r="H2749" t="s"/>
      <c r="I2749" t="s"/>
      <c r="J2749" t="n">
        <v>0.4404</v>
      </c>
      <c r="K2749" t="n">
        <v>0</v>
      </c>
      <c r="L2749" t="n">
        <v>0.828</v>
      </c>
      <c r="M2749" t="n">
        <v>0.172</v>
      </c>
    </row>
    <row r="2750" spans="1:13">
      <c r="A2750" s="1">
        <f>HYPERLINK("http://www.twitter.com/NathanBLawrence/status/984827981926404096", "984827981926404096")</f>
        <v/>
      </c>
      <c r="B2750" s="2" t="n">
        <v>43203.67895833333</v>
      </c>
      <c r="C2750" t="n">
        <v>1</v>
      </c>
      <c r="D2750" t="n">
        <v>0</v>
      </c>
      <c r="E2750" t="s">
        <v>2750</v>
      </c>
      <c r="F2750" t="s"/>
      <c r="G2750" t="s"/>
      <c r="H2750" t="s"/>
      <c r="I2750" t="s"/>
      <c r="J2750" t="n">
        <v>-0.8356</v>
      </c>
      <c r="K2750" t="n">
        <v>0.357</v>
      </c>
      <c r="L2750" t="n">
        <v>0.643</v>
      </c>
      <c r="M2750" t="n">
        <v>0</v>
      </c>
    </row>
    <row r="2751" spans="1:13">
      <c r="A2751" s="1">
        <f>HYPERLINK("http://www.twitter.com/NathanBLawrence/status/984827653608927232", "984827653608927232")</f>
        <v/>
      </c>
      <c r="B2751" s="2" t="n">
        <v>43203.67805555555</v>
      </c>
      <c r="C2751" t="n">
        <v>0</v>
      </c>
      <c r="D2751" t="n">
        <v>0</v>
      </c>
      <c r="E2751" t="s">
        <v>2751</v>
      </c>
      <c r="F2751" t="s"/>
      <c r="G2751" t="s"/>
      <c r="H2751" t="s"/>
      <c r="I2751" t="s"/>
      <c r="J2751" t="n">
        <v>0</v>
      </c>
      <c r="K2751" t="n">
        <v>0</v>
      </c>
      <c r="L2751" t="n">
        <v>1</v>
      </c>
      <c r="M2751" t="n">
        <v>0</v>
      </c>
    </row>
    <row r="2752" spans="1:13">
      <c r="A2752" s="1">
        <f>HYPERLINK("http://www.twitter.com/NathanBLawrence/status/984827594423062529", "984827594423062529")</f>
        <v/>
      </c>
      <c r="B2752" s="2" t="n">
        <v>43203.67789351852</v>
      </c>
      <c r="C2752" t="n">
        <v>0</v>
      </c>
      <c r="D2752" t="n">
        <v>0</v>
      </c>
      <c r="E2752" t="s">
        <v>2752</v>
      </c>
      <c r="F2752" t="s"/>
      <c r="G2752" t="s"/>
      <c r="H2752" t="s"/>
      <c r="I2752" t="s"/>
      <c r="J2752" t="n">
        <v>-0.5106000000000001</v>
      </c>
      <c r="K2752" t="n">
        <v>0.142</v>
      </c>
      <c r="L2752" t="n">
        <v>0.858</v>
      </c>
      <c r="M2752" t="n">
        <v>0</v>
      </c>
    </row>
    <row r="2753" spans="1:13">
      <c r="A2753" s="1">
        <f>HYPERLINK("http://www.twitter.com/NathanBLawrence/status/984826722687299585", "984826722687299585")</f>
        <v/>
      </c>
      <c r="B2753" s="2" t="n">
        <v>43203.67548611111</v>
      </c>
      <c r="C2753" t="n">
        <v>2</v>
      </c>
      <c r="D2753" t="n">
        <v>1</v>
      </c>
      <c r="E2753" t="s">
        <v>2753</v>
      </c>
      <c r="F2753" t="s"/>
      <c r="G2753" t="s"/>
      <c r="H2753" t="s"/>
      <c r="I2753" t="s"/>
      <c r="J2753" t="n">
        <v>-0.1945</v>
      </c>
      <c r="K2753" t="n">
        <v>0.102</v>
      </c>
      <c r="L2753" t="n">
        <v>0.8090000000000001</v>
      </c>
      <c r="M2753" t="n">
        <v>0.08799999999999999</v>
      </c>
    </row>
    <row r="2754" spans="1:13">
      <c r="A2754" s="1">
        <f>HYPERLINK("http://www.twitter.com/NathanBLawrence/status/984825801878245376", "984825801878245376")</f>
        <v/>
      </c>
      <c r="B2754" s="2" t="n">
        <v>43203.67295138889</v>
      </c>
      <c r="C2754" t="n">
        <v>0</v>
      </c>
      <c r="D2754" t="n">
        <v>0</v>
      </c>
      <c r="E2754" t="s">
        <v>2754</v>
      </c>
      <c r="F2754" t="s"/>
      <c r="G2754" t="s"/>
      <c r="H2754" t="s"/>
      <c r="I2754" t="s"/>
      <c r="J2754" t="n">
        <v>-0.3612</v>
      </c>
      <c r="K2754" t="n">
        <v>0.08500000000000001</v>
      </c>
      <c r="L2754" t="n">
        <v>0.915</v>
      </c>
      <c r="M2754" t="n">
        <v>0</v>
      </c>
    </row>
    <row r="2755" spans="1:13">
      <c r="A2755" s="1">
        <f>HYPERLINK("http://www.twitter.com/NathanBLawrence/status/984825092491436033", "984825092491436033")</f>
        <v/>
      </c>
      <c r="B2755" s="2" t="n">
        <v>43203.6709837963</v>
      </c>
      <c r="C2755" t="n">
        <v>0</v>
      </c>
      <c r="D2755" t="n">
        <v>0</v>
      </c>
      <c r="E2755" t="s">
        <v>2755</v>
      </c>
      <c r="F2755" t="s"/>
      <c r="G2755" t="s"/>
      <c r="H2755" t="s"/>
      <c r="I2755" t="s"/>
      <c r="J2755" t="n">
        <v>0</v>
      </c>
      <c r="K2755" t="n">
        <v>0</v>
      </c>
      <c r="L2755" t="n">
        <v>1</v>
      </c>
      <c r="M2755" t="n">
        <v>0</v>
      </c>
    </row>
    <row r="2756" spans="1:13">
      <c r="A2756" s="1">
        <f>HYPERLINK("http://www.twitter.com/NathanBLawrence/status/984823105502801921", "984823105502801921")</f>
        <v/>
      </c>
      <c r="B2756" s="2" t="n">
        <v>43203.66550925926</v>
      </c>
      <c r="C2756" t="n">
        <v>7</v>
      </c>
      <c r="D2756" t="n">
        <v>6</v>
      </c>
      <c r="E2756" t="s">
        <v>2756</v>
      </c>
      <c r="F2756" t="s"/>
      <c r="G2756" t="s"/>
      <c r="H2756" t="s"/>
      <c r="I2756" t="s"/>
      <c r="J2756" t="n">
        <v>-0.6781</v>
      </c>
      <c r="K2756" t="n">
        <v>0.105</v>
      </c>
      <c r="L2756" t="n">
        <v>0.895</v>
      </c>
      <c r="M2756" t="n">
        <v>0</v>
      </c>
    </row>
    <row r="2757" spans="1:13">
      <c r="A2757" s="1">
        <f>HYPERLINK("http://www.twitter.com/NathanBLawrence/status/984821186839359489", "984821186839359489")</f>
        <v/>
      </c>
      <c r="B2757" s="2" t="n">
        <v>43203.66020833333</v>
      </c>
      <c r="C2757" t="n">
        <v>0</v>
      </c>
      <c r="D2757" t="n">
        <v>0</v>
      </c>
      <c r="E2757" t="s">
        <v>2757</v>
      </c>
      <c r="F2757" t="s"/>
      <c r="G2757" t="s"/>
      <c r="H2757" t="s"/>
      <c r="I2757" t="s"/>
      <c r="J2757" t="n">
        <v>0.6249</v>
      </c>
      <c r="K2757" t="n">
        <v>0</v>
      </c>
      <c r="L2757" t="n">
        <v>0.709</v>
      </c>
      <c r="M2757" t="n">
        <v>0.291</v>
      </c>
    </row>
    <row r="2758" spans="1:13">
      <c r="A2758" s="1">
        <f>HYPERLINK("http://www.twitter.com/NathanBLawrence/status/984819292649779200", "984819292649779200")</f>
        <v/>
      </c>
      <c r="B2758" s="2" t="n">
        <v>43203.65498842593</v>
      </c>
      <c r="C2758" t="n">
        <v>0</v>
      </c>
      <c r="D2758" t="n">
        <v>3</v>
      </c>
      <c r="E2758" t="s">
        <v>2758</v>
      </c>
      <c r="F2758" t="s"/>
      <c r="G2758" t="s"/>
      <c r="H2758" t="s"/>
      <c r="I2758" t="s"/>
      <c r="J2758" t="n">
        <v>-0.2617</v>
      </c>
      <c r="K2758" t="n">
        <v>0.08500000000000001</v>
      </c>
      <c r="L2758" t="n">
        <v>0.915</v>
      </c>
      <c r="M2758" t="n">
        <v>0</v>
      </c>
    </row>
    <row r="2759" spans="1:13">
      <c r="A2759" s="1">
        <f>HYPERLINK("http://www.twitter.com/NathanBLawrence/status/984818601411702785", "984818601411702785")</f>
        <v/>
      </c>
      <c r="B2759" s="2" t="n">
        <v>43203.6530787037</v>
      </c>
      <c r="C2759" t="n">
        <v>4</v>
      </c>
      <c r="D2759" t="n">
        <v>0</v>
      </c>
      <c r="E2759" t="s">
        <v>2759</v>
      </c>
      <c r="F2759" t="s"/>
      <c r="G2759" t="s"/>
      <c r="H2759" t="s"/>
      <c r="I2759" t="s"/>
      <c r="J2759" t="n">
        <v>0.34</v>
      </c>
      <c r="K2759" t="n">
        <v>0</v>
      </c>
      <c r="L2759" t="n">
        <v>0.806</v>
      </c>
      <c r="M2759" t="n">
        <v>0.194</v>
      </c>
    </row>
    <row r="2760" spans="1:13">
      <c r="A2760" s="1">
        <f>HYPERLINK("http://www.twitter.com/NathanBLawrence/status/984813624828071938", "984813624828071938")</f>
        <v/>
      </c>
      <c r="B2760" s="2" t="n">
        <v>43203.63934027778</v>
      </c>
      <c r="C2760" t="n">
        <v>0</v>
      </c>
      <c r="D2760" t="n">
        <v>7</v>
      </c>
      <c r="E2760" t="s">
        <v>2760</v>
      </c>
      <c r="F2760" t="s"/>
      <c r="G2760" t="s"/>
      <c r="H2760" t="s"/>
      <c r="I2760" t="s"/>
      <c r="J2760" t="n">
        <v>0.7147</v>
      </c>
      <c r="K2760" t="n">
        <v>0.092</v>
      </c>
      <c r="L2760" t="n">
        <v>0.639</v>
      </c>
      <c r="M2760" t="n">
        <v>0.268</v>
      </c>
    </row>
    <row r="2761" spans="1:13">
      <c r="A2761" s="1">
        <f>HYPERLINK("http://www.twitter.com/NathanBLawrence/status/984813489150676993", "984813489150676993")</f>
        <v/>
      </c>
      <c r="B2761" s="2" t="n">
        <v>43203.63896990741</v>
      </c>
      <c r="C2761" t="n">
        <v>0</v>
      </c>
      <c r="D2761" t="n">
        <v>7</v>
      </c>
      <c r="E2761" t="s">
        <v>2761</v>
      </c>
      <c r="F2761" t="s"/>
      <c r="G2761" t="s"/>
      <c r="H2761" t="s"/>
      <c r="I2761" t="s"/>
      <c r="J2761" t="n">
        <v>0.1531</v>
      </c>
      <c r="K2761" t="n">
        <v>0.096</v>
      </c>
      <c r="L2761" t="n">
        <v>0.783</v>
      </c>
      <c r="M2761" t="n">
        <v>0.122</v>
      </c>
    </row>
    <row r="2762" spans="1:13">
      <c r="A2762" s="1">
        <f>HYPERLINK("http://www.twitter.com/NathanBLawrence/status/984812694585905152", "984812694585905152")</f>
        <v/>
      </c>
      <c r="B2762" s="2" t="n">
        <v>43203.63677083333</v>
      </c>
      <c r="C2762" t="n">
        <v>2</v>
      </c>
      <c r="D2762" t="n">
        <v>2</v>
      </c>
      <c r="E2762" t="s">
        <v>2762</v>
      </c>
      <c r="F2762" t="s"/>
      <c r="G2762" t="s"/>
      <c r="H2762" t="s"/>
      <c r="I2762" t="s"/>
      <c r="J2762" t="n">
        <v>-0.3182</v>
      </c>
      <c r="K2762" t="n">
        <v>0.187</v>
      </c>
      <c r="L2762" t="n">
        <v>0.8129999999999999</v>
      </c>
      <c r="M2762" t="n">
        <v>0</v>
      </c>
    </row>
    <row r="2763" spans="1:13">
      <c r="A2763" s="1">
        <f>HYPERLINK("http://www.twitter.com/NathanBLawrence/status/984811545447358465", "984811545447358465")</f>
        <v/>
      </c>
      <c r="B2763" s="2" t="n">
        <v>43203.63361111111</v>
      </c>
      <c r="C2763" t="n">
        <v>0</v>
      </c>
      <c r="D2763" t="n">
        <v>2</v>
      </c>
      <c r="E2763" t="s">
        <v>2763</v>
      </c>
      <c r="F2763" t="s"/>
      <c r="G2763" t="s"/>
      <c r="H2763" t="s"/>
      <c r="I2763" t="s"/>
      <c r="J2763" t="n">
        <v>-0.6388</v>
      </c>
      <c r="K2763" t="n">
        <v>0.324</v>
      </c>
      <c r="L2763" t="n">
        <v>0.576</v>
      </c>
      <c r="M2763" t="n">
        <v>0.1</v>
      </c>
    </row>
    <row r="2764" spans="1:13">
      <c r="A2764" s="1">
        <f>HYPERLINK("http://www.twitter.com/NathanBLawrence/status/984810508166619138", "984810508166619138")</f>
        <v/>
      </c>
      <c r="B2764" s="2" t="n">
        <v>43203.63074074074</v>
      </c>
      <c r="C2764" t="n">
        <v>1</v>
      </c>
      <c r="D2764" t="n">
        <v>0</v>
      </c>
      <c r="E2764" t="s">
        <v>2764</v>
      </c>
      <c r="F2764" t="s"/>
      <c r="G2764" t="s"/>
      <c r="H2764" t="s"/>
      <c r="I2764" t="s"/>
      <c r="J2764" t="n">
        <v>-0.4753</v>
      </c>
      <c r="K2764" t="n">
        <v>0.175</v>
      </c>
      <c r="L2764" t="n">
        <v>0.705</v>
      </c>
      <c r="M2764" t="n">
        <v>0.119</v>
      </c>
    </row>
    <row r="2765" spans="1:13">
      <c r="A2765" s="1">
        <f>HYPERLINK("http://www.twitter.com/NathanBLawrence/status/984807952879095809", "984807952879095809")</f>
        <v/>
      </c>
      <c r="B2765" s="2" t="n">
        <v>43203.62369212963</v>
      </c>
      <c r="C2765" t="n">
        <v>0</v>
      </c>
      <c r="D2765" t="n">
        <v>0</v>
      </c>
      <c r="E2765" t="s">
        <v>2765</v>
      </c>
      <c r="F2765" t="s"/>
      <c r="G2765" t="s"/>
      <c r="H2765" t="s"/>
      <c r="I2765" t="s"/>
      <c r="J2765" t="n">
        <v>0.8316</v>
      </c>
      <c r="K2765" t="n">
        <v>0</v>
      </c>
      <c r="L2765" t="n">
        <v>0.709</v>
      </c>
      <c r="M2765" t="n">
        <v>0.291</v>
      </c>
    </row>
    <row r="2766" spans="1:13">
      <c r="A2766" s="1">
        <f>HYPERLINK("http://www.twitter.com/NathanBLawrence/status/984807360316297218", "984807360316297218")</f>
        <v/>
      </c>
      <c r="B2766" s="2" t="n">
        <v>43203.62206018518</v>
      </c>
      <c r="C2766" t="n">
        <v>0</v>
      </c>
      <c r="D2766" t="n">
        <v>4</v>
      </c>
      <c r="E2766" t="s">
        <v>2766</v>
      </c>
      <c r="F2766">
        <f>HYPERLINK("http://pbs.twimg.com/media/DanN84JU8AADFeT.jpg", "http://pbs.twimg.com/media/DanN84JU8AADFeT.jpg")</f>
        <v/>
      </c>
      <c r="G2766" t="s"/>
      <c r="H2766" t="s"/>
      <c r="I2766" t="s"/>
      <c r="J2766" t="n">
        <v>-0.2732</v>
      </c>
      <c r="K2766" t="n">
        <v>0.11</v>
      </c>
      <c r="L2766" t="n">
        <v>0.89</v>
      </c>
      <c r="M2766" t="n">
        <v>0</v>
      </c>
    </row>
    <row r="2767" spans="1:13">
      <c r="A2767" s="1">
        <f>HYPERLINK("http://www.twitter.com/NathanBLawrence/status/984803361286483969", "984803361286483969")</f>
        <v/>
      </c>
      <c r="B2767" s="2" t="n">
        <v>43203.61101851852</v>
      </c>
      <c r="C2767" t="n">
        <v>3</v>
      </c>
      <c r="D2767" t="n">
        <v>0</v>
      </c>
      <c r="E2767" t="s">
        <v>2767</v>
      </c>
      <c r="F2767" t="s"/>
      <c r="G2767" t="s"/>
      <c r="H2767" t="s"/>
      <c r="I2767" t="s"/>
      <c r="J2767" t="n">
        <v>-0.8442</v>
      </c>
      <c r="K2767" t="n">
        <v>0.231</v>
      </c>
      <c r="L2767" t="n">
        <v>0.708</v>
      </c>
      <c r="M2767" t="n">
        <v>0.061</v>
      </c>
    </row>
    <row r="2768" spans="1:13">
      <c r="A2768" s="1">
        <f>HYPERLINK("http://www.twitter.com/NathanBLawrence/status/984802429643493377", "984802429643493377")</f>
        <v/>
      </c>
      <c r="B2768" s="2" t="n">
        <v>43203.60844907408</v>
      </c>
      <c r="C2768" t="n">
        <v>6</v>
      </c>
      <c r="D2768" t="n">
        <v>4</v>
      </c>
      <c r="E2768" t="s">
        <v>2768</v>
      </c>
      <c r="F2768" t="s"/>
      <c r="G2768" t="s"/>
      <c r="H2768" t="s"/>
      <c r="I2768" t="s"/>
      <c r="J2768" t="n">
        <v>-0.6249</v>
      </c>
      <c r="K2768" t="n">
        <v>0.179</v>
      </c>
      <c r="L2768" t="n">
        <v>0.821</v>
      </c>
      <c r="M2768" t="n">
        <v>0</v>
      </c>
    </row>
    <row r="2769" spans="1:13">
      <c r="A2769" s="1">
        <f>HYPERLINK("http://www.twitter.com/NathanBLawrence/status/984800124676268032", "984800124676268032")</f>
        <v/>
      </c>
      <c r="B2769" s="2" t="n">
        <v>43203.60209490741</v>
      </c>
      <c r="C2769" t="n">
        <v>0</v>
      </c>
      <c r="D2769" t="n">
        <v>2</v>
      </c>
      <c r="E2769" t="s">
        <v>2769</v>
      </c>
      <c r="F2769" t="s"/>
      <c r="G2769" t="s"/>
      <c r="H2769" t="s"/>
      <c r="I2769" t="s"/>
      <c r="J2769" t="n">
        <v>-0.3612</v>
      </c>
      <c r="K2769" t="n">
        <v>0.185</v>
      </c>
      <c r="L2769" t="n">
        <v>0.8149999999999999</v>
      </c>
      <c r="M2769" t="n">
        <v>0</v>
      </c>
    </row>
    <row r="2770" spans="1:13">
      <c r="A2770" s="1">
        <f>HYPERLINK("http://www.twitter.com/NathanBLawrence/status/984799209718210561", "984799209718210561")</f>
        <v/>
      </c>
      <c r="B2770" s="2" t="n">
        <v>43203.59956018518</v>
      </c>
      <c r="C2770" t="n">
        <v>3</v>
      </c>
      <c r="D2770" t="n">
        <v>1</v>
      </c>
      <c r="E2770" t="s">
        <v>2770</v>
      </c>
      <c r="F2770" t="s"/>
      <c r="G2770" t="s"/>
      <c r="H2770" t="s"/>
      <c r="I2770" t="s"/>
      <c r="J2770" t="n">
        <v>-0.3612</v>
      </c>
      <c r="K2770" t="n">
        <v>0.07199999999999999</v>
      </c>
      <c r="L2770" t="n">
        <v>0.928</v>
      </c>
      <c r="M2770" t="n">
        <v>0</v>
      </c>
    </row>
    <row r="2771" spans="1:13">
      <c r="A2771" s="1">
        <f>HYPERLINK("http://www.twitter.com/NathanBLawrence/status/984787955976990720", "984787955976990720")</f>
        <v/>
      </c>
      <c r="B2771" s="2" t="n">
        <v>43203.56850694444</v>
      </c>
      <c r="C2771" t="n">
        <v>0</v>
      </c>
      <c r="D2771" t="n">
        <v>10</v>
      </c>
      <c r="E2771" t="s">
        <v>2771</v>
      </c>
      <c r="F2771" t="s"/>
      <c r="G2771" t="s"/>
      <c r="H2771" t="s"/>
      <c r="I2771" t="s"/>
      <c r="J2771" t="n">
        <v>0.2732</v>
      </c>
      <c r="K2771" t="n">
        <v>0.09</v>
      </c>
      <c r="L2771" t="n">
        <v>0.773</v>
      </c>
      <c r="M2771" t="n">
        <v>0.137</v>
      </c>
    </row>
    <row r="2772" spans="1:13">
      <c r="A2772" s="1">
        <f>HYPERLINK("http://www.twitter.com/NathanBLawrence/status/984787488530206720", "984787488530206720")</f>
        <v/>
      </c>
      <c r="B2772" s="2" t="n">
        <v>43203.56722222222</v>
      </c>
      <c r="C2772" t="n">
        <v>0</v>
      </c>
      <c r="D2772" t="n">
        <v>0</v>
      </c>
      <c r="E2772" t="s">
        <v>2772</v>
      </c>
      <c r="F2772" t="s"/>
      <c r="G2772" t="s"/>
      <c r="H2772" t="s"/>
      <c r="I2772" t="s"/>
      <c r="J2772" t="n">
        <v>0</v>
      </c>
      <c r="K2772" t="n">
        <v>0</v>
      </c>
      <c r="L2772" t="n">
        <v>1</v>
      </c>
      <c r="M2772" t="n">
        <v>0</v>
      </c>
    </row>
    <row r="2773" spans="1:13">
      <c r="A2773" s="1">
        <f>HYPERLINK("http://www.twitter.com/NathanBLawrence/status/984787206693949442", "984787206693949442")</f>
        <v/>
      </c>
      <c r="B2773" s="2" t="n">
        <v>43203.56644675926</v>
      </c>
      <c r="C2773" t="n">
        <v>0</v>
      </c>
      <c r="D2773" t="n">
        <v>0</v>
      </c>
      <c r="E2773" t="s">
        <v>2773</v>
      </c>
      <c r="F2773" t="s"/>
      <c r="G2773" t="s"/>
      <c r="H2773" t="s"/>
      <c r="I2773" t="s"/>
      <c r="J2773" t="n">
        <v>0</v>
      </c>
      <c r="K2773" t="n">
        <v>0</v>
      </c>
      <c r="L2773" t="n">
        <v>1</v>
      </c>
      <c r="M2773" t="n">
        <v>0</v>
      </c>
    </row>
    <row r="2774" spans="1:13">
      <c r="A2774" s="1">
        <f>HYPERLINK("http://www.twitter.com/NathanBLawrence/status/984784814829162497", "984784814829162497")</f>
        <v/>
      </c>
      <c r="B2774" s="2" t="n">
        <v>43203.55983796297</v>
      </c>
      <c r="C2774" t="n">
        <v>0</v>
      </c>
      <c r="D2774" t="n">
        <v>9</v>
      </c>
      <c r="E2774" t="s">
        <v>2774</v>
      </c>
      <c r="F2774">
        <f>HYPERLINK("http://pbs.twimg.com/media/DapaXh1X0AA1kQu.jpg", "http://pbs.twimg.com/media/DapaXh1X0AA1kQu.jpg")</f>
        <v/>
      </c>
      <c r="G2774">
        <f>HYPERLINK("http://pbs.twimg.com/media/DapaXh2WsAArqaL.jpg", "http://pbs.twimg.com/media/DapaXh2WsAArqaL.jpg")</f>
        <v/>
      </c>
      <c r="H2774">
        <f>HYPERLINK("http://pbs.twimg.com/media/DapaXiIWAAAaZS8.jpg", "http://pbs.twimg.com/media/DapaXiIWAAAaZS8.jpg")</f>
        <v/>
      </c>
      <c r="I2774">
        <f>HYPERLINK("http://pbs.twimg.com/media/DapaXiDWAAAoK5z.jpg", "http://pbs.twimg.com/media/DapaXiDWAAAoK5z.jpg")</f>
        <v/>
      </c>
      <c r="J2774" t="n">
        <v>0</v>
      </c>
      <c r="K2774" t="n">
        <v>0</v>
      </c>
      <c r="L2774" t="n">
        <v>1</v>
      </c>
      <c r="M2774" t="n">
        <v>0</v>
      </c>
    </row>
    <row r="2775" spans="1:13">
      <c r="A2775" s="1">
        <f>HYPERLINK("http://www.twitter.com/NathanBLawrence/status/984784618007220224", "984784618007220224")</f>
        <v/>
      </c>
      <c r="B2775" s="2" t="n">
        <v>43203.55930555556</v>
      </c>
      <c r="C2775" t="n">
        <v>0</v>
      </c>
      <c r="D2775" t="n">
        <v>14</v>
      </c>
      <c r="E2775" t="s">
        <v>2775</v>
      </c>
      <c r="F2775" t="s"/>
      <c r="G2775" t="s"/>
      <c r="H2775" t="s"/>
      <c r="I2775" t="s"/>
      <c r="J2775" t="n">
        <v>0</v>
      </c>
      <c r="K2775" t="n">
        <v>0</v>
      </c>
      <c r="L2775" t="n">
        <v>1</v>
      </c>
      <c r="M2775" t="n">
        <v>0</v>
      </c>
    </row>
    <row r="2776" spans="1:13">
      <c r="A2776" s="1">
        <f>HYPERLINK("http://www.twitter.com/NathanBLawrence/status/984784405850918916", "984784405850918916")</f>
        <v/>
      </c>
      <c r="B2776" s="2" t="n">
        <v>43203.55871527778</v>
      </c>
      <c r="C2776" t="n">
        <v>0</v>
      </c>
      <c r="D2776" t="n">
        <v>3</v>
      </c>
      <c r="E2776" t="s">
        <v>2776</v>
      </c>
      <c r="F2776" t="s"/>
      <c r="G2776" t="s"/>
      <c r="H2776" t="s"/>
      <c r="I2776" t="s"/>
      <c r="J2776" t="n">
        <v>-0.6808</v>
      </c>
      <c r="K2776" t="n">
        <v>0.189</v>
      </c>
      <c r="L2776" t="n">
        <v>0.8110000000000001</v>
      </c>
      <c r="M2776" t="n">
        <v>0</v>
      </c>
    </row>
    <row r="2777" spans="1:13">
      <c r="A2777" s="1">
        <f>HYPERLINK("http://www.twitter.com/NathanBLawrence/status/984784140603183104", "984784140603183104")</f>
        <v/>
      </c>
      <c r="B2777" s="2" t="n">
        <v>43203.55798611111</v>
      </c>
      <c r="C2777" t="n">
        <v>0</v>
      </c>
      <c r="D2777" t="n">
        <v>1</v>
      </c>
      <c r="E2777" t="s">
        <v>2777</v>
      </c>
      <c r="F2777">
        <f>HYPERLINK("http://pbs.twimg.com/media/DaqnSUKV4AYtqwm.jpg", "http://pbs.twimg.com/media/DaqnSUKV4AYtqwm.jpg")</f>
        <v/>
      </c>
      <c r="G2777" t="s"/>
      <c r="H2777" t="s"/>
      <c r="I2777" t="s"/>
      <c r="J2777" t="n">
        <v>0</v>
      </c>
      <c r="K2777" t="n">
        <v>0</v>
      </c>
      <c r="L2777" t="n">
        <v>1</v>
      </c>
      <c r="M2777" t="n">
        <v>0</v>
      </c>
    </row>
    <row r="2778" spans="1:13">
      <c r="A2778" s="1">
        <f>HYPERLINK("http://www.twitter.com/NathanBLawrence/status/984781456961626113", "984781456961626113")</f>
        <v/>
      </c>
      <c r="B2778" s="2" t="n">
        <v>43203.5505787037</v>
      </c>
      <c r="C2778" t="n">
        <v>0</v>
      </c>
      <c r="D2778" t="n">
        <v>0</v>
      </c>
      <c r="E2778" t="s">
        <v>2778</v>
      </c>
      <c r="F2778" t="s"/>
      <c r="G2778" t="s"/>
      <c r="H2778" t="s"/>
      <c r="I2778" t="s"/>
      <c r="J2778" t="n">
        <v>0</v>
      </c>
      <c r="K2778" t="n">
        <v>0</v>
      </c>
      <c r="L2778" t="n">
        <v>1</v>
      </c>
      <c r="M2778" t="n">
        <v>0</v>
      </c>
    </row>
    <row r="2779" spans="1:13">
      <c r="A2779" s="1">
        <f>HYPERLINK("http://www.twitter.com/NathanBLawrence/status/984779907610882048", "984779907610882048")</f>
        <v/>
      </c>
      <c r="B2779" s="2" t="n">
        <v>43203.5462962963</v>
      </c>
      <c r="C2779" t="n">
        <v>0</v>
      </c>
      <c r="D2779" t="n">
        <v>1</v>
      </c>
      <c r="E2779" t="s">
        <v>2779</v>
      </c>
      <c r="F2779" t="s"/>
      <c r="G2779" t="s"/>
      <c r="H2779" t="s"/>
      <c r="I2779" t="s"/>
      <c r="J2779" t="n">
        <v>0</v>
      </c>
      <c r="K2779" t="n">
        <v>0</v>
      </c>
      <c r="L2779" t="n">
        <v>1</v>
      </c>
      <c r="M2779" t="n">
        <v>0</v>
      </c>
    </row>
    <row r="2780" spans="1:13">
      <c r="A2780" s="1">
        <f>HYPERLINK("http://www.twitter.com/NathanBLawrence/status/984779869555970049", "984779869555970049")</f>
        <v/>
      </c>
      <c r="B2780" s="2" t="n">
        <v>43203.54619212963</v>
      </c>
      <c r="C2780" t="n">
        <v>0</v>
      </c>
      <c r="D2780" t="n">
        <v>2</v>
      </c>
      <c r="E2780" t="s">
        <v>2780</v>
      </c>
      <c r="F2780" t="s"/>
      <c r="G2780" t="s"/>
      <c r="H2780" t="s"/>
      <c r="I2780" t="s"/>
      <c r="J2780" t="n">
        <v>0</v>
      </c>
      <c r="K2780" t="n">
        <v>0</v>
      </c>
      <c r="L2780" t="n">
        <v>1</v>
      </c>
      <c r="M2780" t="n">
        <v>0</v>
      </c>
    </row>
    <row r="2781" spans="1:13">
      <c r="A2781" s="1">
        <f>HYPERLINK("http://www.twitter.com/NathanBLawrence/status/984779526138982401", "984779526138982401")</f>
        <v/>
      </c>
      <c r="B2781" s="2" t="n">
        <v>43203.54525462963</v>
      </c>
      <c r="C2781" t="n">
        <v>0</v>
      </c>
      <c r="D2781" t="n">
        <v>0</v>
      </c>
      <c r="E2781" t="s">
        <v>2781</v>
      </c>
      <c r="F2781" t="s"/>
      <c r="G2781" t="s"/>
      <c r="H2781" t="s"/>
      <c r="I2781" t="s"/>
      <c r="J2781" t="n">
        <v>-0.4443</v>
      </c>
      <c r="K2781" t="n">
        <v>0.172</v>
      </c>
      <c r="L2781" t="n">
        <v>0.705</v>
      </c>
      <c r="M2781" t="n">
        <v>0.123</v>
      </c>
    </row>
    <row r="2782" spans="1:13">
      <c r="A2782" s="1">
        <f>HYPERLINK("http://www.twitter.com/NathanBLawrence/status/984778090139308033", "984778090139308033")</f>
        <v/>
      </c>
      <c r="B2782" s="2" t="n">
        <v>43203.54128472223</v>
      </c>
      <c r="C2782" t="n">
        <v>9</v>
      </c>
      <c r="D2782" t="n">
        <v>8</v>
      </c>
      <c r="E2782" t="s">
        <v>2782</v>
      </c>
      <c r="F2782">
        <f>HYPERLINK("http://pbs.twimg.com/media/DaqibrBVQAA5Vfz.jpg", "http://pbs.twimg.com/media/DaqibrBVQAA5Vfz.jpg")</f>
        <v/>
      </c>
      <c r="G2782" t="s"/>
      <c r="H2782" t="s"/>
      <c r="I2782" t="s"/>
      <c r="J2782" t="n">
        <v>-0.2438</v>
      </c>
      <c r="K2782" t="n">
        <v>0.202</v>
      </c>
      <c r="L2782" t="n">
        <v>0.595</v>
      </c>
      <c r="M2782" t="n">
        <v>0.203</v>
      </c>
    </row>
    <row r="2783" spans="1:13">
      <c r="A2783" s="1">
        <f>HYPERLINK("http://www.twitter.com/NathanBLawrence/status/984770992789737472", "984770992789737472")</f>
        <v/>
      </c>
      <c r="B2783" s="2" t="n">
        <v>43203.52170138889</v>
      </c>
      <c r="C2783" t="n">
        <v>1</v>
      </c>
      <c r="D2783" t="n">
        <v>0</v>
      </c>
      <c r="E2783" t="s">
        <v>2783</v>
      </c>
      <c r="F2783">
        <f>HYPERLINK("http://pbs.twimg.com/media/Daqb_p3UwAEGROd.jpg", "http://pbs.twimg.com/media/Daqb_p3UwAEGROd.jpg")</f>
        <v/>
      </c>
      <c r="G2783" t="s"/>
      <c r="H2783" t="s"/>
      <c r="I2783" t="s"/>
      <c r="J2783" t="n">
        <v>0</v>
      </c>
      <c r="K2783" t="n">
        <v>0</v>
      </c>
      <c r="L2783" t="n">
        <v>1</v>
      </c>
      <c r="M2783" t="n">
        <v>0</v>
      </c>
    </row>
    <row r="2784" spans="1:13">
      <c r="A2784" s="1">
        <f>HYPERLINK("http://www.twitter.com/NathanBLawrence/status/984770278625562625", "984770278625562625")</f>
        <v/>
      </c>
      <c r="B2784" s="2" t="n">
        <v>43203.5197337963</v>
      </c>
      <c r="C2784" t="n">
        <v>0</v>
      </c>
      <c r="D2784" t="n">
        <v>54</v>
      </c>
      <c r="E2784" t="s">
        <v>2784</v>
      </c>
      <c r="F2784">
        <f>HYPERLINK("http://pbs.twimg.com/media/DaqOcEsWkAAugsX.jpg", "http://pbs.twimg.com/media/DaqOcEsWkAAugsX.jpg")</f>
        <v/>
      </c>
      <c r="G2784" t="s"/>
      <c r="H2784" t="s"/>
      <c r="I2784" t="s"/>
      <c r="J2784" t="n">
        <v>0</v>
      </c>
      <c r="K2784" t="n">
        <v>0</v>
      </c>
      <c r="L2784" t="n">
        <v>1</v>
      </c>
      <c r="M2784" t="n">
        <v>0</v>
      </c>
    </row>
    <row r="2785" spans="1:13">
      <c r="A2785" s="1">
        <f>HYPERLINK("http://www.twitter.com/NathanBLawrence/status/984770240054743040", "984770240054743040")</f>
        <v/>
      </c>
      <c r="B2785" s="2" t="n">
        <v>43203.51962962963</v>
      </c>
      <c r="C2785" t="n">
        <v>0</v>
      </c>
      <c r="D2785" t="n">
        <v>16</v>
      </c>
      <c r="E2785" t="s">
        <v>2785</v>
      </c>
      <c r="F2785">
        <f>HYPERLINK("http://pbs.twimg.com/media/Dal2kRoVAAAee6V.jpg", "http://pbs.twimg.com/media/Dal2kRoVAAAee6V.jpg")</f>
        <v/>
      </c>
      <c r="G2785" t="s"/>
      <c r="H2785" t="s"/>
      <c r="I2785" t="s"/>
      <c r="J2785" t="n">
        <v>-0.7096</v>
      </c>
      <c r="K2785" t="n">
        <v>0.277</v>
      </c>
      <c r="L2785" t="n">
        <v>0.723</v>
      </c>
      <c r="M2785" t="n">
        <v>0</v>
      </c>
    </row>
    <row r="2786" spans="1:13">
      <c r="A2786" s="1">
        <f>HYPERLINK("http://www.twitter.com/NathanBLawrence/status/984770076279701509", "984770076279701509")</f>
        <v/>
      </c>
      <c r="B2786" s="2" t="n">
        <v>43203.51916666667</v>
      </c>
      <c r="C2786" t="n">
        <v>1</v>
      </c>
      <c r="D2786" t="n">
        <v>0</v>
      </c>
      <c r="E2786" t="s">
        <v>2786</v>
      </c>
      <c r="F2786" t="s"/>
      <c r="G2786" t="s"/>
      <c r="H2786" t="s"/>
      <c r="I2786" t="s"/>
      <c r="J2786" t="n">
        <v>0</v>
      </c>
      <c r="K2786" t="n">
        <v>0</v>
      </c>
      <c r="L2786" t="n">
        <v>1</v>
      </c>
      <c r="M2786" t="n">
        <v>0</v>
      </c>
    </row>
    <row r="2787" spans="1:13">
      <c r="A2787" s="1">
        <f>HYPERLINK("http://www.twitter.com/NathanBLawrence/status/984769898961424385", "984769898961424385")</f>
        <v/>
      </c>
      <c r="B2787" s="2" t="n">
        <v>43203.51868055556</v>
      </c>
      <c r="C2787" t="n">
        <v>0</v>
      </c>
      <c r="D2787" t="n">
        <v>5</v>
      </c>
      <c r="E2787" t="s">
        <v>2787</v>
      </c>
      <c r="F2787" t="s"/>
      <c r="G2787" t="s"/>
      <c r="H2787" t="s"/>
      <c r="I2787" t="s"/>
      <c r="J2787" t="n">
        <v>0.2023</v>
      </c>
      <c r="K2787" t="n">
        <v>0.08400000000000001</v>
      </c>
      <c r="L2787" t="n">
        <v>0.763</v>
      </c>
      <c r="M2787" t="n">
        <v>0.153</v>
      </c>
    </row>
    <row r="2788" spans="1:13">
      <c r="A2788" s="1">
        <f>HYPERLINK("http://www.twitter.com/NathanBLawrence/status/984769049858072576", "984769049858072576")</f>
        <v/>
      </c>
      <c r="B2788" s="2" t="n">
        <v>43203.51634259259</v>
      </c>
      <c r="C2788" t="n">
        <v>0</v>
      </c>
      <c r="D2788" t="n">
        <v>2</v>
      </c>
      <c r="E2788" t="s">
        <v>2788</v>
      </c>
      <c r="F2788" t="s"/>
      <c r="G2788" t="s"/>
      <c r="H2788" t="s"/>
      <c r="I2788" t="s"/>
      <c r="J2788" t="n">
        <v>0.4926</v>
      </c>
      <c r="K2788" t="n">
        <v>0</v>
      </c>
      <c r="L2788" t="n">
        <v>0.873</v>
      </c>
      <c r="M2788" t="n">
        <v>0.127</v>
      </c>
    </row>
    <row r="2789" spans="1:13">
      <c r="A2789" s="1">
        <f>HYPERLINK("http://www.twitter.com/NathanBLawrence/status/984768401427005440", "984768401427005440")</f>
        <v/>
      </c>
      <c r="B2789" s="2" t="n">
        <v>43203.51454861111</v>
      </c>
      <c r="C2789" t="n">
        <v>0</v>
      </c>
      <c r="D2789" t="n">
        <v>0</v>
      </c>
      <c r="E2789" t="s">
        <v>2789</v>
      </c>
      <c r="F2789" t="s"/>
      <c r="G2789" t="s"/>
      <c r="H2789" t="s"/>
      <c r="I2789" t="s"/>
      <c r="J2789" t="n">
        <v>-0.765</v>
      </c>
      <c r="K2789" t="n">
        <v>0.207</v>
      </c>
      <c r="L2789" t="n">
        <v>0.793</v>
      </c>
      <c r="M2789" t="n">
        <v>0</v>
      </c>
    </row>
    <row r="2790" spans="1:13">
      <c r="A2790" s="1">
        <f>HYPERLINK("http://www.twitter.com/NathanBLawrence/status/984766381781602304", "984766381781602304")</f>
        <v/>
      </c>
      <c r="B2790" s="2" t="n">
        <v>43203.50898148148</v>
      </c>
      <c r="C2790" t="n">
        <v>0</v>
      </c>
      <c r="D2790" t="n">
        <v>2</v>
      </c>
      <c r="E2790" t="s">
        <v>2790</v>
      </c>
      <c r="F2790" t="s"/>
      <c r="G2790" t="s"/>
      <c r="H2790" t="s"/>
      <c r="I2790" t="s"/>
      <c r="J2790" t="n">
        <v>0</v>
      </c>
      <c r="K2790" t="n">
        <v>0</v>
      </c>
      <c r="L2790" t="n">
        <v>1</v>
      </c>
      <c r="M2790" t="n">
        <v>0</v>
      </c>
    </row>
    <row r="2791" spans="1:13">
      <c r="A2791" s="1">
        <f>HYPERLINK("http://www.twitter.com/NathanBLawrence/status/984765985356951552", "984765985356951552")</f>
        <v/>
      </c>
      <c r="B2791" s="2" t="n">
        <v>43203.50788194445</v>
      </c>
      <c r="C2791" t="n">
        <v>0</v>
      </c>
      <c r="D2791" t="n">
        <v>6</v>
      </c>
      <c r="E2791" t="s">
        <v>2791</v>
      </c>
      <c r="F2791">
        <f>HYPERLINK("http://pbs.twimg.com/media/DaqTsZgWkAInKN7.jpg", "http://pbs.twimg.com/media/DaqTsZgWkAInKN7.jpg")</f>
        <v/>
      </c>
      <c r="G2791" t="s"/>
      <c r="H2791" t="s"/>
      <c r="I2791" t="s"/>
      <c r="J2791" t="n">
        <v>-0.4199</v>
      </c>
      <c r="K2791" t="n">
        <v>0.134</v>
      </c>
      <c r="L2791" t="n">
        <v>0.866</v>
      </c>
      <c r="M2791" t="n">
        <v>0</v>
      </c>
    </row>
    <row r="2792" spans="1:13">
      <c r="A2792" s="1">
        <f>HYPERLINK("http://www.twitter.com/NathanBLawrence/status/984765868709220353", "984765868709220353")</f>
        <v/>
      </c>
      <c r="B2792" s="2" t="n">
        <v>43203.50755787037</v>
      </c>
      <c r="C2792" t="n">
        <v>2</v>
      </c>
      <c r="D2792" t="n">
        <v>2</v>
      </c>
      <c r="E2792" t="s">
        <v>2792</v>
      </c>
      <c r="F2792" t="s"/>
      <c r="G2792" t="s"/>
      <c r="H2792" t="s"/>
      <c r="I2792" t="s"/>
      <c r="J2792" t="n">
        <v>-0.6889999999999999</v>
      </c>
      <c r="K2792" t="n">
        <v>0.144</v>
      </c>
      <c r="L2792" t="n">
        <v>0.83</v>
      </c>
      <c r="M2792" t="n">
        <v>0.026</v>
      </c>
    </row>
    <row r="2793" spans="1:13">
      <c r="A2793" s="1">
        <f>HYPERLINK("http://www.twitter.com/NathanBLawrence/status/984764425625317376", "984764425625317376")</f>
        <v/>
      </c>
      <c r="B2793" s="2" t="n">
        <v>43203.50357638889</v>
      </c>
      <c r="C2793" t="n">
        <v>0</v>
      </c>
      <c r="D2793" t="n">
        <v>1</v>
      </c>
      <c r="E2793" t="s">
        <v>2793</v>
      </c>
      <c r="F2793">
        <f>HYPERLINK("http://pbs.twimg.com/media/DaqRKrQVAAEMA9k.jpg", "http://pbs.twimg.com/media/DaqRKrQVAAEMA9k.jpg")</f>
        <v/>
      </c>
      <c r="G2793" t="s"/>
      <c r="H2793" t="s"/>
      <c r="I2793" t="s"/>
      <c r="J2793" t="n">
        <v>0</v>
      </c>
      <c r="K2793" t="n">
        <v>0</v>
      </c>
      <c r="L2793" t="n">
        <v>1</v>
      </c>
      <c r="M2793" t="n">
        <v>0</v>
      </c>
    </row>
    <row r="2794" spans="1:13">
      <c r="A2794" s="1">
        <f>HYPERLINK("http://www.twitter.com/NathanBLawrence/status/984763801286344704", "984763801286344704")</f>
        <v/>
      </c>
      <c r="B2794" s="2" t="n">
        <v>43203.50185185186</v>
      </c>
      <c r="C2794" t="n">
        <v>0</v>
      </c>
      <c r="D2794" t="n">
        <v>1</v>
      </c>
      <c r="E2794" t="s">
        <v>2794</v>
      </c>
      <c r="F2794" t="s"/>
      <c r="G2794" t="s"/>
      <c r="H2794" t="s"/>
      <c r="I2794" t="s"/>
      <c r="J2794" t="n">
        <v>0</v>
      </c>
      <c r="K2794" t="n">
        <v>0</v>
      </c>
      <c r="L2794" t="n">
        <v>1</v>
      </c>
      <c r="M2794" t="n">
        <v>0</v>
      </c>
    </row>
    <row r="2795" spans="1:13">
      <c r="A2795" s="1">
        <f>HYPERLINK("http://www.twitter.com/NathanBLawrence/status/984763771687198720", "984763771687198720")</f>
        <v/>
      </c>
      <c r="B2795" s="2" t="n">
        <v>43203.50177083333</v>
      </c>
      <c r="C2795" t="n">
        <v>0</v>
      </c>
      <c r="D2795" t="n">
        <v>3</v>
      </c>
      <c r="E2795" t="s">
        <v>2795</v>
      </c>
      <c r="F2795" t="s"/>
      <c r="G2795" t="s"/>
      <c r="H2795" t="s"/>
      <c r="I2795" t="s"/>
      <c r="J2795" t="n">
        <v>0.0258</v>
      </c>
      <c r="K2795" t="n">
        <v>0.08599999999999999</v>
      </c>
      <c r="L2795" t="n">
        <v>0.824</v>
      </c>
      <c r="M2795" t="n">
        <v>0.09</v>
      </c>
    </row>
    <row r="2796" spans="1:13">
      <c r="A2796" s="1">
        <f>HYPERLINK("http://www.twitter.com/NathanBLawrence/status/984763679659962368", "984763679659962368")</f>
        <v/>
      </c>
      <c r="B2796" s="2" t="n">
        <v>43203.5015162037</v>
      </c>
      <c r="C2796" t="n">
        <v>0</v>
      </c>
      <c r="D2796" t="n">
        <v>3</v>
      </c>
      <c r="E2796" t="s">
        <v>2796</v>
      </c>
      <c r="F2796">
        <f>HYPERLINK("http://pbs.twimg.com/media/DaqSABJXUAANU7l.jpg", "http://pbs.twimg.com/media/DaqSABJXUAANU7l.jpg")</f>
        <v/>
      </c>
      <c r="G2796" t="s"/>
      <c r="H2796" t="s"/>
      <c r="I2796" t="s"/>
      <c r="J2796" t="n">
        <v>0</v>
      </c>
      <c r="K2796" t="n">
        <v>0</v>
      </c>
      <c r="L2796" t="n">
        <v>1</v>
      </c>
      <c r="M2796" t="n">
        <v>0</v>
      </c>
    </row>
    <row r="2797" spans="1:13">
      <c r="A2797" s="1">
        <f>HYPERLINK("http://www.twitter.com/NathanBLawrence/status/984763528245661696", "984763528245661696")</f>
        <v/>
      </c>
      <c r="B2797" s="2" t="n">
        <v>43203.50109953704</v>
      </c>
      <c r="C2797" t="n">
        <v>9</v>
      </c>
      <c r="D2797" t="n">
        <v>6</v>
      </c>
      <c r="E2797" t="s">
        <v>2797</v>
      </c>
      <c r="F2797" t="s"/>
      <c r="G2797" t="s"/>
      <c r="H2797" t="s"/>
      <c r="I2797" t="s"/>
      <c r="J2797" t="n">
        <v>-0.9463</v>
      </c>
      <c r="K2797" t="n">
        <v>0.369</v>
      </c>
      <c r="L2797" t="n">
        <v>0.631</v>
      </c>
      <c r="M2797" t="n">
        <v>0</v>
      </c>
    </row>
    <row r="2798" spans="1:13">
      <c r="A2798" s="1">
        <f>HYPERLINK("http://www.twitter.com/NathanBLawrence/status/984761234028421120", "984761234028421120")</f>
        <v/>
      </c>
      <c r="B2798" s="2" t="n">
        <v>43203.49476851852</v>
      </c>
      <c r="C2798" t="n">
        <v>1</v>
      </c>
      <c r="D2798" t="n">
        <v>3</v>
      </c>
      <c r="E2798" t="s">
        <v>2798</v>
      </c>
      <c r="F2798">
        <f>HYPERLINK("http://pbs.twimg.com/media/DaqTHkNUMAAue1l.jpg", "http://pbs.twimg.com/media/DaqTHkNUMAAue1l.jpg")</f>
        <v/>
      </c>
      <c r="G2798" t="s"/>
      <c r="H2798" t="s"/>
      <c r="I2798" t="s"/>
      <c r="J2798" t="n">
        <v>0.2023</v>
      </c>
      <c r="K2798" t="n">
        <v>0.126</v>
      </c>
      <c r="L2798" t="n">
        <v>0.733</v>
      </c>
      <c r="M2798" t="n">
        <v>0.141</v>
      </c>
    </row>
    <row r="2799" spans="1:13">
      <c r="A2799" s="1">
        <f>HYPERLINK("http://www.twitter.com/NathanBLawrence/status/984640433715326976", "984640433715326976")</f>
        <v/>
      </c>
      <c r="B2799" s="2" t="n">
        <v>43203.16142361111</v>
      </c>
      <c r="C2799" t="n">
        <v>0</v>
      </c>
      <c r="D2799" t="n">
        <v>0</v>
      </c>
      <c r="E2799" t="s">
        <v>2799</v>
      </c>
      <c r="F2799" t="s"/>
      <c r="G2799" t="s"/>
      <c r="H2799" t="s"/>
      <c r="I2799" t="s"/>
      <c r="J2799" t="n">
        <v>0</v>
      </c>
      <c r="K2799" t="n">
        <v>0</v>
      </c>
      <c r="L2799" t="n">
        <v>1</v>
      </c>
      <c r="M2799" t="n">
        <v>0</v>
      </c>
    </row>
    <row r="2800" spans="1:13">
      <c r="A2800" s="1">
        <f>HYPERLINK("http://www.twitter.com/NathanBLawrence/status/984639103097503744", "984639103097503744")</f>
        <v/>
      </c>
      <c r="B2800" s="2" t="n">
        <v>43203.15775462963</v>
      </c>
      <c r="C2800" t="n">
        <v>0</v>
      </c>
      <c r="D2800" t="n">
        <v>0</v>
      </c>
      <c r="E2800" t="s">
        <v>2800</v>
      </c>
      <c r="F2800" t="s"/>
      <c r="G2800" t="s"/>
      <c r="H2800" t="s"/>
      <c r="I2800" t="s"/>
      <c r="J2800" t="n">
        <v>0</v>
      </c>
      <c r="K2800" t="n">
        <v>0</v>
      </c>
      <c r="L2800" t="n">
        <v>1</v>
      </c>
      <c r="M2800" t="n">
        <v>0</v>
      </c>
    </row>
    <row r="2801" spans="1:13">
      <c r="A2801" s="1">
        <f>HYPERLINK("http://www.twitter.com/NathanBLawrence/status/984635615168880641", "984635615168880641")</f>
        <v/>
      </c>
      <c r="B2801" s="2" t="n">
        <v>43203.148125</v>
      </c>
      <c r="C2801" t="n">
        <v>0</v>
      </c>
      <c r="D2801" t="n">
        <v>0</v>
      </c>
      <c r="E2801" t="s">
        <v>2801</v>
      </c>
      <c r="F2801" t="s"/>
      <c r="G2801" t="s"/>
      <c r="H2801" t="s"/>
      <c r="I2801" t="s"/>
      <c r="J2801" t="n">
        <v>-0.296</v>
      </c>
      <c r="K2801" t="n">
        <v>0.078</v>
      </c>
      <c r="L2801" t="n">
        <v>0.922</v>
      </c>
      <c r="M2801" t="n">
        <v>0</v>
      </c>
    </row>
    <row r="2802" spans="1:13">
      <c r="A2802" s="1">
        <f>HYPERLINK("http://www.twitter.com/NathanBLawrence/status/984635017329565696", "984635017329565696")</f>
        <v/>
      </c>
      <c r="B2802" s="2" t="n">
        <v>43203.14648148148</v>
      </c>
      <c r="C2802" t="n">
        <v>1</v>
      </c>
      <c r="D2802" t="n">
        <v>1</v>
      </c>
      <c r="E2802" t="s">
        <v>2802</v>
      </c>
      <c r="F2802" t="s"/>
      <c r="G2802" t="s"/>
      <c r="H2802" t="s"/>
      <c r="I2802" t="s"/>
      <c r="J2802" t="n">
        <v>0</v>
      </c>
      <c r="K2802" t="n">
        <v>0</v>
      </c>
      <c r="L2802" t="n">
        <v>1</v>
      </c>
      <c r="M2802" t="n">
        <v>0</v>
      </c>
    </row>
    <row r="2803" spans="1:13">
      <c r="A2803" s="1">
        <f>HYPERLINK("http://www.twitter.com/NathanBLawrence/status/984634945279791105", "984634945279791105")</f>
        <v/>
      </c>
      <c r="B2803" s="2" t="n">
        <v>43203.14628472222</v>
      </c>
      <c r="C2803" t="n">
        <v>0</v>
      </c>
      <c r="D2803" t="n">
        <v>2</v>
      </c>
      <c r="E2803" t="s">
        <v>2803</v>
      </c>
      <c r="F2803" t="s"/>
      <c r="G2803" t="s"/>
      <c r="H2803" t="s"/>
      <c r="I2803" t="s"/>
      <c r="J2803" t="n">
        <v>-0.7199</v>
      </c>
      <c r="K2803" t="n">
        <v>0.251</v>
      </c>
      <c r="L2803" t="n">
        <v>0.749</v>
      </c>
      <c r="M2803" t="n">
        <v>0</v>
      </c>
    </row>
    <row r="2804" spans="1:13">
      <c r="A2804" s="1">
        <f>HYPERLINK("http://www.twitter.com/NathanBLawrence/status/984634120121798656", "984634120121798656")</f>
        <v/>
      </c>
      <c r="B2804" s="2" t="n">
        <v>43203.14400462963</v>
      </c>
      <c r="C2804" t="n">
        <v>0</v>
      </c>
      <c r="D2804" t="n">
        <v>3</v>
      </c>
      <c r="E2804" t="s">
        <v>2804</v>
      </c>
      <c r="F2804" t="s"/>
      <c r="G2804" t="s"/>
      <c r="H2804" t="s"/>
      <c r="I2804" t="s"/>
      <c r="J2804" t="n">
        <v>-0.5562</v>
      </c>
      <c r="K2804" t="n">
        <v>0.183</v>
      </c>
      <c r="L2804" t="n">
        <v>0.8169999999999999</v>
      </c>
      <c r="M2804" t="n">
        <v>0</v>
      </c>
    </row>
    <row r="2805" spans="1:13">
      <c r="A2805" s="1">
        <f>HYPERLINK("http://www.twitter.com/NathanBLawrence/status/984611434809225216", "984611434809225216")</f>
        <v/>
      </c>
      <c r="B2805" s="2" t="n">
        <v>43203.08140046296</v>
      </c>
      <c r="C2805" t="n">
        <v>0</v>
      </c>
      <c r="D2805" t="n">
        <v>37</v>
      </c>
      <c r="E2805" t="s">
        <v>2805</v>
      </c>
      <c r="F2805" t="s"/>
      <c r="G2805" t="s"/>
      <c r="H2805" t="s"/>
      <c r="I2805" t="s"/>
      <c r="J2805" t="n">
        <v>0.4019</v>
      </c>
      <c r="K2805" t="n">
        <v>0</v>
      </c>
      <c r="L2805" t="n">
        <v>0.891</v>
      </c>
      <c r="M2805" t="n">
        <v>0.109</v>
      </c>
    </row>
    <row r="2806" spans="1:13">
      <c r="A2806" s="1">
        <f>HYPERLINK("http://www.twitter.com/NathanBLawrence/status/984600628042321920", "984600628042321920")</f>
        <v/>
      </c>
      <c r="B2806" s="2" t="n">
        <v>43203.05158564815</v>
      </c>
      <c r="C2806" t="n">
        <v>0</v>
      </c>
      <c r="D2806" t="n">
        <v>0</v>
      </c>
      <c r="E2806" t="s">
        <v>2806</v>
      </c>
      <c r="F2806" t="s"/>
      <c r="G2806" t="s"/>
      <c r="H2806" t="s"/>
      <c r="I2806" t="s"/>
      <c r="J2806" t="n">
        <v>0.3612</v>
      </c>
      <c r="K2806" t="n">
        <v>0</v>
      </c>
      <c r="L2806" t="n">
        <v>0.848</v>
      </c>
      <c r="M2806" t="n">
        <v>0.152</v>
      </c>
    </row>
    <row r="2807" spans="1:13">
      <c r="A2807" s="1">
        <f>HYPERLINK("http://www.twitter.com/NathanBLawrence/status/984600236579540992", "984600236579540992")</f>
        <v/>
      </c>
      <c r="B2807" s="2" t="n">
        <v>43203.05050925926</v>
      </c>
      <c r="C2807" t="n">
        <v>2</v>
      </c>
      <c r="D2807" t="n">
        <v>1</v>
      </c>
      <c r="E2807" t="s">
        <v>2807</v>
      </c>
      <c r="F2807" t="s"/>
      <c r="G2807" t="s"/>
      <c r="H2807" t="s"/>
      <c r="I2807" t="s"/>
      <c r="J2807" t="n">
        <v>-0.8347</v>
      </c>
      <c r="K2807" t="n">
        <v>0.219</v>
      </c>
      <c r="L2807" t="n">
        <v>0.731</v>
      </c>
      <c r="M2807" t="n">
        <v>0.05</v>
      </c>
    </row>
    <row r="2808" spans="1:13">
      <c r="A2808" s="1">
        <f>HYPERLINK("http://www.twitter.com/NathanBLawrence/status/984599080046399489", "984599080046399489")</f>
        <v/>
      </c>
      <c r="B2808" s="2" t="n">
        <v>43203.04731481482</v>
      </c>
      <c r="C2808" t="n">
        <v>2</v>
      </c>
      <c r="D2808" t="n">
        <v>1</v>
      </c>
      <c r="E2808" t="s">
        <v>2808</v>
      </c>
      <c r="F2808" t="s"/>
      <c r="G2808" t="s"/>
      <c r="H2808" t="s"/>
      <c r="I2808" t="s"/>
      <c r="J2808" t="n">
        <v>0.4951</v>
      </c>
      <c r="K2808" t="n">
        <v>0.08500000000000001</v>
      </c>
      <c r="L2808" t="n">
        <v>0.719</v>
      </c>
      <c r="M2808" t="n">
        <v>0.195</v>
      </c>
    </row>
    <row r="2809" spans="1:13">
      <c r="A2809" s="1">
        <f>HYPERLINK("http://www.twitter.com/NathanBLawrence/status/984596552525152262", "984596552525152262")</f>
        <v/>
      </c>
      <c r="B2809" s="2" t="n">
        <v>43203.04033564815</v>
      </c>
      <c r="C2809" t="n">
        <v>0</v>
      </c>
      <c r="D2809" t="n">
        <v>0</v>
      </c>
      <c r="E2809" t="s">
        <v>2809</v>
      </c>
      <c r="F2809" t="s"/>
      <c r="G2809" t="s"/>
      <c r="H2809" t="s"/>
      <c r="I2809" t="s"/>
      <c r="J2809" t="n">
        <v>0</v>
      </c>
      <c r="K2809" t="n">
        <v>0</v>
      </c>
      <c r="L2809" t="n">
        <v>1</v>
      </c>
      <c r="M2809" t="n">
        <v>0</v>
      </c>
    </row>
    <row r="2810" spans="1:13">
      <c r="A2810" s="1">
        <f>HYPERLINK("http://www.twitter.com/NathanBLawrence/status/984594261831188480", "984594261831188480")</f>
        <v/>
      </c>
      <c r="B2810" s="2" t="n">
        <v>43203.0340162037</v>
      </c>
      <c r="C2810" t="n">
        <v>0</v>
      </c>
      <c r="D2810" t="n">
        <v>10</v>
      </c>
      <c r="E2810" t="s">
        <v>2810</v>
      </c>
      <c r="F2810" t="s"/>
      <c r="G2810" t="s"/>
      <c r="H2810" t="s"/>
      <c r="I2810" t="s"/>
      <c r="J2810" t="n">
        <v>-0.8519</v>
      </c>
      <c r="K2810" t="n">
        <v>0.288</v>
      </c>
      <c r="L2810" t="n">
        <v>0.712</v>
      </c>
      <c r="M2810" t="n">
        <v>0</v>
      </c>
    </row>
    <row r="2811" spans="1:13">
      <c r="A2811" s="1">
        <f>HYPERLINK("http://www.twitter.com/NathanBLawrence/status/984594013973032962", "984594013973032962")</f>
        <v/>
      </c>
      <c r="B2811" s="2" t="n">
        <v>43203.03333333333</v>
      </c>
      <c r="C2811" t="n">
        <v>1</v>
      </c>
      <c r="D2811" t="n">
        <v>0</v>
      </c>
      <c r="E2811" t="s">
        <v>2811</v>
      </c>
      <c r="F2811" t="s"/>
      <c r="G2811" t="s"/>
      <c r="H2811" t="s"/>
      <c r="I2811" t="s"/>
      <c r="J2811" t="n">
        <v>0.2883</v>
      </c>
      <c r="K2811" t="n">
        <v>0.134</v>
      </c>
      <c r="L2811" t="n">
        <v>0.65</v>
      </c>
      <c r="M2811" t="n">
        <v>0.216</v>
      </c>
    </row>
    <row r="2812" spans="1:13">
      <c r="A2812" s="1">
        <f>HYPERLINK("http://www.twitter.com/NathanBLawrence/status/984592038049001473", "984592038049001473")</f>
        <v/>
      </c>
      <c r="B2812" s="2" t="n">
        <v>43203.02788194444</v>
      </c>
      <c r="C2812" t="n">
        <v>0</v>
      </c>
      <c r="D2812" t="n">
        <v>9</v>
      </c>
      <c r="E2812" t="s">
        <v>2812</v>
      </c>
      <c r="F2812" t="s"/>
      <c r="G2812" t="s"/>
      <c r="H2812" t="s"/>
      <c r="I2812" t="s"/>
      <c r="J2812" t="n">
        <v>-0.34</v>
      </c>
      <c r="K2812" t="n">
        <v>0.112</v>
      </c>
      <c r="L2812" t="n">
        <v>0.888</v>
      </c>
      <c r="M2812" t="n">
        <v>0</v>
      </c>
    </row>
    <row r="2813" spans="1:13">
      <c r="A2813" s="1">
        <f>HYPERLINK("http://www.twitter.com/NathanBLawrence/status/984590706714038273", "984590706714038273")</f>
        <v/>
      </c>
      <c r="B2813" s="2" t="n">
        <v>43203.02420138889</v>
      </c>
      <c r="C2813" t="n">
        <v>2</v>
      </c>
      <c r="D2813" t="n">
        <v>2</v>
      </c>
      <c r="E2813" t="s">
        <v>2813</v>
      </c>
      <c r="F2813" t="s"/>
      <c r="G2813" t="s"/>
      <c r="H2813" t="s"/>
      <c r="I2813" t="s"/>
      <c r="J2813" t="n">
        <v>0.7621</v>
      </c>
      <c r="K2813" t="n">
        <v>0</v>
      </c>
      <c r="L2813" t="n">
        <v>0.781</v>
      </c>
      <c r="M2813" t="n">
        <v>0.219</v>
      </c>
    </row>
    <row r="2814" spans="1:13">
      <c r="A2814" s="1">
        <f>HYPERLINK("http://www.twitter.com/NathanBLawrence/status/984589708239007744", "984589708239007744")</f>
        <v/>
      </c>
      <c r="B2814" s="2" t="n">
        <v>43203.02144675926</v>
      </c>
      <c r="C2814" t="n">
        <v>0</v>
      </c>
      <c r="D2814" t="n">
        <v>4</v>
      </c>
      <c r="E2814" t="s">
        <v>2814</v>
      </c>
      <c r="F2814" t="s"/>
      <c r="G2814" t="s"/>
      <c r="H2814" t="s"/>
      <c r="I2814" t="s"/>
      <c r="J2814" t="n">
        <v>-0.5448</v>
      </c>
      <c r="K2814" t="n">
        <v>0.177</v>
      </c>
      <c r="L2814" t="n">
        <v>0.823</v>
      </c>
      <c r="M2814" t="n">
        <v>0</v>
      </c>
    </row>
    <row r="2815" spans="1:13">
      <c r="A2815" s="1">
        <f>HYPERLINK("http://www.twitter.com/NathanBLawrence/status/984589517574189056", "984589517574189056")</f>
        <v/>
      </c>
      <c r="B2815" s="2" t="n">
        <v>43203.02092592593</v>
      </c>
      <c r="C2815" t="n">
        <v>0</v>
      </c>
      <c r="D2815" t="n">
        <v>2</v>
      </c>
      <c r="E2815" t="s">
        <v>2815</v>
      </c>
      <c r="F2815">
        <f>HYPERLINK("http://pbs.twimg.com/media/DanQf10UQAAGX8F.jpg", "http://pbs.twimg.com/media/DanQf10UQAAGX8F.jpg")</f>
        <v/>
      </c>
      <c r="G2815" t="s"/>
      <c r="H2815" t="s"/>
      <c r="I2815" t="s"/>
      <c r="J2815" t="n">
        <v>-0.2235</v>
      </c>
      <c r="K2815" t="n">
        <v>0.106</v>
      </c>
      <c r="L2815" t="n">
        <v>0.894</v>
      </c>
      <c r="M2815" t="n">
        <v>0</v>
      </c>
    </row>
    <row r="2816" spans="1:13">
      <c r="A2816" s="1">
        <f>HYPERLINK("http://www.twitter.com/NathanBLawrence/status/984588507862757377", "984588507862757377")</f>
        <v/>
      </c>
      <c r="B2816" s="2" t="n">
        <v>43203.01813657407</v>
      </c>
      <c r="C2816" t="n">
        <v>2</v>
      </c>
      <c r="D2816" t="n">
        <v>2</v>
      </c>
      <c r="E2816" t="s">
        <v>2816</v>
      </c>
      <c r="F2816" t="s"/>
      <c r="G2816" t="s"/>
      <c r="H2816" t="s"/>
      <c r="I2816" t="s"/>
      <c r="J2816" t="n">
        <v>-0.755</v>
      </c>
      <c r="K2816" t="n">
        <v>0.235</v>
      </c>
      <c r="L2816" t="n">
        <v>0.624</v>
      </c>
      <c r="M2816" t="n">
        <v>0.141</v>
      </c>
    </row>
    <row r="2817" spans="1:13">
      <c r="A2817" s="1">
        <f>HYPERLINK("http://www.twitter.com/NathanBLawrence/status/984585352210939905", "984585352210939905")</f>
        <v/>
      </c>
      <c r="B2817" s="2" t="n">
        <v>43203.00943287037</v>
      </c>
      <c r="C2817" t="n">
        <v>0</v>
      </c>
      <c r="D2817" t="n">
        <v>11</v>
      </c>
      <c r="E2817" t="s">
        <v>2817</v>
      </c>
      <c r="F2817">
        <f>HYPERLINK("http://pbs.twimg.com/media/DanxzxmW0AECNJM.jpg", "http://pbs.twimg.com/media/DanxzxmW0AECNJM.jpg")</f>
        <v/>
      </c>
      <c r="G2817" t="s"/>
      <c r="H2817" t="s"/>
      <c r="I2817" t="s"/>
      <c r="J2817" t="n">
        <v>-0.34</v>
      </c>
      <c r="K2817" t="n">
        <v>0.112</v>
      </c>
      <c r="L2817" t="n">
        <v>0.888</v>
      </c>
      <c r="M2817" t="n">
        <v>0</v>
      </c>
    </row>
    <row r="2818" spans="1:13">
      <c r="A2818" s="1">
        <f>HYPERLINK("http://www.twitter.com/NathanBLawrence/status/984584453598121984", "984584453598121984")</f>
        <v/>
      </c>
      <c r="B2818" s="2" t="n">
        <v>43203.00695601852</v>
      </c>
      <c r="C2818" t="n">
        <v>0</v>
      </c>
      <c r="D2818" t="n">
        <v>4</v>
      </c>
      <c r="E2818" t="s">
        <v>2818</v>
      </c>
      <c r="F2818" t="s"/>
      <c r="G2818" t="s"/>
      <c r="H2818" t="s"/>
      <c r="I2818" t="s"/>
      <c r="J2818" t="n">
        <v>0</v>
      </c>
      <c r="K2818" t="n">
        <v>0</v>
      </c>
      <c r="L2818" t="n">
        <v>1</v>
      </c>
      <c r="M2818" t="n">
        <v>0</v>
      </c>
    </row>
    <row r="2819" spans="1:13">
      <c r="A2819" s="1">
        <f>HYPERLINK("http://www.twitter.com/NathanBLawrence/status/984582043433623552", "984582043433623552")</f>
        <v/>
      </c>
      <c r="B2819" s="2" t="n">
        <v>43203.00030092592</v>
      </c>
      <c r="C2819" t="n">
        <v>0</v>
      </c>
      <c r="D2819" t="n">
        <v>4</v>
      </c>
      <c r="E2819" t="s">
        <v>2819</v>
      </c>
      <c r="F2819" t="s"/>
      <c r="G2819" t="s"/>
      <c r="H2819" t="s"/>
      <c r="I2819" t="s"/>
      <c r="J2819" t="n">
        <v>0</v>
      </c>
      <c r="K2819" t="n">
        <v>0</v>
      </c>
      <c r="L2819" t="n">
        <v>1</v>
      </c>
      <c r="M2819" t="n">
        <v>0</v>
      </c>
    </row>
    <row r="2820" spans="1:13">
      <c r="A2820" s="1">
        <f>HYPERLINK("http://www.twitter.com/NathanBLawrence/status/984564853938548738", "984564853938548738")</f>
        <v/>
      </c>
      <c r="B2820" s="2" t="n">
        <v>43202.95287037037</v>
      </c>
      <c r="C2820" t="n">
        <v>0</v>
      </c>
      <c r="D2820" t="n">
        <v>7</v>
      </c>
      <c r="E2820" t="s">
        <v>2820</v>
      </c>
      <c r="F2820" t="s"/>
      <c r="G2820" t="s"/>
      <c r="H2820" t="s"/>
      <c r="I2820" t="s"/>
      <c r="J2820" t="n">
        <v>-0.5106000000000001</v>
      </c>
      <c r="K2820" t="n">
        <v>0.178</v>
      </c>
      <c r="L2820" t="n">
        <v>0.772</v>
      </c>
      <c r="M2820" t="n">
        <v>0.05</v>
      </c>
    </row>
    <row r="2821" spans="1:13">
      <c r="A2821" s="1">
        <f>HYPERLINK("http://www.twitter.com/NathanBLawrence/status/984564727241158656", "984564727241158656")</f>
        <v/>
      </c>
      <c r="B2821" s="2" t="n">
        <v>43202.95251157408</v>
      </c>
      <c r="C2821" t="n">
        <v>0</v>
      </c>
      <c r="D2821" t="n">
        <v>4</v>
      </c>
      <c r="E2821" t="s">
        <v>2821</v>
      </c>
      <c r="F2821" t="s"/>
      <c r="G2821" t="s"/>
      <c r="H2821" t="s"/>
      <c r="I2821" t="s"/>
      <c r="J2821" t="n">
        <v>0</v>
      </c>
      <c r="K2821" t="n">
        <v>0</v>
      </c>
      <c r="L2821" t="n">
        <v>1</v>
      </c>
      <c r="M2821" t="n">
        <v>0</v>
      </c>
    </row>
    <row r="2822" spans="1:13">
      <c r="A2822" s="1">
        <f>HYPERLINK("http://www.twitter.com/NathanBLawrence/status/984564188604485632", "984564188604485632")</f>
        <v/>
      </c>
      <c r="B2822" s="2" t="n">
        <v>43202.95103009259</v>
      </c>
      <c r="C2822" t="n">
        <v>2</v>
      </c>
      <c r="D2822" t="n">
        <v>0</v>
      </c>
      <c r="E2822" t="s">
        <v>2822</v>
      </c>
      <c r="F2822">
        <f>HYPERLINK("http://pbs.twimg.com/media/Danf6EzVwAAYSoJ.jpg", "http://pbs.twimg.com/media/Danf6EzVwAAYSoJ.jpg")</f>
        <v/>
      </c>
      <c r="G2822" t="s"/>
      <c r="H2822" t="s"/>
      <c r="I2822" t="s"/>
      <c r="J2822" t="n">
        <v>0.0516</v>
      </c>
      <c r="K2822" t="n">
        <v>0.052</v>
      </c>
      <c r="L2822" t="n">
        <v>0.892</v>
      </c>
      <c r="M2822" t="n">
        <v>0.056</v>
      </c>
    </row>
    <row r="2823" spans="1:13">
      <c r="A2823" s="1">
        <f>HYPERLINK("http://www.twitter.com/NathanBLawrence/status/984562513936375808", "984562513936375808")</f>
        <v/>
      </c>
      <c r="B2823" s="2" t="n">
        <v>43202.94641203704</v>
      </c>
      <c r="C2823" t="n">
        <v>0</v>
      </c>
      <c r="D2823" t="n">
        <v>0</v>
      </c>
      <c r="E2823" t="s">
        <v>2823</v>
      </c>
      <c r="F2823" t="s"/>
      <c r="G2823" t="s"/>
      <c r="H2823" t="s"/>
      <c r="I2823" t="s"/>
      <c r="J2823" t="n">
        <v>0</v>
      </c>
      <c r="K2823" t="n">
        <v>0</v>
      </c>
      <c r="L2823" t="n">
        <v>1</v>
      </c>
      <c r="M2823" t="n">
        <v>0</v>
      </c>
    </row>
    <row r="2824" spans="1:13">
      <c r="A2824" s="1">
        <f>HYPERLINK("http://www.twitter.com/NathanBLawrence/status/984562270226272256", "984562270226272256")</f>
        <v/>
      </c>
      <c r="B2824" s="2" t="n">
        <v>43202.94574074074</v>
      </c>
      <c r="C2824" t="n">
        <v>0</v>
      </c>
      <c r="D2824" t="n">
        <v>6</v>
      </c>
      <c r="E2824" t="s">
        <v>2824</v>
      </c>
      <c r="F2824" t="s"/>
      <c r="G2824" t="s"/>
      <c r="H2824" t="s"/>
      <c r="I2824" t="s"/>
      <c r="J2824" t="n">
        <v>0.0516</v>
      </c>
      <c r="K2824" t="n">
        <v>0.066</v>
      </c>
      <c r="L2824" t="n">
        <v>0.859</v>
      </c>
      <c r="M2824" t="n">
        <v>0.076</v>
      </c>
    </row>
    <row r="2825" spans="1:13">
      <c r="A2825" s="1">
        <f>HYPERLINK("http://www.twitter.com/NathanBLawrence/status/984561609858220033", "984561609858220033")</f>
        <v/>
      </c>
      <c r="B2825" s="2" t="n">
        <v>43202.94391203704</v>
      </c>
      <c r="C2825" t="n">
        <v>0</v>
      </c>
      <c r="D2825" t="n">
        <v>1</v>
      </c>
      <c r="E2825" t="s">
        <v>2825</v>
      </c>
      <c r="F2825" t="s"/>
      <c r="G2825" t="s"/>
      <c r="H2825" t="s"/>
      <c r="I2825" t="s"/>
      <c r="J2825" t="n">
        <v>0</v>
      </c>
      <c r="K2825" t="n">
        <v>0</v>
      </c>
      <c r="L2825" t="n">
        <v>1</v>
      </c>
      <c r="M2825" t="n">
        <v>0</v>
      </c>
    </row>
    <row r="2826" spans="1:13">
      <c r="A2826" s="1">
        <f>HYPERLINK("http://www.twitter.com/NathanBLawrence/status/984561306173878273", "984561306173878273")</f>
        <v/>
      </c>
      <c r="B2826" s="2" t="n">
        <v>43202.94307870371</v>
      </c>
      <c r="C2826" t="n">
        <v>0</v>
      </c>
      <c r="D2826" t="n">
        <v>3</v>
      </c>
      <c r="E2826" t="s">
        <v>2826</v>
      </c>
      <c r="F2826" t="s"/>
      <c r="G2826" t="s"/>
      <c r="H2826" t="s"/>
      <c r="I2826" t="s"/>
      <c r="J2826" t="n">
        <v>-0.5067</v>
      </c>
      <c r="K2826" t="n">
        <v>0.125</v>
      </c>
      <c r="L2826" t="n">
        <v>0.875</v>
      </c>
      <c r="M2826" t="n">
        <v>0</v>
      </c>
    </row>
    <row r="2827" spans="1:13">
      <c r="A2827" s="1">
        <f>HYPERLINK("http://www.twitter.com/NathanBLawrence/status/984561121754566656", "984561121754566656")</f>
        <v/>
      </c>
      <c r="B2827" s="2" t="n">
        <v>43202.94256944444</v>
      </c>
      <c r="C2827" t="n">
        <v>0</v>
      </c>
      <c r="D2827" t="n">
        <v>1</v>
      </c>
      <c r="E2827" t="s">
        <v>2827</v>
      </c>
      <c r="F2827" t="s"/>
      <c r="G2827" t="s"/>
      <c r="H2827" t="s"/>
      <c r="I2827" t="s"/>
      <c r="J2827" t="n">
        <v>0</v>
      </c>
      <c r="K2827" t="n">
        <v>0.083</v>
      </c>
      <c r="L2827" t="n">
        <v>0.833</v>
      </c>
      <c r="M2827" t="n">
        <v>0.083</v>
      </c>
    </row>
    <row r="2828" spans="1:13">
      <c r="A2828" s="1">
        <f>HYPERLINK("http://www.twitter.com/NathanBLawrence/status/984559356237766661", "984559356237766661")</f>
        <v/>
      </c>
      <c r="B2828" s="2" t="n">
        <v>43202.93769675926</v>
      </c>
      <c r="C2828" t="n">
        <v>0</v>
      </c>
      <c r="D2828" t="n">
        <v>2</v>
      </c>
      <c r="E2828" t="s">
        <v>2828</v>
      </c>
      <c r="F2828" t="s"/>
      <c r="G2828" t="s"/>
      <c r="H2828" t="s"/>
      <c r="I2828" t="s"/>
      <c r="J2828" t="n">
        <v>-0.1027</v>
      </c>
      <c r="K2828" t="n">
        <v>0.117</v>
      </c>
      <c r="L2828" t="n">
        <v>0.78</v>
      </c>
      <c r="M2828" t="n">
        <v>0.103</v>
      </c>
    </row>
    <row r="2829" spans="1:13">
      <c r="A2829" s="1">
        <f>HYPERLINK("http://www.twitter.com/NathanBLawrence/status/984559303888719872", "984559303888719872")</f>
        <v/>
      </c>
      <c r="B2829" s="2" t="n">
        <v>43202.9375462963</v>
      </c>
      <c r="C2829" t="n">
        <v>0</v>
      </c>
      <c r="D2829" t="n">
        <v>0</v>
      </c>
      <c r="E2829" t="s">
        <v>2829</v>
      </c>
      <c r="F2829">
        <f>HYPERLINK("http://pbs.twimg.com/media/DanbdyOXkAYml0b.jpg", "http://pbs.twimg.com/media/DanbdyOXkAYml0b.jpg")</f>
        <v/>
      </c>
      <c r="G2829" t="s"/>
      <c r="H2829" t="s"/>
      <c r="I2829" t="s"/>
      <c r="J2829" t="n">
        <v>0</v>
      </c>
      <c r="K2829" t="n">
        <v>0</v>
      </c>
      <c r="L2829" t="n">
        <v>1</v>
      </c>
      <c r="M2829" t="n">
        <v>0</v>
      </c>
    </row>
    <row r="2830" spans="1:13">
      <c r="A2830" s="1">
        <f>HYPERLINK("http://www.twitter.com/NathanBLawrence/status/984559110686429184", "984559110686429184")</f>
        <v/>
      </c>
      <c r="B2830" s="2" t="n">
        <v>43202.93701388889</v>
      </c>
      <c r="C2830" t="n">
        <v>0</v>
      </c>
      <c r="D2830" t="n">
        <v>13</v>
      </c>
      <c r="E2830" t="s">
        <v>2830</v>
      </c>
      <c r="F2830">
        <f>HYPERLINK("http://pbs.twimg.com/media/DanWu-0UMAERk5P.jpg", "http://pbs.twimg.com/media/DanWu-0UMAERk5P.jpg")</f>
        <v/>
      </c>
      <c r="G2830">
        <f>HYPERLINK("http://pbs.twimg.com/media/DanWvA0UwAAqY92.jpg", "http://pbs.twimg.com/media/DanWvA0UwAAqY92.jpg")</f>
        <v/>
      </c>
      <c r="H2830" t="s"/>
      <c r="I2830" t="s"/>
      <c r="J2830" t="n">
        <v>-0.2732</v>
      </c>
      <c r="K2830" t="n">
        <v>0.118</v>
      </c>
      <c r="L2830" t="n">
        <v>0.8139999999999999</v>
      </c>
      <c r="M2830" t="n">
        <v>0.068</v>
      </c>
    </row>
    <row r="2831" spans="1:13">
      <c r="A2831" s="1">
        <f>HYPERLINK("http://www.twitter.com/NathanBLawrence/status/984559063588622337", "984559063588622337")</f>
        <v/>
      </c>
      <c r="B2831" s="2" t="n">
        <v>43202.93688657408</v>
      </c>
      <c r="C2831" t="n">
        <v>2</v>
      </c>
      <c r="D2831" t="n">
        <v>0</v>
      </c>
      <c r="E2831" t="s">
        <v>2831</v>
      </c>
      <c r="F2831" t="s"/>
      <c r="G2831" t="s"/>
      <c r="H2831" t="s"/>
      <c r="I2831" t="s"/>
      <c r="J2831" t="n">
        <v>-0.3182</v>
      </c>
      <c r="K2831" t="n">
        <v>0.236</v>
      </c>
      <c r="L2831" t="n">
        <v>0.64</v>
      </c>
      <c r="M2831" t="n">
        <v>0.123</v>
      </c>
    </row>
    <row r="2832" spans="1:13">
      <c r="A2832" s="1">
        <f>HYPERLINK("http://www.twitter.com/NathanBLawrence/status/984558216163086336", "984558216163086336")</f>
        <v/>
      </c>
      <c r="B2832" s="2" t="n">
        <v>43202.93454861111</v>
      </c>
      <c r="C2832" t="n">
        <v>0</v>
      </c>
      <c r="D2832" t="n">
        <v>2</v>
      </c>
      <c r="E2832" t="s">
        <v>2832</v>
      </c>
      <c r="F2832" t="s"/>
      <c r="G2832" t="s"/>
      <c r="H2832" t="s"/>
      <c r="I2832" t="s"/>
      <c r="J2832" t="n">
        <v>0.1406</v>
      </c>
      <c r="K2832" t="n">
        <v>0</v>
      </c>
      <c r="L2832" t="n">
        <v>0.925</v>
      </c>
      <c r="M2832" t="n">
        <v>0.075</v>
      </c>
    </row>
    <row r="2833" spans="1:13">
      <c r="A2833" s="1">
        <f>HYPERLINK("http://www.twitter.com/NathanBLawrence/status/984557376014618626", "984557376014618626")</f>
        <v/>
      </c>
      <c r="B2833" s="2" t="n">
        <v>43202.93223379629</v>
      </c>
      <c r="C2833" t="n">
        <v>2</v>
      </c>
      <c r="D2833" t="n">
        <v>1</v>
      </c>
      <c r="E2833" t="s">
        <v>2833</v>
      </c>
      <c r="F2833" t="s"/>
      <c r="G2833" t="s"/>
      <c r="H2833" t="s"/>
      <c r="I2833" t="s"/>
      <c r="J2833" t="n">
        <v>0.5574</v>
      </c>
      <c r="K2833" t="n">
        <v>0</v>
      </c>
      <c r="L2833" t="n">
        <v>0.714</v>
      </c>
      <c r="M2833" t="n">
        <v>0.286</v>
      </c>
    </row>
    <row r="2834" spans="1:13">
      <c r="A2834" s="1">
        <f>HYPERLINK("http://www.twitter.com/NathanBLawrence/status/984556915077386241", "984556915077386241")</f>
        <v/>
      </c>
      <c r="B2834" s="2" t="n">
        <v>43202.93096064815</v>
      </c>
      <c r="C2834" t="n">
        <v>4</v>
      </c>
      <c r="D2834" t="n">
        <v>5</v>
      </c>
      <c r="E2834" t="s">
        <v>2834</v>
      </c>
      <c r="F2834">
        <f>HYPERLINK("http://pbs.twimg.com/media/DanZQRRU8AADYQL.jpg", "http://pbs.twimg.com/media/DanZQRRU8AADYQL.jpg")</f>
        <v/>
      </c>
      <c r="G2834" t="s"/>
      <c r="H2834" t="s"/>
      <c r="I2834" t="s"/>
      <c r="J2834" t="n">
        <v>0</v>
      </c>
      <c r="K2834" t="n">
        <v>0</v>
      </c>
      <c r="L2834" t="n">
        <v>1</v>
      </c>
      <c r="M2834" t="n">
        <v>0</v>
      </c>
    </row>
    <row r="2835" spans="1:13">
      <c r="A2835" s="1">
        <f>HYPERLINK("http://www.twitter.com/NathanBLawrence/status/984555681872338949", "984555681872338949")</f>
        <v/>
      </c>
      <c r="B2835" s="2" t="n">
        <v>43202.92755787037</v>
      </c>
      <c r="C2835" t="n">
        <v>1</v>
      </c>
      <c r="D2835" t="n">
        <v>1</v>
      </c>
      <c r="E2835" t="s">
        <v>2835</v>
      </c>
      <c r="F2835" t="s"/>
      <c r="G2835" t="s"/>
      <c r="H2835" t="s"/>
      <c r="I2835" t="s"/>
      <c r="J2835" t="n">
        <v>0</v>
      </c>
      <c r="K2835" t="n">
        <v>0</v>
      </c>
      <c r="L2835" t="n">
        <v>1</v>
      </c>
      <c r="M2835" t="n">
        <v>0</v>
      </c>
    </row>
    <row r="2836" spans="1:13">
      <c r="A2836" s="1">
        <f>HYPERLINK("http://www.twitter.com/NathanBLawrence/status/984555519477198849", "984555519477198849")</f>
        <v/>
      </c>
      <c r="B2836" s="2" t="n">
        <v>43202.92710648148</v>
      </c>
      <c r="C2836" t="n">
        <v>0</v>
      </c>
      <c r="D2836" t="n">
        <v>14</v>
      </c>
      <c r="E2836" t="s">
        <v>2836</v>
      </c>
      <c r="F2836" t="s"/>
      <c r="G2836" t="s"/>
      <c r="H2836" t="s"/>
      <c r="I2836" t="s"/>
      <c r="J2836" t="n">
        <v>0</v>
      </c>
      <c r="K2836" t="n">
        <v>0</v>
      </c>
      <c r="L2836" t="n">
        <v>1</v>
      </c>
      <c r="M2836" t="n">
        <v>0</v>
      </c>
    </row>
    <row r="2837" spans="1:13">
      <c r="A2837" s="1">
        <f>HYPERLINK("http://www.twitter.com/NathanBLawrence/status/984555380763189249", "984555380763189249")</f>
        <v/>
      </c>
      <c r="B2837" s="2" t="n">
        <v>43202.92672453704</v>
      </c>
      <c r="C2837" t="n">
        <v>15</v>
      </c>
      <c r="D2837" t="n">
        <v>8</v>
      </c>
      <c r="E2837" t="s">
        <v>2837</v>
      </c>
      <c r="F2837">
        <f>HYPERLINK("http://pbs.twimg.com/media/DanX5OnU8AAka2m.jpg", "http://pbs.twimg.com/media/DanX5OnU8AAka2m.jpg")</f>
        <v/>
      </c>
      <c r="G2837" t="s"/>
      <c r="H2837" t="s"/>
      <c r="I2837" t="s"/>
      <c r="J2837" t="n">
        <v>-0.4144</v>
      </c>
      <c r="K2837" t="n">
        <v>0.217</v>
      </c>
      <c r="L2837" t="n">
        <v>0.783</v>
      </c>
      <c r="M2837" t="n">
        <v>0</v>
      </c>
    </row>
    <row r="2838" spans="1:13">
      <c r="A2838" s="1">
        <f>HYPERLINK("http://www.twitter.com/NathanBLawrence/status/984552584299122690", "984552584299122690")</f>
        <v/>
      </c>
      <c r="B2838" s="2" t="n">
        <v>43202.91900462963</v>
      </c>
      <c r="C2838" t="n">
        <v>3</v>
      </c>
      <c r="D2838" t="n">
        <v>2</v>
      </c>
      <c r="E2838" t="s">
        <v>2838</v>
      </c>
      <c r="F2838">
        <f>HYPERLINK("http://pbs.twimg.com/media/DanVWbmVMAAYXrL.jpg", "http://pbs.twimg.com/media/DanVWbmVMAAYXrL.jpg")</f>
        <v/>
      </c>
      <c r="G2838" t="s"/>
      <c r="H2838" t="s"/>
      <c r="I2838" t="s"/>
      <c r="J2838" t="n">
        <v>0</v>
      </c>
      <c r="K2838" t="n">
        <v>0</v>
      </c>
      <c r="L2838" t="n">
        <v>1</v>
      </c>
      <c r="M2838" t="n">
        <v>0</v>
      </c>
    </row>
    <row r="2839" spans="1:13">
      <c r="A2839" s="1">
        <f>HYPERLINK("http://www.twitter.com/NathanBLawrence/status/984551902988914688", "984551902988914688")</f>
        <v/>
      </c>
      <c r="B2839" s="2" t="n">
        <v>43202.91712962963</v>
      </c>
      <c r="C2839" t="n">
        <v>8</v>
      </c>
      <c r="D2839" t="n">
        <v>2</v>
      </c>
      <c r="E2839" t="s">
        <v>2839</v>
      </c>
      <c r="F2839" t="s"/>
      <c r="G2839" t="s"/>
      <c r="H2839" t="s"/>
      <c r="I2839" t="s"/>
      <c r="J2839" t="n">
        <v>0.0772</v>
      </c>
      <c r="K2839" t="n">
        <v>0</v>
      </c>
      <c r="L2839" t="n">
        <v>0.954</v>
      </c>
      <c r="M2839" t="n">
        <v>0.046</v>
      </c>
    </row>
    <row r="2840" spans="1:13">
      <c r="A2840" s="1">
        <f>HYPERLINK("http://www.twitter.com/NathanBLawrence/status/984551161201156098", "984551161201156098")</f>
        <v/>
      </c>
      <c r="B2840" s="2" t="n">
        <v>43202.91508101852</v>
      </c>
      <c r="C2840" t="n">
        <v>2</v>
      </c>
      <c r="D2840" t="n">
        <v>0</v>
      </c>
      <c r="E2840" t="s">
        <v>2840</v>
      </c>
      <c r="F2840" t="s"/>
      <c r="G2840" t="s"/>
      <c r="H2840" t="s"/>
      <c r="I2840" t="s"/>
      <c r="J2840" t="n">
        <v>0</v>
      </c>
      <c r="K2840" t="n">
        <v>0</v>
      </c>
      <c r="L2840" t="n">
        <v>1</v>
      </c>
      <c r="M2840" t="n">
        <v>0</v>
      </c>
    </row>
    <row r="2841" spans="1:13">
      <c r="A2841" s="1">
        <f>HYPERLINK("http://www.twitter.com/NathanBLawrence/status/984550818274791427", "984550818274791427")</f>
        <v/>
      </c>
      <c r="B2841" s="2" t="n">
        <v>43202.91413194445</v>
      </c>
      <c r="C2841" t="n">
        <v>0</v>
      </c>
      <c r="D2841" t="n">
        <v>23</v>
      </c>
      <c r="E2841" t="s">
        <v>2841</v>
      </c>
      <c r="F2841" t="s"/>
      <c r="G2841" t="s"/>
      <c r="H2841" t="s"/>
      <c r="I2841" t="s"/>
      <c r="J2841" t="n">
        <v>0</v>
      </c>
      <c r="K2841" t="n">
        <v>0.132</v>
      </c>
      <c r="L2841" t="n">
        <v>0.736</v>
      </c>
      <c r="M2841" t="n">
        <v>0.132</v>
      </c>
    </row>
    <row r="2842" spans="1:13">
      <c r="A2842" s="1">
        <f>HYPERLINK("http://www.twitter.com/NathanBLawrence/status/984550335585902592", "984550335585902592")</f>
        <v/>
      </c>
      <c r="B2842" s="2" t="n">
        <v>43202.91280092593</v>
      </c>
      <c r="C2842" t="n">
        <v>6</v>
      </c>
      <c r="D2842" t="n">
        <v>4</v>
      </c>
      <c r="E2842" t="s">
        <v>2842</v>
      </c>
      <c r="F2842">
        <f>HYPERLINK("http://pbs.twimg.com/media/DanTTs0XkAEWTsC.jpg", "http://pbs.twimg.com/media/DanTTs0XkAEWTsC.jpg")</f>
        <v/>
      </c>
      <c r="G2842" t="s"/>
      <c r="H2842" t="s"/>
      <c r="I2842" t="s"/>
      <c r="J2842" t="n">
        <v>-0.7825</v>
      </c>
      <c r="K2842" t="n">
        <v>0.366</v>
      </c>
      <c r="L2842" t="n">
        <v>0.469</v>
      </c>
      <c r="M2842" t="n">
        <v>0.165</v>
      </c>
    </row>
    <row r="2843" spans="1:13">
      <c r="A2843" s="1">
        <f>HYPERLINK("http://www.twitter.com/NathanBLawrence/status/984549218634301441", "984549218634301441")</f>
        <v/>
      </c>
      <c r="B2843" s="2" t="n">
        <v>43202.90972222222</v>
      </c>
      <c r="C2843" t="n">
        <v>0</v>
      </c>
      <c r="D2843" t="n">
        <v>0</v>
      </c>
      <c r="E2843" t="s">
        <v>2843</v>
      </c>
      <c r="F2843" t="s"/>
      <c r="G2843" t="s"/>
      <c r="H2843" t="s"/>
      <c r="I2843" t="s"/>
      <c r="J2843" t="n">
        <v>0</v>
      </c>
      <c r="K2843" t="n">
        <v>0</v>
      </c>
      <c r="L2843" t="n">
        <v>1</v>
      </c>
      <c r="M2843" t="n">
        <v>0</v>
      </c>
    </row>
    <row r="2844" spans="1:13">
      <c r="A2844" s="1">
        <f>HYPERLINK("http://www.twitter.com/NathanBLawrence/status/984547996468764672", "984547996468764672")</f>
        <v/>
      </c>
      <c r="B2844" s="2" t="n">
        <v>43202.90635416667</v>
      </c>
      <c r="C2844" t="n">
        <v>3</v>
      </c>
      <c r="D2844" t="n">
        <v>0</v>
      </c>
      <c r="E2844" t="s">
        <v>2844</v>
      </c>
      <c r="F2844" t="s"/>
      <c r="G2844" t="s"/>
      <c r="H2844" t="s"/>
      <c r="I2844" t="s"/>
      <c r="J2844" t="n">
        <v>0.25</v>
      </c>
      <c r="K2844" t="n">
        <v>0.153</v>
      </c>
      <c r="L2844" t="n">
        <v>0.625</v>
      </c>
      <c r="M2844" t="n">
        <v>0.222</v>
      </c>
    </row>
    <row r="2845" spans="1:13">
      <c r="A2845" s="1">
        <f>HYPERLINK("http://www.twitter.com/NathanBLawrence/status/984547475691397121", "984547475691397121")</f>
        <v/>
      </c>
      <c r="B2845" s="2" t="n">
        <v>43202.90490740741</v>
      </c>
      <c r="C2845" t="n">
        <v>0</v>
      </c>
      <c r="D2845" t="n">
        <v>15</v>
      </c>
      <c r="E2845" t="s">
        <v>2845</v>
      </c>
      <c r="F2845" t="s"/>
      <c r="G2845" t="s"/>
      <c r="H2845" t="s"/>
      <c r="I2845" t="s"/>
      <c r="J2845" t="n">
        <v>0</v>
      </c>
      <c r="K2845" t="n">
        <v>0</v>
      </c>
      <c r="L2845" t="n">
        <v>1</v>
      </c>
      <c r="M2845" t="n">
        <v>0</v>
      </c>
    </row>
    <row r="2846" spans="1:13">
      <c r="A2846" s="1">
        <f>HYPERLINK("http://www.twitter.com/NathanBLawrence/status/984544286933909504", "984544286933909504")</f>
        <v/>
      </c>
      <c r="B2846" s="2" t="n">
        <v>43202.89611111111</v>
      </c>
      <c r="C2846" t="n">
        <v>8</v>
      </c>
      <c r="D2846" t="n">
        <v>4</v>
      </c>
      <c r="E2846" t="s">
        <v>2846</v>
      </c>
      <c r="F2846" t="s"/>
      <c r="G2846" t="s"/>
      <c r="H2846" t="s"/>
      <c r="I2846" t="s"/>
      <c r="J2846" t="n">
        <v>0</v>
      </c>
      <c r="K2846" t="n">
        <v>0</v>
      </c>
      <c r="L2846" t="n">
        <v>1</v>
      </c>
      <c r="M2846" t="n">
        <v>0</v>
      </c>
    </row>
    <row r="2847" spans="1:13">
      <c r="A2847" s="1">
        <f>HYPERLINK("http://www.twitter.com/NathanBLawrence/status/984543673051426816", "984543673051426816")</f>
        <v/>
      </c>
      <c r="B2847" s="2" t="n">
        <v>43202.8944212963</v>
      </c>
      <c r="C2847" t="n">
        <v>3</v>
      </c>
      <c r="D2847" t="n">
        <v>1</v>
      </c>
      <c r="E2847" t="s">
        <v>2847</v>
      </c>
      <c r="F2847" t="s"/>
      <c r="G2847" t="s"/>
      <c r="H2847" t="s"/>
      <c r="I2847" t="s"/>
      <c r="J2847" t="n">
        <v>0</v>
      </c>
      <c r="K2847" t="n">
        <v>0</v>
      </c>
      <c r="L2847" t="n">
        <v>1</v>
      </c>
      <c r="M2847" t="n">
        <v>0</v>
      </c>
    </row>
    <row r="2848" spans="1:13">
      <c r="A2848" s="1">
        <f>HYPERLINK("http://www.twitter.com/NathanBLawrence/status/984542911084814337", "984542911084814337")</f>
        <v/>
      </c>
      <c r="B2848" s="2" t="n">
        <v>43202.89231481482</v>
      </c>
      <c r="C2848" t="n">
        <v>12</v>
      </c>
      <c r="D2848" t="n">
        <v>5</v>
      </c>
      <c r="E2848" t="s">
        <v>2848</v>
      </c>
      <c r="F2848">
        <f>HYPERLINK("http://pbs.twimg.com/media/DanMjcXVAAAOjG3.jpg", "http://pbs.twimg.com/media/DanMjcXVAAAOjG3.jpg")</f>
        <v/>
      </c>
      <c r="G2848" t="s"/>
      <c r="H2848" t="s"/>
      <c r="I2848" t="s"/>
      <c r="J2848" t="n">
        <v>0</v>
      </c>
      <c r="K2848" t="n">
        <v>0</v>
      </c>
      <c r="L2848" t="n">
        <v>1</v>
      </c>
      <c r="M2848" t="n">
        <v>0</v>
      </c>
    </row>
    <row r="2849" spans="1:13">
      <c r="A2849" s="1">
        <f>HYPERLINK("http://www.twitter.com/NathanBLawrence/status/984542762195447808", "984542762195447808")</f>
        <v/>
      </c>
      <c r="B2849" s="2" t="n">
        <v>43202.89190972222</v>
      </c>
      <c r="C2849" t="n">
        <v>43</v>
      </c>
      <c r="D2849" t="n">
        <v>7</v>
      </c>
      <c r="E2849" t="s">
        <v>2849</v>
      </c>
      <c r="F2849" t="s"/>
      <c r="G2849" t="s"/>
      <c r="H2849" t="s"/>
      <c r="I2849" t="s"/>
      <c r="J2849" t="n">
        <v>-0.7118</v>
      </c>
      <c r="K2849" t="n">
        <v>0.497</v>
      </c>
      <c r="L2849" t="n">
        <v>0.503</v>
      </c>
      <c r="M2849" t="n">
        <v>0</v>
      </c>
    </row>
    <row r="2850" spans="1:13">
      <c r="A2850" s="1">
        <f>HYPERLINK("http://www.twitter.com/NathanBLawrence/status/984542574647087104", "984542574647087104")</f>
        <v/>
      </c>
      <c r="B2850" s="2" t="n">
        <v>43202.89138888889</v>
      </c>
      <c r="C2850" t="n">
        <v>0</v>
      </c>
      <c r="D2850" t="n">
        <v>518</v>
      </c>
      <c r="E2850" t="s">
        <v>2850</v>
      </c>
      <c r="F2850">
        <f>HYPERLINK("http://pbs.twimg.com/media/DanKGFIVQAAiYde.jpg", "http://pbs.twimg.com/media/DanKGFIVQAAiYde.jpg")</f>
        <v/>
      </c>
      <c r="G2850" t="s"/>
      <c r="H2850" t="s"/>
      <c r="I2850" t="s"/>
      <c r="J2850" t="n">
        <v>-0.4019</v>
      </c>
      <c r="K2850" t="n">
        <v>0.163</v>
      </c>
      <c r="L2850" t="n">
        <v>0.837</v>
      </c>
      <c r="M2850" t="n">
        <v>0</v>
      </c>
    </row>
    <row r="2851" spans="1:13">
      <c r="A2851" s="1">
        <f>HYPERLINK("http://www.twitter.com/NathanBLawrence/status/984542288033525760", "984542288033525760")</f>
        <v/>
      </c>
      <c r="B2851" s="2" t="n">
        <v>43202.89060185185</v>
      </c>
      <c r="C2851" t="n">
        <v>0</v>
      </c>
      <c r="D2851" t="n">
        <v>14</v>
      </c>
      <c r="E2851" t="s">
        <v>2851</v>
      </c>
      <c r="F2851" t="s"/>
      <c r="G2851" t="s"/>
      <c r="H2851" t="s"/>
      <c r="I2851" t="s"/>
      <c r="J2851" t="n">
        <v>-0.2023</v>
      </c>
      <c r="K2851" t="n">
        <v>0.159</v>
      </c>
      <c r="L2851" t="n">
        <v>0.721</v>
      </c>
      <c r="M2851" t="n">
        <v>0.12</v>
      </c>
    </row>
    <row r="2852" spans="1:13">
      <c r="A2852" s="1">
        <f>HYPERLINK("http://www.twitter.com/NathanBLawrence/status/984541921908527110", "984541921908527110")</f>
        <v/>
      </c>
      <c r="B2852" s="2" t="n">
        <v>43202.88958333333</v>
      </c>
      <c r="C2852" t="n">
        <v>0</v>
      </c>
      <c r="D2852" t="n">
        <v>0</v>
      </c>
      <c r="E2852" t="s">
        <v>2852</v>
      </c>
      <c r="F2852" t="s"/>
      <c r="G2852" t="s"/>
      <c r="H2852" t="s"/>
      <c r="I2852" t="s"/>
      <c r="J2852" t="n">
        <v>0.2732</v>
      </c>
      <c r="K2852" t="n">
        <v>0.057</v>
      </c>
      <c r="L2852" t="n">
        <v>0.855</v>
      </c>
      <c r="M2852" t="n">
        <v>0.08799999999999999</v>
      </c>
    </row>
    <row r="2853" spans="1:13">
      <c r="A2853" s="1">
        <f>HYPERLINK("http://www.twitter.com/NathanBLawrence/status/984541105608904705", "984541105608904705")</f>
        <v/>
      </c>
      <c r="B2853" s="2" t="n">
        <v>43202.88733796297</v>
      </c>
      <c r="C2853" t="n">
        <v>6</v>
      </c>
      <c r="D2853" t="n">
        <v>3</v>
      </c>
      <c r="E2853" t="s">
        <v>2853</v>
      </c>
      <c r="F2853" t="s"/>
      <c r="G2853" t="s"/>
      <c r="H2853" t="s"/>
      <c r="I2853" t="s"/>
      <c r="J2853" t="n">
        <v>-0.1027</v>
      </c>
      <c r="K2853" t="n">
        <v>0.031</v>
      </c>
      <c r="L2853" t="n">
        <v>0.969</v>
      </c>
      <c r="M2853" t="n">
        <v>0</v>
      </c>
    </row>
    <row r="2854" spans="1:13">
      <c r="A2854" s="1">
        <f>HYPERLINK("http://www.twitter.com/NathanBLawrence/status/984539000777203712", "984539000777203712")</f>
        <v/>
      </c>
      <c r="B2854" s="2" t="n">
        <v>43202.88152777778</v>
      </c>
      <c r="C2854" t="n">
        <v>1</v>
      </c>
      <c r="D2854" t="n">
        <v>0</v>
      </c>
      <c r="E2854" t="s">
        <v>2854</v>
      </c>
      <c r="F2854" t="s"/>
      <c r="G2854" t="s"/>
      <c r="H2854" t="s"/>
      <c r="I2854" t="s"/>
      <c r="J2854" t="n">
        <v>-0.8655</v>
      </c>
      <c r="K2854" t="n">
        <v>0.257</v>
      </c>
      <c r="L2854" t="n">
        <v>0.743</v>
      </c>
      <c r="M2854" t="n">
        <v>0</v>
      </c>
    </row>
    <row r="2855" spans="1:13">
      <c r="A2855" s="1">
        <f>HYPERLINK("http://www.twitter.com/NathanBLawrence/status/984531063715368966", "984531063715368966")</f>
        <v/>
      </c>
      <c r="B2855" s="2" t="n">
        <v>43202.85961805555</v>
      </c>
      <c r="C2855" t="n">
        <v>5</v>
      </c>
      <c r="D2855" t="n">
        <v>4</v>
      </c>
      <c r="E2855" t="s">
        <v>2855</v>
      </c>
      <c r="F2855" t="s"/>
      <c r="G2855" t="s"/>
      <c r="H2855" t="s"/>
      <c r="I2855" t="s"/>
      <c r="J2855" t="n">
        <v>-0.1027</v>
      </c>
      <c r="K2855" t="n">
        <v>0.08</v>
      </c>
      <c r="L2855" t="n">
        <v>0.851</v>
      </c>
      <c r="M2855" t="n">
        <v>0.06900000000000001</v>
      </c>
    </row>
    <row r="2856" spans="1:13">
      <c r="A2856" s="1">
        <f>HYPERLINK("http://www.twitter.com/NathanBLawrence/status/984524343169429506", "984524343169429506")</f>
        <v/>
      </c>
      <c r="B2856" s="2" t="n">
        <v>43202.84107638889</v>
      </c>
      <c r="C2856" t="n">
        <v>3</v>
      </c>
      <c r="D2856" t="n">
        <v>2</v>
      </c>
      <c r="E2856" t="s">
        <v>2856</v>
      </c>
      <c r="F2856" t="s"/>
      <c r="G2856" t="s"/>
      <c r="H2856" t="s"/>
      <c r="I2856" t="s"/>
      <c r="J2856" t="n">
        <v>-0.8658</v>
      </c>
      <c r="K2856" t="n">
        <v>0.476</v>
      </c>
      <c r="L2856" t="n">
        <v>0.414</v>
      </c>
      <c r="M2856" t="n">
        <v>0.11</v>
      </c>
    </row>
    <row r="2857" spans="1:13">
      <c r="A2857" s="1">
        <f>HYPERLINK("http://www.twitter.com/NathanBLawrence/status/984521772589633536", "984521772589633536")</f>
        <v/>
      </c>
      <c r="B2857" s="2" t="n">
        <v>43202.83398148148</v>
      </c>
      <c r="C2857" t="n">
        <v>0</v>
      </c>
      <c r="D2857" t="n">
        <v>0</v>
      </c>
      <c r="E2857" t="s">
        <v>2857</v>
      </c>
      <c r="F2857" t="s"/>
      <c r="G2857" t="s"/>
      <c r="H2857" t="s"/>
      <c r="I2857" t="s"/>
      <c r="J2857" t="n">
        <v>-0.8016</v>
      </c>
      <c r="K2857" t="n">
        <v>0.506</v>
      </c>
      <c r="L2857" t="n">
        <v>0.494</v>
      </c>
      <c r="M2857" t="n">
        <v>0</v>
      </c>
    </row>
    <row r="2858" spans="1:13">
      <c r="A2858" s="1">
        <f>HYPERLINK("http://www.twitter.com/NathanBLawrence/status/984519498232418305", "984519498232418305")</f>
        <v/>
      </c>
      <c r="B2858" s="2" t="n">
        <v>43202.82770833333</v>
      </c>
      <c r="C2858" t="n">
        <v>0</v>
      </c>
      <c r="D2858" t="n">
        <v>48</v>
      </c>
      <c r="E2858" t="s">
        <v>2858</v>
      </c>
      <c r="F2858">
        <f>HYPERLINK("http://pbs.twimg.com/media/DamZNw0WAAIm8Kv.jpg", "http://pbs.twimg.com/media/DamZNw0WAAIm8Kv.jpg")</f>
        <v/>
      </c>
      <c r="G2858" t="s"/>
      <c r="H2858" t="s"/>
      <c r="I2858" t="s"/>
      <c r="J2858" t="n">
        <v>-0.7717000000000001</v>
      </c>
      <c r="K2858" t="n">
        <v>0.325</v>
      </c>
      <c r="L2858" t="n">
        <v>0.675</v>
      </c>
      <c r="M2858" t="n">
        <v>0</v>
      </c>
    </row>
    <row r="2859" spans="1:13">
      <c r="A2859" s="1">
        <f>HYPERLINK("http://www.twitter.com/NathanBLawrence/status/984518118411325441", "984518118411325441")</f>
        <v/>
      </c>
      <c r="B2859" s="2" t="n">
        <v>43202.82390046296</v>
      </c>
      <c r="C2859" t="n">
        <v>9</v>
      </c>
      <c r="D2859" t="n">
        <v>9</v>
      </c>
      <c r="E2859" t="s">
        <v>2859</v>
      </c>
      <c r="F2859" t="s"/>
      <c r="G2859" t="s"/>
      <c r="H2859" t="s"/>
      <c r="I2859" t="s"/>
      <c r="J2859" t="n">
        <v>-0.1027</v>
      </c>
      <c r="K2859" t="n">
        <v>0.133</v>
      </c>
      <c r="L2859" t="n">
        <v>0.742</v>
      </c>
      <c r="M2859" t="n">
        <v>0.125</v>
      </c>
    </row>
    <row r="2860" spans="1:13">
      <c r="A2860" s="1">
        <f>HYPERLINK("http://www.twitter.com/NathanBLawrence/status/984517599684890624", "984517599684890624")</f>
        <v/>
      </c>
      <c r="B2860" s="2" t="n">
        <v>43202.82246527778</v>
      </c>
      <c r="C2860" t="n">
        <v>3</v>
      </c>
      <c r="D2860" t="n">
        <v>3</v>
      </c>
      <c r="E2860" t="s">
        <v>2860</v>
      </c>
      <c r="F2860" t="s"/>
      <c r="G2860" t="s"/>
      <c r="H2860" t="s"/>
      <c r="I2860" t="s"/>
      <c r="J2860" t="n">
        <v>-0.3612</v>
      </c>
      <c r="K2860" t="n">
        <v>0.079</v>
      </c>
      <c r="L2860" t="n">
        <v>0.869</v>
      </c>
      <c r="M2860" t="n">
        <v>0.052</v>
      </c>
    </row>
    <row r="2861" spans="1:13">
      <c r="A2861" s="1">
        <f>HYPERLINK("http://www.twitter.com/NathanBLawrence/status/984516649477750784", "984516649477750784")</f>
        <v/>
      </c>
      <c r="B2861" s="2" t="n">
        <v>43202.81984953704</v>
      </c>
      <c r="C2861" t="n">
        <v>0</v>
      </c>
      <c r="D2861" t="n">
        <v>2</v>
      </c>
      <c r="E2861" t="s">
        <v>2861</v>
      </c>
      <c r="F2861" t="s"/>
      <c r="G2861" t="s"/>
      <c r="H2861" t="s"/>
      <c r="I2861" t="s"/>
      <c r="J2861" t="n">
        <v>0.3612</v>
      </c>
      <c r="K2861" t="n">
        <v>0</v>
      </c>
      <c r="L2861" t="n">
        <v>0.828</v>
      </c>
      <c r="M2861" t="n">
        <v>0.172</v>
      </c>
    </row>
    <row r="2862" spans="1:13">
      <c r="A2862" s="1">
        <f>HYPERLINK("http://www.twitter.com/NathanBLawrence/status/984516101987020802", "984516101987020802")</f>
        <v/>
      </c>
      <c r="B2862" s="2" t="n">
        <v>43202.81833333334</v>
      </c>
      <c r="C2862" t="n">
        <v>0</v>
      </c>
      <c r="D2862" t="n">
        <v>0</v>
      </c>
      <c r="E2862" t="s">
        <v>2862</v>
      </c>
      <c r="F2862" t="s"/>
      <c r="G2862" t="s"/>
      <c r="H2862" t="s"/>
      <c r="I2862" t="s"/>
      <c r="J2862" t="n">
        <v>0.3612</v>
      </c>
      <c r="K2862" t="n">
        <v>0</v>
      </c>
      <c r="L2862" t="n">
        <v>0.878</v>
      </c>
      <c r="M2862" t="n">
        <v>0.122</v>
      </c>
    </row>
    <row r="2863" spans="1:13">
      <c r="A2863" s="1">
        <f>HYPERLINK("http://www.twitter.com/NathanBLawrence/status/984515105449799682", "984515105449799682")</f>
        <v/>
      </c>
      <c r="B2863" s="2" t="n">
        <v>43202.81559027778</v>
      </c>
      <c r="C2863" t="n">
        <v>1</v>
      </c>
      <c r="D2863" t="n">
        <v>0</v>
      </c>
      <c r="E2863" t="s">
        <v>2863</v>
      </c>
      <c r="F2863" t="s"/>
      <c r="G2863" t="s"/>
      <c r="H2863" t="s"/>
      <c r="I2863" t="s"/>
      <c r="J2863" t="n">
        <v>0.3612</v>
      </c>
      <c r="K2863" t="n">
        <v>0</v>
      </c>
      <c r="L2863" t="n">
        <v>0.945</v>
      </c>
      <c r="M2863" t="n">
        <v>0.055</v>
      </c>
    </row>
    <row r="2864" spans="1:13">
      <c r="A2864" s="1">
        <f>HYPERLINK("http://www.twitter.com/NathanBLawrence/status/984513323965263874", "984513323965263874")</f>
        <v/>
      </c>
      <c r="B2864" s="2" t="n">
        <v>43202.8106712963</v>
      </c>
      <c r="C2864" t="n">
        <v>0</v>
      </c>
      <c r="D2864" t="n">
        <v>9</v>
      </c>
      <c r="E2864" t="s">
        <v>2864</v>
      </c>
      <c r="F2864" t="s"/>
      <c r="G2864" t="s"/>
      <c r="H2864" t="s"/>
      <c r="I2864" t="s"/>
      <c r="J2864" t="n">
        <v>0</v>
      </c>
      <c r="K2864" t="n">
        <v>0</v>
      </c>
      <c r="L2864" t="n">
        <v>1</v>
      </c>
      <c r="M2864" t="n">
        <v>0</v>
      </c>
    </row>
    <row r="2865" spans="1:13">
      <c r="A2865" s="1">
        <f>HYPERLINK("http://www.twitter.com/NathanBLawrence/status/984512751614689280", "984512751614689280")</f>
        <v/>
      </c>
      <c r="B2865" s="2" t="n">
        <v>43202.80909722222</v>
      </c>
      <c r="C2865" t="n">
        <v>0</v>
      </c>
      <c r="D2865" t="n">
        <v>0</v>
      </c>
      <c r="E2865" t="s">
        <v>2865</v>
      </c>
      <c r="F2865" t="s"/>
      <c r="G2865" t="s"/>
      <c r="H2865" t="s"/>
      <c r="I2865" t="s"/>
      <c r="J2865" t="n">
        <v>0.6808</v>
      </c>
      <c r="K2865" t="n">
        <v>0.06900000000000001</v>
      </c>
      <c r="L2865" t="n">
        <v>0.657</v>
      </c>
      <c r="M2865" t="n">
        <v>0.274</v>
      </c>
    </row>
    <row r="2866" spans="1:13">
      <c r="A2866" s="1">
        <f>HYPERLINK("http://www.twitter.com/NathanBLawrence/status/984511621421674496", "984511621421674496")</f>
        <v/>
      </c>
      <c r="B2866" s="2" t="n">
        <v>43202.80597222222</v>
      </c>
      <c r="C2866" t="n">
        <v>0</v>
      </c>
      <c r="D2866" t="n">
        <v>0</v>
      </c>
      <c r="E2866" t="s">
        <v>2866</v>
      </c>
      <c r="F2866" t="s"/>
      <c r="G2866" t="s"/>
      <c r="H2866" t="s"/>
      <c r="I2866" t="s"/>
      <c r="J2866" t="n">
        <v>0.1531</v>
      </c>
      <c r="K2866" t="n">
        <v>0.096</v>
      </c>
      <c r="L2866" t="n">
        <v>0.783</v>
      </c>
      <c r="M2866" t="n">
        <v>0.122</v>
      </c>
    </row>
    <row r="2867" spans="1:13">
      <c r="A2867" s="1">
        <f>HYPERLINK("http://www.twitter.com/NathanBLawrence/status/984507962852020227", "984507962852020227")</f>
        <v/>
      </c>
      <c r="B2867" s="2" t="n">
        <v>43202.79587962963</v>
      </c>
      <c r="C2867" t="n">
        <v>0</v>
      </c>
      <c r="D2867" t="n">
        <v>7</v>
      </c>
      <c r="E2867" t="s">
        <v>2867</v>
      </c>
      <c r="F2867" t="s"/>
      <c r="G2867" t="s"/>
      <c r="H2867" t="s"/>
      <c r="I2867" t="s"/>
      <c r="J2867" t="n">
        <v>-0.5859</v>
      </c>
      <c r="K2867" t="n">
        <v>0.255</v>
      </c>
      <c r="L2867" t="n">
        <v>0.673</v>
      </c>
      <c r="M2867" t="n">
        <v>0.07199999999999999</v>
      </c>
    </row>
    <row r="2868" spans="1:13">
      <c r="A2868" s="1">
        <f>HYPERLINK("http://www.twitter.com/NathanBLawrence/status/984507763651997696", "984507763651997696")</f>
        <v/>
      </c>
      <c r="B2868" s="2" t="n">
        <v>43202.79532407408</v>
      </c>
      <c r="C2868" t="n">
        <v>0</v>
      </c>
      <c r="D2868" t="n">
        <v>0</v>
      </c>
      <c r="E2868" t="s">
        <v>2868</v>
      </c>
      <c r="F2868" t="s"/>
      <c r="G2868" t="s"/>
      <c r="H2868" t="s"/>
      <c r="I2868" t="s"/>
      <c r="J2868" t="n">
        <v>-0.2014</v>
      </c>
      <c r="K2868" t="n">
        <v>0.144</v>
      </c>
      <c r="L2868" t="n">
        <v>0.728</v>
      </c>
      <c r="M2868" t="n">
        <v>0.128</v>
      </c>
    </row>
    <row r="2869" spans="1:13">
      <c r="A2869" s="1">
        <f>HYPERLINK("http://www.twitter.com/NathanBLawrence/status/984506496762261504", "984506496762261504")</f>
        <v/>
      </c>
      <c r="B2869" s="2" t="n">
        <v>43202.7918287037</v>
      </c>
      <c r="C2869" t="n">
        <v>0</v>
      </c>
      <c r="D2869" t="n">
        <v>1</v>
      </c>
      <c r="E2869" t="s">
        <v>2869</v>
      </c>
      <c r="F2869" t="s"/>
      <c r="G2869" t="s"/>
      <c r="H2869" t="s"/>
      <c r="I2869" t="s"/>
      <c r="J2869" t="n">
        <v>-0.7762</v>
      </c>
      <c r="K2869" t="n">
        <v>0.275</v>
      </c>
      <c r="L2869" t="n">
        <v>0.646</v>
      </c>
      <c r="M2869" t="n">
        <v>0.079</v>
      </c>
    </row>
    <row r="2870" spans="1:13">
      <c r="A2870" s="1">
        <f>HYPERLINK("http://www.twitter.com/NathanBLawrence/status/984503917802336258", "984503917802336258")</f>
        <v/>
      </c>
      <c r="B2870" s="2" t="n">
        <v>43202.78471064815</v>
      </c>
      <c r="C2870" t="n">
        <v>0</v>
      </c>
      <c r="D2870" t="n">
        <v>1</v>
      </c>
      <c r="E2870" t="s">
        <v>2870</v>
      </c>
      <c r="F2870" t="s"/>
      <c r="G2870" t="s"/>
      <c r="H2870" t="s"/>
      <c r="I2870" t="s"/>
      <c r="J2870" t="n">
        <v>0</v>
      </c>
      <c r="K2870" t="n">
        <v>0</v>
      </c>
      <c r="L2870" t="n">
        <v>1</v>
      </c>
      <c r="M2870" t="n">
        <v>0</v>
      </c>
    </row>
    <row r="2871" spans="1:13">
      <c r="A2871" s="1">
        <f>HYPERLINK("http://www.twitter.com/NathanBLawrence/status/984503504038330368", "984503504038330368")</f>
        <v/>
      </c>
      <c r="B2871" s="2" t="n">
        <v>43202.78357638889</v>
      </c>
      <c r="C2871" t="n">
        <v>0</v>
      </c>
      <c r="D2871" t="n">
        <v>12</v>
      </c>
      <c r="E2871" t="s">
        <v>2871</v>
      </c>
      <c r="F2871">
        <f>HYPERLINK("http://pbs.twimg.com/media/DamT_h6VQAAz-Kj.jpg", "http://pbs.twimg.com/media/DamT_h6VQAAz-Kj.jpg")</f>
        <v/>
      </c>
      <c r="G2871" t="s"/>
      <c r="H2871" t="s"/>
      <c r="I2871" t="s"/>
      <c r="J2871" t="n">
        <v>-0.296</v>
      </c>
      <c r="K2871" t="n">
        <v>0.099</v>
      </c>
      <c r="L2871" t="n">
        <v>0.901</v>
      </c>
      <c r="M2871" t="n">
        <v>0</v>
      </c>
    </row>
    <row r="2872" spans="1:13">
      <c r="A2872" s="1">
        <f>HYPERLINK("http://www.twitter.com/NathanBLawrence/status/984503178484944902", "984503178484944902")</f>
        <v/>
      </c>
      <c r="B2872" s="2" t="n">
        <v>43202.78267361111</v>
      </c>
      <c r="C2872" t="n">
        <v>0</v>
      </c>
      <c r="D2872" t="n">
        <v>0</v>
      </c>
      <c r="E2872" t="s">
        <v>2872</v>
      </c>
      <c r="F2872" t="s"/>
      <c r="G2872" t="s"/>
      <c r="H2872" t="s"/>
      <c r="I2872" t="s"/>
      <c r="J2872" t="n">
        <v>0.7901</v>
      </c>
      <c r="K2872" t="n">
        <v>0.079</v>
      </c>
      <c r="L2872" t="n">
        <v>0.514</v>
      </c>
      <c r="M2872" t="n">
        <v>0.406</v>
      </c>
    </row>
    <row r="2873" spans="1:13">
      <c r="A2873" s="1">
        <f>HYPERLINK("http://www.twitter.com/NathanBLawrence/status/984468709363343363", "984468709363343363")</f>
        <v/>
      </c>
      <c r="B2873" s="2" t="n">
        <v>43202.68755787037</v>
      </c>
      <c r="C2873" t="n">
        <v>2</v>
      </c>
      <c r="D2873" t="n">
        <v>0</v>
      </c>
      <c r="E2873" t="s">
        <v>2873</v>
      </c>
      <c r="F2873" t="s"/>
      <c r="G2873" t="s"/>
      <c r="H2873" t="s"/>
      <c r="I2873" t="s"/>
      <c r="J2873" t="n">
        <v>0</v>
      </c>
      <c r="K2873" t="n">
        <v>0</v>
      </c>
      <c r="L2873" t="n">
        <v>1</v>
      </c>
      <c r="M2873" t="n">
        <v>0</v>
      </c>
    </row>
    <row r="2874" spans="1:13">
      <c r="A2874" s="1">
        <f>HYPERLINK("http://www.twitter.com/NathanBLawrence/status/984468349492097030", "984468349492097030")</f>
        <v/>
      </c>
      <c r="B2874" s="2" t="n">
        <v>43202.6865625</v>
      </c>
      <c r="C2874" t="n">
        <v>0</v>
      </c>
      <c r="D2874" t="n">
        <v>0</v>
      </c>
      <c r="E2874" t="s">
        <v>2874</v>
      </c>
      <c r="F2874" t="s"/>
      <c r="G2874" t="s"/>
      <c r="H2874" t="s"/>
      <c r="I2874" t="s"/>
      <c r="J2874" t="n">
        <v>0.4522</v>
      </c>
      <c r="K2874" t="n">
        <v>0</v>
      </c>
      <c r="L2874" t="n">
        <v>0.703</v>
      </c>
      <c r="M2874" t="n">
        <v>0.297</v>
      </c>
    </row>
    <row r="2875" spans="1:13">
      <c r="A2875" s="1">
        <f>HYPERLINK("http://www.twitter.com/NathanBLawrence/status/984467554155581440", "984467554155581440")</f>
        <v/>
      </c>
      <c r="B2875" s="2" t="n">
        <v>43202.684375</v>
      </c>
      <c r="C2875" t="n">
        <v>1</v>
      </c>
      <c r="D2875" t="n">
        <v>1</v>
      </c>
      <c r="E2875" t="s">
        <v>2875</v>
      </c>
      <c r="F2875" t="s"/>
      <c r="G2875" t="s"/>
      <c r="H2875" t="s"/>
      <c r="I2875" t="s"/>
      <c r="J2875" t="n">
        <v>0.3612</v>
      </c>
      <c r="K2875" t="n">
        <v>0</v>
      </c>
      <c r="L2875" t="n">
        <v>0.884</v>
      </c>
      <c r="M2875" t="n">
        <v>0.116</v>
      </c>
    </row>
    <row r="2876" spans="1:13">
      <c r="A2876" s="1">
        <f>HYPERLINK("http://www.twitter.com/NathanBLawrence/status/984465442415706112", "984465442415706112")</f>
        <v/>
      </c>
      <c r="B2876" s="2" t="n">
        <v>43202.67854166667</v>
      </c>
      <c r="C2876" t="n">
        <v>0</v>
      </c>
      <c r="D2876" t="n">
        <v>6</v>
      </c>
      <c r="E2876" t="s">
        <v>2876</v>
      </c>
      <c r="F2876" t="s"/>
      <c r="G2876" t="s"/>
      <c r="H2876" t="s"/>
      <c r="I2876" t="s"/>
      <c r="J2876" t="n">
        <v>-0.4678</v>
      </c>
      <c r="K2876" t="n">
        <v>0.164</v>
      </c>
      <c r="L2876" t="n">
        <v>0.792</v>
      </c>
      <c r="M2876" t="n">
        <v>0.044</v>
      </c>
    </row>
    <row r="2877" spans="1:13">
      <c r="A2877" s="1">
        <f>HYPERLINK("http://www.twitter.com/NathanBLawrence/status/984465353064566784", "984465353064566784")</f>
        <v/>
      </c>
      <c r="B2877" s="2" t="n">
        <v>43202.67829861111</v>
      </c>
      <c r="C2877" t="n">
        <v>3</v>
      </c>
      <c r="D2877" t="n">
        <v>0</v>
      </c>
      <c r="E2877" t="s">
        <v>2877</v>
      </c>
      <c r="F2877" t="s"/>
      <c r="G2877" t="s"/>
      <c r="H2877" t="s"/>
      <c r="I2877" t="s"/>
      <c r="J2877" t="n">
        <v>0.5106000000000001</v>
      </c>
      <c r="K2877" t="n">
        <v>0</v>
      </c>
      <c r="L2877" t="n">
        <v>0.732</v>
      </c>
      <c r="M2877" t="n">
        <v>0.268</v>
      </c>
    </row>
    <row r="2878" spans="1:13">
      <c r="A2878" s="1">
        <f>HYPERLINK("http://www.twitter.com/NathanBLawrence/status/984464817640689665", "984464817640689665")</f>
        <v/>
      </c>
      <c r="B2878" s="2" t="n">
        <v>43202.67681712963</v>
      </c>
      <c r="C2878" t="n">
        <v>0</v>
      </c>
      <c r="D2878" t="n">
        <v>2</v>
      </c>
      <c r="E2878" t="s">
        <v>2878</v>
      </c>
      <c r="F2878" t="s"/>
      <c r="G2878" t="s"/>
      <c r="H2878" t="s"/>
      <c r="I2878" t="s"/>
      <c r="J2878" t="n">
        <v>0</v>
      </c>
      <c r="K2878" t="n">
        <v>0</v>
      </c>
      <c r="L2878" t="n">
        <v>1</v>
      </c>
      <c r="M2878" t="n">
        <v>0</v>
      </c>
    </row>
    <row r="2879" spans="1:13">
      <c r="A2879" s="1">
        <f>HYPERLINK("http://www.twitter.com/NathanBLawrence/status/984464468288602113", "984464468288602113")</f>
        <v/>
      </c>
      <c r="B2879" s="2" t="n">
        <v>43202.67585648148</v>
      </c>
      <c r="C2879" t="n">
        <v>3</v>
      </c>
      <c r="D2879" t="n">
        <v>1</v>
      </c>
      <c r="E2879" t="s">
        <v>2879</v>
      </c>
      <c r="F2879" t="s"/>
      <c r="G2879" t="s"/>
      <c r="H2879" t="s"/>
      <c r="I2879" t="s"/>
      <c r="J2879" t="n">
        <v>0.4019</v>
      </c>
      <c r="K2879" t="n">
        <v>0</v>
      </c>
      <c r="L2879" t="n">
        <v>0.895</v>
      </c>
      <c r="M2879" t="n">
        <v>0.105</v>
      </c>
    </row>
    <row r="2880" spans="1:13">
      <c r="A2880" s="1">
        <f>HYPERLINK("http://www.twitter.com/NathanBLawrence/status/984463839709278208", "984463839709278208")</f>
        <v/>
      </c>
      <c r="B2880" s="2" t="n">
        <v>43202.67412037037</v>
      </c>
      <c r="C2880" t="n">
        <v>0</v>
      </c>
      <c r="D2880" t="n">
        <v>0</v>
      </c>
      <c r="E2880" t="s">
        <v>2880</v>
      </c>
      <c r="F2880" t="s"/>
      <c r="G2880" t="s"/>
      <c r="H2880" t="s"/>
      <c r="I2880" t="s"/>
      <c r="J2880" t="n">
        <v>0</v>
      </c>
      <c r="K2880" t="n">
        <v>0</v>
      </c>
      <c r="L2880" t="n">
        <v>1</v>
      </c>
      <c r="M2880" t="n">
        <v>0</v>
      </c>
    </row>
    <row r="2881" spans="1:13">
      <c r="A2881" s="1">
        <f>HYPERLINK("http://www.twitter.com/NathanBLawrence/status/984461567646425089", "984461567646425089")</f>
        <v/>
      </c>
      <c r="B2881" s="2" t="n">
        <v>43202.66784722222</v>
      </c>
      <c r="C2881" t="n">
        <v>0</v>
      </c>
      <c r="D2881" t="n">
        <v>3</v>
      </c>
      <c r="E2881" t="s">
        <v>2881</v>
      </c>
      <c r="F2881" t="s"/>
      <c r="G2881" t="s"/>
      <c r="H2881" t="s"/>
      <c r="I2881" t="s"/>
      <c r="J2881" t="n">
        <v>0</v>
      </c>
      <c r="K2881" t="n">
        <v>0</v>
      </c>
      <c r="L2881" t="n">
        <v>1</v>
      </c>
      <c r="M2881" t="n">
        <v>0</v>
      </c>
    </row>
    <row r="2882" spans="1:13">
      <c r="A2882" s="1">
        <f>HYPERLINK("http://www.twitter.com/NathanBLawrence/status/984461495256997899", "984461495256997899")</f>
        <v/>
      </c>
      <c r="B2882" s="2" t="n">
        <v>43202.66765046296</v>
      </c>
      <c r="C2882" t="n">
        <v>3</v>
      </c>
      <c r="D2882" t="n">
        <v>2</v>
      </c>
      <c r="E2882" t="s">
        <v>2882</v>
      </c>
      <c r="F2882" t="s"/>
      <c r="G2882" t="s"/>
      <c r="H2882" t="s"/>
      <c r="I2882" t="s"/>
      <c r="J2882" t="n">
        <v>0.0516</v>
      </c>
      <c r="K2882" t="n">
        <v>0.115</v>
      </c>
      <c r="L2882" t="n">
        <v>0.766</v>
      </c>
      <c r="M2882" t="n">
        <v>0.119</v>
      </c>
    </row>
    <row r="2883" spans="1:13">
      <c r="A2883" s="1">
        <f>HYPERLINK("http://www.twitter.com/NathanBLawrence/status/984459331432263682", "984459331432263682")</f>
        <v/>
      </c>
      <c r="B2883" s="2" t="n">
        <v>43202.66167824074</v>
      </c>
      <c r="C2883" t="n">
        <v>2</v>
      </c>
      <c r="D2883" t="n">
        <v>2</v>
      </c>
      <c r="E2883" t="s">
        <v>2883</v>
      </c>
      <c r="F2883" t="s"/>
      <c r="G2883" t="s"/>
      <c r="H2883" t="s"/>
      <c r="I2883" t="s"/>
      <c r="J2883" t="n">
        <v>0.0516</v>
      </c>
      <c r="K2883" t="n">
        <v>0.122</v>
      </c>
      <c r="L2883" t="n">
        <v>0.751</v>
      </c>
      <c r="M2883" t="n">
        <v>0.127</v>
      </c>
    </row>
    <row r="2884" spans="1:13">
      <c r="A2884" s="1">
        <f>HYPERLINK("http://www.twitter.com/NathanBLawrence/status/984458878275514368", "984458878275514368")</f>
        <v/>
      </c>
      <c r="B2884" s="2" t="n">
        <v>43202.66042824074</v>
      </c>
      <c r="C2884" t="n">
        <v>0</v>
      </c>
      <c r="D2884" t="n">
        <v>2</v>
      </c>
      <c r="E2884" t="s">
        <v>2884</v>
      </c>
      <c r="F2884" t="s"/>
      <c r="G2884" t="s"/>
      <c r="H2884" t="s"/>
      <c r="I2884" t="s"/>
      <c r="J2884" t="n">
        <v>0.0772</v>
      </c>
      <c r="K2884" t="n">
        <v>0</v>
      </c>
      <c r="L2884" t="n">
        <v>0.944</v>
      </c>
      <c r="M2884" t="n">
        <v>0.056</v>
      </c>
    </row>
    <row r="2885" spans="1:13">
      <c r="A2885" s="1">
        <f>HYPERLINK("http://www.twitter.com/NathanBLawrence/status/984458470140375043", "984458470140375043")</f>
        <v/>
      </c>
      <c r="B2885" s="2" t="n">
        <v>43202.65930555556</v>
      </c>
      <c r="C2885" t="n">
        <v>1</v>
      </c>
      <c r="D2885" t="n">
        <v>1</v>
      </c>
      <c r="E2885" t="s">
        <v>2885</v>
      </c>
      <c r="F2885" t="s"/>
      <c r="G2885" t="s"/>
      <c r="H2885" t="s"/>
      <c r="I2885" t="s"/>
      <c r="J2885" t="n">
        <v>0.0516</v>
      </c>
      <c r="K2885" t="n">
        <v>0.122</v>
      </c>
      <c r="L2885" t="n">
        <v>0.751</v>
      </c>
      <c r="M2885" t="n">
        <v>0.127</v>
      </c>
    </row>
    <row r="2886" spans="1:13">
      <c r="A2886" s="1">
        <f>HYPERLINK("http://www.twitter.com/NathanBLawrence/status/984458253638754306", "984458253638754306")</f>
        <v/>
      </c>
      <c r="B2886" s="2" t="n">
        <v>43202.6587037037</v>
      </c>
      <c r="C2886" t="n">
        <v>2</v>
      </c>
      <c r="D2886" t="n">
        <v>1</v>
      </c>
      <c r="E2886" t="s">
        <v>2885</v>
      </c>
      <c r="F2886" t="s"/>
      <c r="G2886" t="s"/>
      <c r="H2886" t="s"/>
      <c r="I2886" t="s"/>
      <c r="J2886" t="n">
        <v>0.0516</v>
      </c>
      <c r="K2886" t="n">
        <v>0.122</v>
      </c>
      <c r="L2886" t="n">
        <v>0.751</v>
      </c>
      <c r="M2886" t="n">
        <v>0.127</v>
      </c>
    </row>
    <row r="2887" spans="1:13">
      <c r="A2887" s="1">
        <f>HYPERLINK("http://www.twitter.com/NathanBLawrence/status/984454364080287744", "984454364080287744")</f>
        <v/>
      </c>
      <c r="B2887" s="2" t="n">
        <v>43202.64797453704</v>
      </c>
      <c r="C2887" t="n">
        <v>0</v>
      </c>
      <c r="D2887" t="n">
        <v>0</v>
      </c>
      <c r="E2887" t="s">
        <v>2886</v>
      </c>
      <c r="F2887" t="s"/>
      <c r="G2887" t="s"/>
      <c r="H2887" t="s"/>
      <c r="I2887" t="s"/>
      <c r="J2887" t="n">
        <v>0</v>
      </c>
      <c r="K2887" t="n">
        <v>0</v>
      </c>
      <c r="L2887" t="n">
        <v>1</v>
      </c>
      <c r="M2887" t="n">
        <v>0</v>
      </c>
    </row>
    <row r="2888" spans="1:13">
      <c r="A2888" s="1">
        <f>HYPERLINK("http://www.twitter.com/NathanBLawrence/status/984451797057196032", "984451797057196032")</f>
        <v/>
      </c>
      <c r="B2888" s="2" t="n">
        <v>43202.6408912037</v>
      </c>
      <c r="C2888" t="n">
        <v>8</v>
      </c>
      <c r="D2888" t="n">
        <v>3</v>
      </c>
      <c r="E2888" t="s">
        <v>2887</v>
      </c>
      <c r="F2888" t="s"/>
      <c r="G2888" t="s"/>
      <c r="H2888" t="s"/>
      <c r="I2888" t="s"/>
      <c r="J2888" t="n">
        <v>0.2732</v>
      </c>
      <c r="K2888" t="n">
        <v>0</v>
      </c>
      <c r="L2888" t="n">
        <v>0.877</v>
      </c>
      <c r="M2888" t="n">
        <v>0.123</v>
      </c>
    </row>
    <row r="2889" spans="1:13">
      <c r="A2889" s="1">
        <f>HYPERLINK("http://www.twitter.com/NathanBLawrence/status/984451306541772800", "984451306541772800")</f>
        <v/>
      </c>
      <c r="B2889" s="2" t="n">
        <v>43202.63953703704</v>
      </c>
      <c r="C2889" t="n">
        <v>0</v>
      </c>
      <c r="D2889" t="n">
        <v>5</v>
      </c>
      <c r="E2889" t="s">
        <v>2888</v>
      </c>
      <c r="F2889" t="s"/>
      <c r="G2889" t="s"/>
      <c r="H2889" t="s"/>
      <c r="I2889" t="s"/>
      <c r="J2889" t="n">
        <v>-0.5927</v>
      </c>
      <c r="K2889" t="n">
        <v>0.174</v>
      </c>
      <c r="L2889" t="n">
        <v>0.826</v>
      </c>
      <c r="M2889" t="n">
        <v>0</v>
      </c>
    </row>
    <row r="2890" spans="1:13">
      <c r="A2890" s="1">
        <f>HYPERLINK("http://www.twitter.com/NathanBLawrence/status/984447565893718016", "984447565893718016")</f>
        <v/>
      </c>
      <c r="B2890" s="2" t="n">
        <v>43202.62921296297</v>
      </c>
      <c r="C2890" t="n">
        <v>5</v>
      </c>
      <c r="D2890" t="n">
        <v>2</v>
      </c>
      <c r="E2890" t="s">
        <v>2889</v>
      </c>
      <c r="F2890" t="s"/>
      <c r="G2890" t="s"/>
      <c r="H2890" t="s"/>
      <c r="I2890" t="s"/>
      <c r="J2890" t="n">
        <v>0.6476</v>
      </c>
      <c r="K2890" t="n">
        <v>0</v>
      </c>
      <c r="L2890" t="n">
        <v>0.85</v>
      </c>
      <c r="M2890" t="n">
        <v>0.15</v>
      </c>
    </row>
    <row r="2891" spans="1:13">
      <c r="A2891" s="1">
        <f>HYPERLINK("http://www.twitter.com/NathanBLawrence/status/984446504600522752", "984446504600522752")</f>
        <v/>
      </c>
      <c r="B2891" s="2" t="n">
        <v>43202.62628472222</v>
      </c>
      <c r="C2891" t="n">
        <v>1</v>
      </c>
      <c r="D2891" t="n">
        <v>0</v>
      </c>
      <c r="E2891" t="s">
        <v>2890</v>
      </c>
      <c r="F2891" t="s"/>
      <c r="G2891" t="s"/>
      <c r="H2891" t="s"/>
      <c r="I2891" t="s"/>
      <c r="J2891" t="n">
        <v>-0.7096</v>
      </c>
      <c r="K2891" t="n">
        <v>0.219</v>
      </c>
      <c r="L2891" t="n">
        <v>0.781</v>
      </c>
      <c r="M2891" t="n">
        <v>0</v>
      </c>
    </row>
    <row r="2892" spans="1:13">
      <c r="A2892" s="1">
        <f>HYPERLINK("http://www.twitter.com/NathanBLawrence/status/984445937664909312", "984445937664909312")</f>
        <v/>
      </c>
      <c r="B2892" s="2" t="n">
        <v>43202.62472222222</v>
      </c>
      <c r="C2892" t="n">
        <v>0</v>
      </c>
      <c r="D2892" t="n">
        <v>3</v>
      </c>
      <c r="E2892" t="s">
        <v>2891</v>
      </c>
      <c r="F2892" t="s"/>
      <c r="G2892" t="s"/>
      <c r="H2892" t="s"/>
      <c r="I2892" t="s"/>
      <c r="J2892" t="n">
        <v>-0.5719</v>
      </c>
      <c r="K2892" t="n">
        <v>0.139</v>
      </c>
      <c r="L2892" t="n">
        <v>0.861</v>
      </c>
      <c r="M2892" t="n">
        <v>0</v>
      </c>
    </row>
    <row r="2893" spans="1:13">
      <c r="A2893" s="1">
        <f>HYPERLINK("http://www.twitter.com/NathanBLawrence/status/984443972323037185", "984443972323037185")</f>
        <v/>
      </c>
      <c r="B2893" s="2" t="n">
        <v>43202.61929398148</v>
      </c>
      <c r="C2893" t="n">
        <v>0</v>
      </c>
      <c r="D2893" t="n">
        <v>0</v>
      </c>
      <c r="E2893" t="s">
        <v>2892</v>
      </c>
      <c r="F2893" t="s"/>
      <c r="G2893" t="s"/>
      <c r="H2893" t="s"/>
      <c r="I2893" t="s"/>
      <c r="J2893" t="n">
        <v>-0.4939</v>
      </c>
      <c r="K2893" t="n">
        <v>0.168</v>
      </c>
      <c r="L2893" t="n">
        <v>0.769</v>
      </c>
      <c r="M2893" t="n">
        <v>0.062</v>
      </c>
    </row>
    <row r="2894" spans="1:13">
      <c r="A2894" s="1">
        <f>HYPERLINK("http://www.twitter.com/NathanBLawrence/status/984443585985744896", "984443585985744896")</f>
        <v/>
      </c>
      <c r="B2894" s="2" t="n">
        <v>43202.61822916667</v>
      </c>
      <c r="C2894" t="n">
        <v>0</v>
      </c>
      <c r="D2894" t="n">
        <v>4</v>
      </c>
      <c r="E2894" t="s">
        <v>2893</v>
      </c>
      <c r="F2894">
        <f>HYPERLINK("http://pbs.twimg.com/media/DalwsYPUwAEvZdG.jpg", "http://pbs.twimg.com/media/DalwsYPUwAEvZdG.jpg")</f>
        <v/>
      </c>
      <c r="G2894" t="s"/>
      <c r="H2894" t="s"/>
      <c r="I2894" t="s"/>
      <c r="J2894" t="n">
        <v>0.4404</v>
      </c>
      <c r="K2894" t="n">
        <v>0</v>
      </c>
      <c r="L2894" t="n">
        <v>0.879</v>
      </c>
      <c r="M2894" t="n">
        <v>0.121</v>
      </c>
    </row>
    <row r="2895" spans="1:13">
      <c r="A2895" s="1">
        <f>HYPERLINK("http://www.twitter.com/NathanBLawrence/status/984443386714382336", "984443386714382336")</f>
        <v/>
      </c>
      <c r="B2895" s="2" t="n">
        <v>43202.61768518519</v>
      </c>
      <c r="C2895" t="n">
        <v>3</v>
      </c>
      <c r="D2895" t="n">
        <v>0</v>
      </c>
      <c r="E2895" t="s">
        <v>2894</v>
      </c>
      <c r="F2895" t="s"/>
      <c r="G2895" t="s"/>
      <c r="H2895" t="s"/>
      <c r="I2895" t="s"/>
      <c r="J2895" t="n">
        <v>0</v>
      </c>
      <c r="K2895" t="n">
        <v>0</v>
      </c>
      <c r="L2895" t="n">
        <v>1</v>
      </c>
      <c r="M2895" t="n">
        <v>0</v>
      </c>
    </row>
    <row r="2896" spans="1:13">
      <c r="A2896" s="1">
        <f>HYPERLINK("http://www.twitter.com/NathanBLawrence/status/984441820414464001", "984441820414464001")</f>
        <v/>
      </c>
      <c r="B2896" s="2" t="n">
        <v>43202.61335648148</v>
      </c>
      <c r="C2896" t="n">
        <v>0</v>
      </c>
      <c r="D2896" t="n">
        <v>0</v>
      </c>
      <c r="E2896" t="s">
        <v>2895</v>
      </c>
      <c r="F2896" t="s"/>
      <c r="G2896" t="s"/>
      <c r="H2896" t="s"/>
      <c r="I2896" t="s"/>
      <c r="J2896" t="n">
        <v>-0.6369</v>
      </c>
      <c r="K2896" t="n">
        <v>0.302</v>
      </c>
      <c r="L2896" t="n">
        <v>0.5649999999999999</v>
      </c>
      <c r="M2896" t="n">
        <v>0.133</v>
      </c>
    </row>
    <row r="2897" spans="1:13">
      <c r="A2897" s="1">
        <f>HYPERLINK("http://www.twitter.com/NathanBLawrence/status/984441258457419776", "984441258457419776")</f>
        <v/>
      </c>
      <c r="B2897" s="2" t="n">
        <v>43202.61180555556</v>
      </c>
      <c r="C2897" t="n">
        <v>0</v>
      </c>
      <c r="D2897" t="n">
        <v>0</v>
      </c>
      <c r="E2897" t="s">
        <v>2896</v>
      </c>
      <c r="F2897" t="s"/>
      <c r="G2897" t="s"/>
      <c r="H2897" t="s"/>
      <c r="I2897" t="s"/>
      <c r="J2897" t="n">
        <v>0</v>
      </c>
      <c r="K2897" t="n">
        <v>0</v>
      </c>
      <c r="L2897" t="n">
        <v>1</v>
      </c>
      <c r="M2897" t="n">
        <v>0</v>
      </c>
    </row>
    <row r="2898" spans="1:13">
      <c r="A2898" s="1">
        <f>HYPERLINK("http://www.twitter.com/NathanBLawrence/status/984438071465738240", "984438071465738240")</f>
        <v/>
      </c>
      <c r="B2898" s="2" t="n">
        <v>43202.60300925926</v>
      </c>
      <c r="C2898" t="n">
        <v>0</v>
      </c>
      <c r="D2898" t="n">
        <v>0</v>
      </c>
      <c r="E2898" t="s">
        <v>2897</v>
      </c>
      <c r="F2898" t="s"/>
      <c r="G2898" t="s"/>
      <c r="H2898" t="s"/>
      <c r="I2898" t="s"/>
      <c r="J2898" t="n">
        <v>0.8016</v>
      </c>
      <c r="K2898" t="n">
        <v>0</v>
      </c>
      <c r="L2898" t="n">
        <v>0.791</v>
      </c>
      <c r="M2898" t="n">
        <v>0.209</v>
      </c>
    </row>
    <row r="2899" spans="1:13">
      <c r="A2899" s="1">
        <f>HYPERLINK("http://www.twitter.com/NathanBLawrence/status/984436638175637504", "984436638175637504")</f>
        <v/>
      </c>
      <c r="B2899" s="2" t="n">
        <v>43202.5990625</v>
      </c>
      <c r="C2899" t="n">
        <v>3</v>
      </c>
      <c r="D2899" t="n">
        <v>0</v>
      </c>
      <c r="E2899" t="s">
        <v>2898</v>
      </c>
      <c r="F2899" t="s"/>
      <c r="G2899" t="s"/>
      <c r="H2899" t="s"/>
      <c r="I2899" t="s"/>
      <c r="J2899" t="n">
        <v>0.3382</v>
      </c>
      <c r="K2899" t="n">
        <v>0.07099999999999999</v>
      </c>
      <c r="L2899" t="n">
        <v>0.797</v>
      </c>
      <c r="M2899" t="n">
        <v>0.132</v>
      </c>
    </row>
    <row r="2900" spans="1:13">
      <c r="A2900" s="1">
        <f>HYPERLINK("http://www.twitter.com/NathanBLawrence/status/984436319043670016", "984436319043670016")</f>
        <v/>
      </c>
      <c r="B2900" s="2" t="n">
        <v>43202.59818287037</v>
      </c>
      <c r="C2900" t="n">
        <v>0</v>
      </c>
      <c r="D2900" t="n">
        <v>0</v>
      </c>
      <c r="E2900" t="s">
        <v>2899</v>
      </c>
      <c r="F2900" t="s"/>
      <c r="G2900" t="s"/>
      <c r="H2900" t="s"/>
      <c r="I2900" t="s"/>
      <c r="J2900" t="n">
        <v>0.2732</v>
      </c>
      <c r="K2900" t="n">
        <v>0</v>
      </c>
      <c r="L2900" t="n">
        <v>0.851</v>
      </c>
      <c r="M2900" t="n">
        <v>0.149</v>
      </c>
    </row>
    <row r="2901" spans="1:13">
      <c r="A2901" s="1">
        <f>HYPERLINK("http://www.twitter.com/NathanBLawrence/status/984435780545327105", "984435780545327105")</f>
        <v/>
      </c>
      <c r="B2901" s="2" t="n">
        <v>43202.59668981482</v>
      </c>
      <c r="C2901" t="n">
        <v>0</v>
      </c>
      <c r="D2901" t="n">
        <v>0</v>
      </c>
      <c r="E2901" t="s">
        <v>2900</v>
      </c>
      <c r="F2901" t="s"/>
      <c r="G2901" t="s"/>
      <c r="H2901" t="s"/>
      <c r="I2901" t="s"/>
      <c r="J2901" t="n">
        <v>0.8445</v>
      </c>
      <c r="K2901" t="n">
        <v>0.127</v>
      </c>
      <c r="L2901" t="n">
        <v>0.618</v>
      </c>
      <c r="M2901" t="n">
        <v>0.255</v>
      </c>
    </row>
    <row r="2902" spans="1:13">
      <c r="A2902" s="1">
        <f>HYPERLINK("http://www.twitter.com/NathanBLawrence/status/984432942150758400", "984432942150758400")</f>
        <v/>
      </c>
      <c r="B2902" s="2" t="n">
        <v>43202.58885416666</v>
      </c>
      <c r="C2902" t="n">
        <v>0</v>
      </c>
      <c r="D2902" t="n">
        <v>0</v>
      </c>
      <c r="E2902" t="s">
        <v>2901</v>
      </c>
      <c r="F2902" t="s"/>
      <c r="G2902" t="s"/>
      <c r="H2902" t="s"/>
      <c r="I2902" t="s"/>
      <c r="J2902" t="n">
        <v>0.5106000000000001</v>
      </c>
      <c r="K2902" t="n">
        <v>0</v>
      </c>
      <c r="L2902" t="n">
        <v>0.918</v>
      </c>
      <c r="M2902" t="n">
        <v>0.082</v>
      </c>
    </row>
    <row r="2903" spans="1:13">
      <c r="A2903" s="1">
        <f>HYPERLINK("http://www.twitter.com/NathanBLawrence/status/984431582076375040", "984431582076375040")</f>
        <v/>
      </c>
      <c r="B2903" s="2" t="n">
        <v>43202.58510416667</v>
      </c>
      <c r="C2903" t="n">
        <v>0</v>
      </c>
      <c r="D2903" t="n">
        <v>0</v>
      </c>
      <c r="E2903" t="s">
        <v>2902</v>
      </c>
      <c r="F2903" t="s"/>
      <c r="G2903" t="s"/>
      <c r="H2903" t="s"/>
      <c r="I2903" t="s"/>
      <c r="J2903" t="n">
        <v>-0.4097</v>
      </c>
      <c r="K2903" t="n">
        <v>0.149</v>
      </c>
      <c r="L2903" t="n">
        <v>0.782</v>
      </c>
      <c r="M2903" t="n">
        <v>0.06900000000000001</v>
      </c>
    </row>
    <row r="2904" spans="1:13">
      <c r="A2904" s="1">
        <f>HYPERLINK("http://www.twitter.com/NathanBLawrence/status/984431134628044800", "984431134628044800")</f>
        <v/>
      </c>
      <c r="B2904" s="2" t="n">
        <v>43202.58386574074</v>
      </c>
      <c r="C2904" t="n">
        <v>2</v>
      </c>
      <c r="D2904" t="n">
        <v>0</v>
      </c>
      <c r="E2904" t="s">
        <v>2903</v>
      </c>
      <c r="F2904" t="s"/>
      <c r="G2904" t="s"/>
      <c r="H2904" t="s"/>
      <c r="I2904" t="s"/>
      <c r="J2904" t="n">
        <v>0.25</v>
      </c>
      <c r="K2904" t="n">
        <v>0.096</v>
      </c>
      <c r="L2904" t="n">
        <v>0.74</v>
      </c>
      <c r="M2904" t="n">
        <v>0.164</v>
      </c>
    </row>
    <row r="2905" spans="1:13">
      <c r="A2905" s="1">
        <f>HYPERLINK("http://www.twitter.com/NathanBLawrence/status/984427675073875969", "984427675073875969")</f>
        <v/>
      </c>
      <c r="B2905" s="2" t="n">
        <v>43202.5743287037</v>
      </c>
      <c r="C2905" t="n">
        <v>0</v>
      </c>
      <c r="D2905" t="n">
        <v>0</v>
      </c>
      <c r="E2905" t="s">
        <v>2904</v>
      </c>
      <c r="F2905" t="s"/>
      <c r="G2905" t="s"/>
      <c r="H2905" t="s"/>
      <c r="I2905" t="s"/>
      <c r="J2905" t="n">
        <v>0.2263</v>
      </c>
      <c r="K2905" t="n">
        <v>0.1</v>
      </c>
      <c r="L2905" t="n">
        <v>0.758</v>
      </c>
      <c r="M2905" t="n">
        <v>0.142</v>
      </c>
    </row>
    <row r="2906" spans="1:13">
      <c r="A2906" s="1">
        <f>HYPERLINK("http://www.twitter.com/NathanBLawrence/status/984427239294095361", "984427239294095361")</f>
        <v/>
      </c>
      <c r="B2906" s="2" t="n">
        <v>43202.573125</v>
      </c>
      <c r="C2906" t="n">
        <v>0</v>
      </c>
      <c r="D2906" t="n">
        <v>0</v>
      </c>
      <c r="E2906" t="s">
        <v>2905</v>
      </c>
      <c r="F2906" t="s"/>
      <c r="G2906" t="s"/>
      <c r="H2906" t="s"/>
      <c r="I2906" t="s"/>
      <c r="J2906" t="n">
        <v>0.0516</v>
      </c>
      <c r="K2906" t="n">
        <v>0.146</v>
      </c>
      <c r="L2906" t="n">
        <v>0.701</v>
      </c>
      <c r="M2906" t="n">
        <v>0.152</v>
      </c>
    </row>
    <row r="2907" spans="1:13">
      <c r="A2907" s="1">
        <f>HYPERLINK("http://www.twitter.com/NathanBLawrence/status/984426713991073793", "984426713991073793")</f>
        <v/>
      </c>
      <c r="B2907" s="2" t="n">
        <v>43202.57167824074</v>
      </c>
      <c r="C2907" t="n">
        <v>1</v>
      </c>
      <c r="D2907" t="n">
        <v>0</v>
      </c>
      <c r="E2907" t="s">
        <v>2906</v>
      </c>
      <c r="F2907" t="s"/>
      <c r="G2907" t="s"/>
      <c r="H2907" t="s"/>
      <c r="I2907" t="s"/>
      <c r="J2907" t="n">
        <v>0</v>
      </c>
      <c r="K2907" t="n">
        <v>0</v>
      </c>
      <c r="L2907" t="n">
        <v>1</v>
      </c>
      <c r="M2907" t="n">
        <v>0</v>
      </c>
    </row>
    <row r="2908" spans="1:13">
      <c r="A2908" s="1">
        <f>HYPERLINK("http://www.twitter.com/NathanBLawrence/status/984425936711020544", "984425936711020544")</f>
        <v/>
      </c>
      <c r="B2908" s="2" t="n">
        <v>43202.56952546296</v>
      </c>
      <c r="C2908" t="n">
        <v>0</v>
      </c>
      <c r="D2908" t="n">
        <v>0</v>
      </c>
      <c r="E2908" t="s">
        <v>2907</v>
      </c>
      <c r="F2908" t="s"/>
      <c r="G2908" t="s"/>
      <c r="H2908" t="s"/>
      <c r="I2908" t="s"/>
      <c r="J2908" t="n">
        <v>-0.4019</v>
      </c>
      <c r="K2908" t="n">
        <v>0.16</v>
      </c>
      <c r="L2908" t="n">
        <v>0.743</v>
      </c>
      <c r="M2908" t="n">
        <v>0.097</v>
      </c>
    </row>
    <row r="2909" spans="1:13">
      <c r="A2909" s="1">
        <f>HYPERLINK("http://www.twitter.com/NathanBLawrence/status/984423551410241537", "984423551410241537")</f>
        <v/>
      </c>
      <c r="B2909" s="2" t="n">
        <v>43202.56295138889</v>
      </c>
      <c r="C2909" t="n">
        <v>6</v>
      </c>
      <c r="D2909" t="n">
        <v>1</v>
      </c>
      <c r="E2909" t="s">
        <v>2908</v>
      </c>
      <c r="F2909" t="s"/>
      <c r="G2909" t="s"/>
      <c r="H2909" t="s"/>
      <c r="I2909" t="s"/>
      <c r="J2909" t="n">
        <v>-0.9298999999999999</v>
      </c>
      <c r="K2909" t="n">
        <v>0.318</v>
      </c>
      <c r="L2909" t="n">
        <v>0.5659999999999999</v>
      </c>
      <c r="M2909" t="n">
        <v>0.116</v>
      </c>
    </row>
    <row r="2910" spans="1:13">
      <c r="A2910" s="1">
        <f>HYPERLINK("http://www.twitter.com/NathanBLawrence/status/984421916915232768", "984421916915232768")</f>
        <v/>
      </c>
      <c r="B2910" s="2" t="n">
        <v>43202.5584375</v>
      </c>
      <c r="C2910" t="n">
        <v>1</v>
      </c>
      <c r="D2910" t="n">
        <v>0</v>
      </c>
      <c r="E2910" t="s">
        <v>2909</v>
      </c>
      <c r="F2910" t="s"/>
      <c r="G2910" t="s"/>
      <c r="H2910" t="s"/>
      <c r="I2910" t="s"/>
      <c r="J2910" t="n">
        <v>0</v>
      </c>
      <c r="K2910" t="n">
        <v>0</v>
      </c>
      <c r="L2910" t="n">
        <v>1</v>
      </c>
      <c r="M2910" t="n">
        <v>0</v>
      </c>
    </row>
    <row r="2911" spans="1:13">
      <c r="A2911" s="1">
        <f>HYPERLINK("http://www.twitter.com/NathanBLawrence/status/984421093158150145", "984421093158150145")</f>
        <v/>
      </c>
      <c r="B2911" s="2" t="n">
        <v>43202.55615740741</v>
      </c>
      <c r="C2911" t="n">
        <v>0</v>
      </c>
      <c r="D2911" t="n">
        <v>0</v>
      </c>
      <c r="E2911" t="s">
        <v>2910</v>
      </c>
      <c r="F2911" t="s"/>
      <c r="G2911" t="s"/>
      <c r="H2911" t="s"/>
      <c r="I2911" t="s"/>
      <c r="J2911" t="n">
        <v>0.2732</v>
      </c>
      <c r="K2911" t="n">
        <v>0.073</v>
      </c>
      <c r="L2911" t="n">
        <v>0.82</v>
      </c>
      <c r="M2911" t="n">
        <v>0.107</v>
      </c>
    </row>
    <row r="2912" spans="1:13">
      <c r="A2912" s="1">
        <f>HYPERLINK("http://www.twitter.com/NathanBLawrence/status/984419814742556683", "984419814742556683")</f>
        <v/>
      </c>
      <c r="B2912" s="2" t="n">
        <v>43202.55263888889</v>
      </c>
      <c r="C2912" t="n">
        <v>1</v>
      </c>
      <c r="D2912" t="n">
        <v>0</v>
      </c>
      <c r="E2912" t="s">
        <v>2911</v>
      </c>
      <c r="F2912" t="s"/>
      <c r="G2912" t="s"/>
      <c r="H2912" t="s"/>
      <c r="I2912" t="s"/>
      <c r="J2912" t="n">
        <v>0</v>
      </c>
      <c r="K2912" t="n">
        <v>0</v>
      </c>
      <c r="L2912" t="n">
        <v>1</v>
      </c>
      <c r="M2912" t="n">
        <v>0</v>
      </c>
    </row>
    <row r="2913" spans="1:13">
      <c r="A2913" s="1">
        <f>HYPERLINK("http://www.twitter.com/NathanBLawrence/status/984418596582514689", "984418596582514689")</f>
        <v/>
      </c>
      <c r="B2913" s="2" t="n">
        <v>43202.54927083333</v>
      </c>
      <c r="C2913" t="n">
        <v>1</v>
      </c>
      <c r="D2913" t="n">
        <v>0</v>
      </c>
      <c r="E2913" t="s">
        <v>2912</v>
      </c>
      <c r="F2913" t="s"/>
      <c r="G2913" t="s"/>
      <c r="H2913" t="s"/>
      <c r="I2913" t="s"/>
      <c r="J2913" t="n">
        <v>0</v>
      </c>
      <c r="K2913" t="n">
        <v>0</v>
      </c>
      <c r="L2913" t="n">
        <v>1</v>
      </c>
      <c r="M2913" t="n">
        <v>0</v>
      </c>
    </row>
    <row r="2914" spans="1:13">
      <c r="A2914" s="1">
        <f>HYPERLINK("http://www.twitter.com/NathanBLawrence/status/984418343917670400", "984418343917670400")</f>
        <v/>
      </c>
      <c r="B2914" s="2" t="n">
        <v>43202.54857638889</v>
      </c>
      <c r="C2914" t="n">
        <v>4</v>
      </c>
      <c r="D2914" t="n">
        <v>1</v>
      </c>
      <c r="E2914" t="s">
        <v>2913</v>
      </c>
      <c r="F2914" t="s"/>
      <c r="G2914" t="s"/>
      <c r="H2914" t="s"/>
      <c r="I2914" t="s"/>
      <c r="J2914" t="n">
        <v>0</v>
      </c>
      <c r="K2914" t="n">
        <v>0</v>
      </c>
      <c r="L2914" t="n">
        <v>1</v>
      </c>
      <c r="M2914" t="n">
        <v>0</v>
      </c>
    </row>
    <row r="2915" spans="1:13">
      <c r="A2915" s="1">
        <f>HYPERLINK("http://www.twitter.com/NathanBLawrence/status/984416737163710465", "984416737163710465")</f>
        <v/>
      </c>
      <c r="B2915" s="2" t="n">
        <v>43202.54414351852</v>
      </c>
      <c r="C2915" t="n">
        <v>0</v>
      </c>
      <c r="D2915" t="n">
        <v>0</v>
      </c>
      <c r="E2915" t="s">
        <v>2914</v>
      </c>
      <c r="F2915" t="s"/>
      <c r="G2915" t="s"/>
      <c r="H2915" t="s"/>
      <c r="I2915" t="s"/>
      <c r="J2915" t="n">
        <v>0.6767</v>
      </c>
      <c r="K2915" t="n">
        <v>0</v>
      </c>
      <c r="L2915" t="n">
        <v>0.894</v>
      </c>
      <c r="M2915" t="n">
        <v>0.106</v>
      </c>
    </row>
    <row r="2916" spans="1:13">
      <c r="A2916" s="1">
        <f>HYPERLINK("http://www.twitter.com/NathanBLawrence/status/984415755704897536", "984415755704897536")</f>
        <v/>
      </c>
      <c r="B2916" s="2" t="n">
        <v>43202.54143518519</v>
      </c>
      <c r="C2916" t="n">
        <v>0</v>
      </c>
      <c r="D2916" t="n">
        <v>0</v>
      </c>
      <c r="E2916" t="s">
        <v>2915</v>
      </c>
      <c r="F2916" t="s"/>
      <c r="G2916" t="s"/>
      <c r="H2916" t="s"/>
      <c r="I2916" t="s"/>
      <c r="J2916" t="n">
        <v>-0.8957000000000001</v>
      </c>
      <c r="K2916" t="n">
        <v>0.351</v>
      </c>
      <c r="L2916" t="n">
        <v>0.649</v>
      </c>
      <c r="M2916" t="n">
        <v>0</v>
      </c>
    </row>
    <row r="2917" spans="1:13">
      <c r="A2917" s="1">
        <f>HYPERLINK("http://www.twitter.com/NathanBLawrence/status/984415484434173953", "984415484434173953")</f>
        <v/>
      </c>
      <c r="B2917" s="2" t="n">
        <v>43202.54068287037</v>
      </c>
      <c r="C2917" t="n">
        <v>0</v>
      </c>
      <c r="D2917" t="n">
        <v>1</v>
      </c>
      <c r="E2917" t="s">
        <v>2916</v>
      </c>
      <c r="F2917">
        <f>HYPERLINK("http://pbs.twimg.com/media/DaiVr94XcAEFiE1.jpg", "http://pbs.twimg.com/media/DaiVr94XcAEFiE1.jpg")</f>
        <v/>
      </c>
      <c r="G2917" t="s"/>
      <c r="H2917" t="s"/>
      <c r="I2917" t="s"/>
      <c r="J2917" t="n">
        <v>0</v>
      </c>
      <c r="K2917" t="n">
        <v>0</v>
      </c>
      <c r="L2917" t="n">
        <v>1</v>
      </c>
      <c r="M2917" t="n">
        <v>0</v>
      </c>
    </row>
    <row r="2918" spans="1:13">
      <c r="A2918" s="1">
        <f>HYPERLINK("http://www.twitter.com/NathanBLawrence/status/984414073189208064", "984414073189208064")</f>
        <v/>
      </c>
      <c r="B2918" s="2" t="n">
        <v>43202.53679398148</v>
      </c>
      <c r="C2918" t="n">
        <v>0</v>
      </c>
      <c r="D2918" t="n">
        <v>0</v>
      </c>
      <c r="E2918" t="s">
        <v>2917</v>
      </c>
      <c r="F2918" t="s"/>
      <c r="G2918" t="s"/>
      <c r="H2918" t="s"/>
      <c r="I2918" t="s"/>
      <c r="J2918" t="n">
        <v>0.4215</v>
      </c>
      <c r="K2918" t="n">
        <v>0</v>
      </c>
      <c r="L2918" t="n">
        <v>0.641</v>
      </c>
      <c r="M2918" t="n">
        <v>0.359</v>
      </c>
    </row>
    <row r="2919" spans="1:13">
      <c r="A2919" s="1">
        <f>HYPERLINK("http://www.twitter.com/NathanBLawrence/status/984411623019499520", "984411623019499520")</f>
        <v/>
      </c>
      <c r="B2919" s="2" t="n">
        <v>43202.53003472222</v>
      </c>
      <c r="C2919" t="n">
        <v>4</v>
      </c>
      <c r="D2919" t="n">
        <v>1</v>
      </c>
      <c r="E2919" t="s">
        <v>2918</v>
      </c>
      <c r="F2919" t="s"/>
      <c r="G2919" t="s"/>
      <c r="H2919" t="s"/>
      <c r="I2919" t="s"/>
      <c r="J2919" t="n">
        <v>-0.354</v>
      </c>
      <c r="K2919" t="n">
        <v>0.102</v>
      </c>
      <c r="L2919" t="n">
        <v>0.823</v>
      </c>
      <c r="M2919" t="n">
        <v>0.074</v>
      </c>
    </row>
    <row r="2920" spans="1:13">
      <c r="A2920" s="1">
        <f>HYPERLINK("http://www.twitter.com/NathanBLawrence/status/984409300545228800", "984409300545228800")</f>
        <v/>
      </c>
      <c r="B2920" s="2" t="n">
        <v>43202.52362268518</v>
      </c>
      <c r="C2920" t="n">
        <v>0</v>
      </c>
      <c r="D2920" t="n">
        <v>0</v>
      </c>
      <c r="E2920" t="s">
        <v>2919</v>
      </c>
      <c r="F2920" t="s"/>
      <c r="G2920" t="s"/>
      <c r="H2920" t="s"/>
      <c r="I2920" t="s"/>
      <c r="J2920" t="n">
        <v>0.7316</v>
      </c>
      <c r="K2920" t="n">
        <v>0</v>
      </c>
      <c r="L2920" t="n">
        <v>0.5649999999999999</v>
      </c>
      <c r="M2920" t="n">
        <v>0.435</v>
      </c>
    </row>
    <row r="2921" spans="1:13">
      <c r="A2921" s="1">
        <f>HYPERLINK("http://www.twitter.com/NathanBLawrence/status/984408524955570177", "984408524955570177")</f>
        <v/>
      </c>
      <c r="B2921" s="2" t="n">
        <v>43202.52148148148</v>
      </c>
      <c r="C2921" t="n">
        <v>0</v>
      </c>
      <c r="D2921" t="n">
        <v>9</v>
      </c>
      <c r="E2921" t="s">
        <v>2920</v>
      </c>
      <c r="F2921" t="s"/>
      <c r="G2921" t="s"/>
      <c r="H2921" t="s"/>
      <c r="I2921" t="s"/>
      <c r="J2921" t="n">
        <v>0.5881999999999999</v>
      </c>
      <c r="K2921" t="n">
        <v>0</v>
      </c>
      <c r="L2921" t="n">
        <v>0.8070000000000001</v>
      </c>
      <c r="M2921" t="n">
        <v>0.193</v>
      </c>
    </row>
    <row r="2922" spans="1:13">
      <c r="A2922" s="1">
        <f>HYPERLINK("http://www.twitter.com/NathanBLawrence/status/984408152220295169", "984408152220295169")</f>
        <v/>
      </c>
      <c r="B2922" s="2" t="n">
        <v>43202.52045138889</v>
      </c>
      <c r="C2922" t="n">
        <v>0</v>
      </c>
      <c r="D2922" t="n">
        <v>0</v>
      </c>
      <c r="E2922" t="s">
        <v>2921</v>
      </c>
      <c r="F2922" t="s"/>
      <c r="G2922" t="s"/>
      <c r="H2922" t="s"/>
      <c r="I2922" t="s"/>
      <c r="J2922" t="n">
        <v>0.4201</v>
      </c>
      <c r="K2922" t="n">
        <v>0</v>
      </c>
      <c r="L2922" t="n">
        <v>0.417</v>
      </c>
      <c r="M2922" t="n">
        <v>0.583</v>
      </c>
    </row>
    <row r="2923" spans="1:13">
      <c r="A2923" s="1">
        <f>HYPERLINK("http://www.twitter.com/NathanBLawrence/status/984408001749581825", "984408001749581825")</f>
        <v/>
      </c>
      <c r="B2923" s="2" t="n">
        <v>43202.52003472222</v>
      </c>
      <c r="C2923" t="n">
        <v>0</v>
      </c>
      <c r="D2923" t="n">
        <v>19</v>
      </c>
      <c r="E2923" t="s">
        <v>2922</v>
      </c>
      <c r="F2923" t="s"/>
      <c r="G2923" t="s"/>
      <c r="H2923" t="s"/>
      <c r="I2923" t="s"/>
      <c r="J2923" t="n">
        <v>0.0772</v>
      </c>
      <c r="K2923" t="n">
        <v>0</v>
      </c>
      <c r="L2923" t="n">
        <v>0.9360000000000001</v>
      </c>
      <c r="M2923" t="n">
        <v>0.064</v>
      </c>
    </row>
    <row r="2924" spans="1:13">
      <c r="A2924" s="1">
        <f>HYPERLINK("http://www.twitter.com/NathanBLawrence/status/984407761487388672", "984407761487388672")</f>
        <v/>
      </c>
      <c r="B2924" s="2" t="n">
        <v>43202.519375</v>
      </c>
      <c r="C2924" t="n">
        <v>1</v>
      </c>
      <c r="D2924" t="n">
        <v>0</v>
      </c>
      <c r="E2924" t="s">
        <v>2923</v>
      </c>
      <c r="F2924" t="s"/>
      <c r="G2924" t="s"/>
      <c r="H2924" t="s"/>
      <c r="I2924" t="s"/>
      <c r="J2924" t="n">
        <v>-0.2263</v>
      </c>
      <c r="K2924" t="n">
        <v>0.112</v>
      </c>
      <c r="L2924" t="n">
        <v>0.888</v>
      </c>
      <c r="M2924" t="n">
        <v>0</v>
      </c>
    </row>
    <row r="2925" spans="1:13">
      <c r="A2925" s="1">
        <f>HYPERLINK("http://www.twitter.com/NathanBLawrence/status/984407085591953409", "984407085591953409")</f>
        <v/>
      </c>
      <c r="B2925" s="2" t="n">
        <v>43202.51751157407</v>
      </c>
      <c r="C2925" t="n">
        <v>0</v>
      </c>
      <c r="D2925" t="n">
        <v>1</v>
      </c>
      <c r="E2925" t="s">
        <v>2924</v>
      </c>
      <c r="F2925" t="s"/>
      <c r="G2925" t="s"/>
      <c r="H2925" t="s"/>
      <c r="I2925" t="s"/>
      <c r="J2925" t="n">
        <v>0</v>
      </c>
      <c r="K2925" t="n">
        <v>0</v>
      </c>
      <c r="L2925" t="n">
        <v>1</v>
      </c>
      <c r="M2925" t="n">
        <v>0</v>
      </c>
    </row>
    <row r="2926" spans="1:13">
      <c r="A2926" s="1">
        <f>HYPERLINK("http://www.twitter.com/NathanBLawrence/status/984406864497659904", "984406864497659904")</f>
        <v/>
      </c>
      <c r="B2926" s="2" t="n">
        <v>43202.51689814815</v>
      </c>
      <c r="C2926" t="n">
        <v>1</v>
      </c>
      <c r="D2926" t="n">
        <v>1</v>
      </c>
      <c r="E2926" t="s">
        <v>2925</v>
      </c>
      <c r="F2926" t="s"/>
      <c r="G2926" t="s"/>
      <c r="H2926" t="s"/>
      <c r="I2926" t="s"/>
      <c r="J2926" t="n">
        <v>-0.1027</v>
      </c>
      <c r="K2926" t="n">
        <v>0.147</v>
      </c>
      <c r="L2926" t="n">
        <v>0.752</v>
      </c>
      <c r="M2926" t="n">
        <v>0.101</v>
      </c>
    </row>
    <row r="2927" spans="1:13">
      <c r="A2927" s="1">
        <f>HYPERLINK("http://www.twitter.com/NathanBLawrence/status/984398482369900545", "984398482369900545")</f>
        <v/>
      </c>
      <c r="B2927" s="2" t="n">
        <v>43202.49377314815</v>
      </c>
      <c r="C2927" t="n">
        <v>0</v>
      </c>
      <c r="D2927" t="n">
        <v>0</v>
      </c>
      <c r="E2927" t="s">
        <v>2926</v>
      </c>
      <c r="F2927" t="s"/>
      <c r="G2927" t="s"/>
      <c r="H2927" t="s"/>
      <c r="I2927" t="s"/>
      <c r="J2927" t="n">
        <v>-0.7003</v>
      </c>
      <c r="K2927" t="n">
        <v>0.212</v>
      </c>
      <c r="L2927" t="n">
        <v>0.738</v>
      </c>
      <c r="M2927" t="n">
        <v>0.05</v>
      </c>
    </row>
    <row r="2928" spans="1:13">
      <c r="A2928" s="1">
        <f>HYPERLINK("http://www.twitter.com/NathanBLawrence/status/984336045096472576", "984336045096472576")</f>
        <v/>
      </c>
      <c r="B2928" s="2" t="n">
        <v>43202.32146990741</v>
      </c>
      <c r="C2928" t="n">
        <v>0</v>
      </c>
      <c r="D2928" t="n">
        <v>0</v>
      </c>
      <c r="E2928" t="s">
        <v>2927</v>
      </c>
      <c r="F2928" t="s"/>
      <c r="G2928" t="s"/>
      <c r="H2928" t="s"/>
      <c r="I2928" t="s"/>
      <c r="J2928" t="n">
        <v>-0.6343</v>
      </c>
      <c r="K2928" t="n">
        <v>0.139</v>
      </c>
      <c r="L2928" t="n">
        <v>0.796</v>
      </c>
      <c r="M2928" t="n">
        <v>0.065</v>
      </c>
    </row>
    <row r="2929" spans="1:13">
      <c r="A2929" s="1">
        <f>HYPERLINK("http://www.twitter.com/NathanBLawrence/status/984334671302529024", "984334671302529024")</f>
        <v/>
      </c>
      <c r="B2929" s="2" t="n">
        <v>43202.31768518518</v>
      </c>
      <c r="C2929" t="n">
        <v>0</v>
      </c>
      <c r="D2929" t="n">
        <v>5</v>
      </c>
      <c r="E2929" t="s">
        <v>2928</v>
      </c>
      <c r="F2929" t="s"/>
      <c r="G2929" t="s"/>
      <c r="H2929" t="s"/>
      <c r="I2929" t="s"/>
      <c r="J2929" t="n">
        <v>-0.4215</v>
      </c>
      <c r="K2929" t="n">
        <v>0.205</v>
      </c>
      <c r="L2929" t="n">
        <v>0.698</v>
      </c>
      <c r="M2929" t="n">
        <v>0.097</v>
      </c>
    </row>
    <row r="2930" spans="1:13">
      <c r="A2930" s="1">
        <f>HYPERLINK("http://www.twitter.com/NathanBLawrence/status/984334221069242369", "984334221069242369")</f>
        <v/>
      </c>
      <c r="B2930" s="2" t="n">
        <v>43202.31644675926</v>
      </c>
      <c r="C2930" t="n">
        <v>0</v>
      </c>
      <c r="D2930" t="n">
        <v>0</v>
      </c>
      <c r="E2930" t="s">
        <v>2929</v>
      </c>
      <c r="F2930" t="s"/>
      <c r="G2930" t="s"/>
      <c r="H2930" t="s"/>
      <c r="I2930" t="s"/>
      <c r="J2930" t="n">
        <v>0.4019</v>
      </c>
      <c r="K2930" t="n">
        <v>0</v>
      </c>
      <c r="L2930" t="n">
        <v>0.597</v>
      </c>
      <c r="M2930" t="n">
        <v>0.403</v>
      </c>
    </row>
    <row r="2931" spans="1:13">
      <c r="A2931" s="1">
        <f>HYPERLINK("http://www.twitter.com/NathanBLawrence/status/984333598173073408", "984333598173073408")</f>
        <v/>
      </c>
      <c r="B2931" s="2" t="n">
        <v>43202.31472222223</v>
      </c>
      <c r="C2931" t="n">
        <v>0</v>
      </c>
      <c r="D2931" t="n">
        <v>0</v>
      </c>
      <c r="E2931" t="s">
        <v>2930</v>
      </c>
      <c r="F2931" t="s"/>
      <c r="G2931" t="s"/>
      <c r="H2931" t="s"/>
      <c r="I2931" t="s"/>
      <c r="J2931" t="n">
        <v>-0.636</v>
      </c>
      <c r="K2931" t="n">
        <v>0.394</v>
      </c>
      <c r="L2931" t="n">
        <v>0.606</v>
      </c>
      <c r="M2931" t="n">
        <v>0</v>
      </c>
    </row>
    <row r="2932" spans="1:13">
      <c r="A2932" s="1">
        <f>HYPERLINK("http://www.twitter.com/NathanBLawrence/status/984333282312679424", "984333282312679424")</f>
        <v/>
      </c>
      <c r="B2932" s="2" t="n">
        <v>43202.31385416666</v>
      </c>
      <c r="C2932" t="n">
        <v>0</v>
      </c>
      <c r="D2932" t="n">
        <v>1</v>
      </c>
      <c r="E2932" t="s">
        <v>2931</v>
      </c>
      <c r="F2932" t="s"/>
      <c r="G2932" t="s"/>
      <c r="H2932" t="s"/>
      <c r="I2932" t="s"/>
      <c r="J2932" t="n">
        <v>0.1506</v>
      </c>
      <c r="K2932" t="n">
        <v>0.093</v>
      </c>
      <c r="L2932" t="n">
        <v>0.789</v>
      </c>
      <c r="M2932" t="n">
        <v>0.118</v>
      </c>
    </row>
    <row r="2933" spans="1:13">
      <c r="A2933" s="1">
        <f>HYPERLINK("http://www.twitter.com/NathanBLawrence/status/984333183687823360", "984333183687823360")</f>
        <v/>
      </c>
      <c r="B2933" s="2" t="n">
        <v>43202.31357638889</v>
      </c>
      <c r="C2933" t="n">
        <v>0</v>
      </c>
      <c r="D2933" t="n">
        <v>0</v>
      </c>
      <c r="E2933" t="s">
        <v>2932</v>
      </c>
      <c r="F2933" t="s"/>
      <c r="G2933" t="s"/>
      <c r="H2933" t="s"/>
      <c r="I2933" t="s"/>
      <c r="J2933" t="n">
        <v>0</v>
      </c>
      <c r="K2933" t="n">
        <v>0</v>
      </c>
      <c r="L2933" t="n">
        <v>1</v>
      </c>
      <c r="M2933" t="n">
        <v>0</v>
      </c>
    </row>
    <row r="2934" spans="1:13">
      <c r="A2934" s="1">
        <f>HYPERLINK("http://www.twitter.com/NathanBLawrence/status/984332744250527744", "984332744250527744")</f>
        <v/>
      </c>
      <c r="B2934" s="2" t="n">
        <v>43202.31236111111</v>
      </c>
      <c r="C2934" t="n">
        <v>0</v>
      </c>
      <c r="D2934" t="n">
        <v>0</v>
      </c>
      <c r="E2934" t="s">
        <v>2933</v>
      </c>
      <c r="F2934" t="s"/>
      <c r="G2934" t="s"/>
      <c r="H2934" t="s"/>
      <c r="I2934" t="s"/>
      <c r="J2934" t="n">
        <v>-0.8821</v>
      </c>
      <c r="K2934" t="n">
        <v>0.27</v>
      </c>
      <c r="L2934" t="n">
        <v>0.679</v>
      </c>
      <c r="M2934" t="n">
        <v>0.051</v>
      </c>
    </row>
    <row r="2935" spans="1:13">
      <c r="A2935" s="1">
        <f>HYPERLINK("http://www.twitter.com/NathanBLawrence/status/984332634665967617", "984332634665967617")</f>
        <v/>
      </c>
      <c r="B2935" s="2" t="n">
        <v>43202.31206018518</v>
      </c>
      <c r="C2935" t="n">
        <v>7</v>
      </c>
      <c r="D2935" t="n">
        <v>5</v>
      </c>
      <c r="E2935" t="s">
        <v>2934</v>
      </c>
      <c r="F2935" t="s"/>
      <c r="G2935" t="s"/>
      <c r="H2935" t="s"/>
      <c r="I2935" t="s"/>
      <c r="J2935" t="n">
        <v>-0.4215</v>
      </c>
      <c r="K2935" t="n">
        <v>0.205</v>
      </c>
      <c r="L2935" t="n">
        <v>0.698</v>
      </c>
      <c r="M2935" t="n">
        <v>0.097</v>
      </c>
    </row>
    <row r="2936" spans="1:13">
      <c r="A2936" s="1">
        <f>HYPERLINK("http://www.twitter.com/NathanBLawrence/status/984331723306651648", "984331723306651648")</f>
        <v/>
      </c>
      <c r="B2936" s="2" t="n">
        <v>43202.30954861111</v>
      </c>
      <c r="C2936" t="n">
        <v>7</v>
      </c>
      <c r="D2936" t="n">
        <v>4</v>
      </c>
      <c r="E2936" t="s">
        <v>2935</v>
      </c>
      <c r="F2936" t="s"/>
      <c r="G2936" t="s"/>
      <c r="H2936" t="s"/>
      <c r="I2936" t="s"/>
      <c r="J2936" t="n">
        <v>-0.8821</v>
      </c>
      <c r="K2936" t="n">
        <v>0.27</v>
      </c>
      <c r="L2936" t="n">
        <v>0.679</v>
      </c>
      <c r="M2936" t="n">
        <v>0.051</v>
      </c>
    </row>
    <row r="2937" spans="1:13">
      <c r="A2937" s="1">
        <f>HYPERLINK("http://www.twitter.com/NathanBLawrence/status/984330852241993728", "984330852241993728")</f>
        <v/>
      </c>
      <c r="B2937" s="2" t="n">
        <v>43202.3071412037</v>
      </c>
      <c r="C2937" t="n">
        <v>0</v>
      </c>
      <c r="D2937" t="n">
        <v>5</v>
      </c>
      <c r="E2937" t="s">
        <v>2936</v>
      </c>
      <c r="F2937" t="s"/>
      <c r="G2937" t="s"/>
      <c r="H2937" t="s"/>
      <c r="I2937" t="s"/>
      <c r="J2937" t="n">
        <v>0.4588</v>
      </c>
      <c r="K2937" t="n">
        <v>0</v>
      </c>
      <c r="L2937" t="n">
        <v>0.846</v>
      </c>
      <c r="M2937" t="n">
        <v>0.154</v>
      </c>
    </row>
    <row r="2938" spans="1:13">
      <c r="A2938" s="1">
        <f>HYPERLINK("http://www.twitter.com/NathanBLawrence/status/984330152363614213", "984330152363614213")</f>
        <v/>
      </c>
      <c r="B2938" s="2" t="n">
        <v>43202.30520833333</v>
      </c>
      <c r="C2938" t="n">
        <v>0</v>
      </c>
      <c r="D2938" t="n">
        <v>2</v>
      </c>
      <c r="E2938" t="s">
        <v>2937</v>
      </c>
      <c r="F2938" t="s"/>
      <c r="G2938" t="s"/>
      <c r="H2938" t="s"/>
      <c r="I2938" t="s"/>
      <c r="J2938" t="n">
        <v>0</v>
      </c>
      <c r="K2938" t="n">
        <v>0</v>
      </c>
      <c r="L2938" t="n">
        <v>1</v>
      </c>
      <c r="M2938" t="n">
        <v>0</v>
      </c>
    </row>
    <row r="2939" spans="1:13">
      <c r="A2939" s="1">
        <f>HYPERLINK("http://www.twitter.com/NathanBLawrence/status/984328996983922688", "984328996983922688")</f>
        <v/>
      </c>
      <c r="B2939" s="2" t="n">
        <v>43202.30202546297</v>
      </c>
      <c r="C2939" t="n">
        <v>2</v>
      </c>
      <c r="D2939" t="n">
        <v>1</v>
      </c>
      <c r="E2939" t="s">
        <v>2938</v>
      </c>
      <c r="F2939" t="s"/>
      <c r="G2939" t="s"/>
      <c r="H2939" t="s"/>
      <c r="I2939" t="s"/>
      <c r="J2939" t="n">
        <v>0.5171</v>
      </c>
      <c r="K2939" t="n">
        <v>0.042</v>
      </c>
      <c r="L2939" t="n">
        <v>0.853</v>
      </c>
      <c r="M2939" t="n">
        <v>0.105</v>
      </c>
    </row>
    <row r="2940" spans="1:13">
      <c r="A2940" s="1">
        <f>HYPERLINK("http://www.twitter.com/NathanBLawrence/status/984328320207736837", "984328320207736837")</f>
        <v/>
      </c>
      <c r="B2940" s="2" t="n">
        <v>43202.30016203703</v>
      </c>
      <c r="C2940" t="n">
        <v>5</v>
      </c>
      <c r="D2940" t="n">
        <v>2</v>
      </c>
      <c r="E2940" t="s">
        <v>2939</v>
      </c>
      <c r="F2940" t="s"/>
      <c r="G2940" t="s"/>
      <c r="H2940" t="s"/>
      <c r="I2940" t="s"/>
      <c r="J2940" t="n">
        <v>0.5171</v>
      </c>
      <c r="K2940" t="n">
        <v>0.042</v>
      </c>
      <c r="L2940" t="n">
        <v>0.853</v>
      </c>
      <c r="M2940" t="n">
        <v>0.105</v>
      </c>
    </row>
    <row r="2941" spans="1:13">
      <c r="A2941" s="1">
        <f>HYPERLINK("http://www.twitter.com/NathanBLawrence/status/984324559120797696", "984324559120797696")</f>
        <v/>
      </c>
      <c r="B2941" s="2" t="n">
        <v>43202.28978009259</v>
      </c>
      <c r="C2941" t="n">
        <v>0</v>
      </c>
      <c r="D2941" t="n">
        <v>0</v>
      </c>
      <c r="E2941" t="s">
        <v>2940</v>
      </c>
      <c r="F2941" t="s"/>
      <c r="G2941" t="s"/>
      <c r="H2941" t="s"/>
      <c r="I2941" t="s"/>
      <c r="J2941" t="n">
        <v>-0.5574</v>
      </c>
      <c r="K2941" t="n">
        <v>0.147</v>
      </c>
      <c r="L2941" t="n">
        <v>0.799</v>
      </c>
      <c r="M2941" t="n">
        <v>0.054</v>
      </c>
    </row>
    <row r="2942" spans="1:13">
      <c r="A2942" s="1">
        <f>HYPERLINK("http://www.twitter.com/NathanBLawrence/status/984314953384460289", "984314953384460289")</f>
        <v/>
      </c>
      <c r="B2942" s="2" t="n">
        <v>43202.26327546296</v>
      </c>
      <c r="C2942" t="n">
        <v>2</v>
      </c>
      <c r="D2942" t="n">
        <v>1</v>
      </c>
      <c r="E2942" t="s">
        <v>2941</v>
      </c>
      <c r="F2942" t="s"/>
      <c r="G2942" t="s"/>
      <c r="H2942" t="s"/>
      <c r="I2942" t="s"/>
      <c r="J2942" t="n">
        <v>-0.3182</v>
      </c>
      <c r="K2942" t="n">
        <v>0.079</v>
      </c>
      <c r="L2942" t="n">
        <v>0.864</v>
      </c>
      <c r="M2942" t="n">
        <v>0.057</v>
      </c>
    </row>
    <row r="2943" spans="1:13">
      <c r="A2943" s="1">
        <f>HYPERLINK("http://www.twitter.com/NathanBLawrence/status/984310609381650432", "984310609381650432")</f>
        <v/>
      </c>
      <c r="B2943" s="2" t="n">
        <v>43202.25128472222</v>
      </c>
      <c r="C2943" t="n">
        <v>3</v>
      </c>
      <c r="D2943" t="n">
        <v>0</v>
      </c>
      <c r="E2943" t="s">
        <v>2942</v>
      </c>
      <c r="F2943" t="s"/>
      <c r="G2943" t="s"/>
      <c r="H2943" t="s"/>
      <c r="I2943" t="s"/>
      <c r="J2943" t="n">
        <v>-0.9177999999999999</v>
      </c>
      <c r="K2943" t="n">
        <v>0.259</v>
      </c>
      <c r="L2943" t="n">
        <v>0.741</v>
      </c>
      <c r="M2943" t="n">
        <v>0</v>
      </c>
    </row>
    <row r="2944" spans="1:13">
      <c r="A2944" s="1">
        <f>HYPERLINK("http://www.twitter.com/NathanBLawrence/status/984308233383837696", "984308233383837696")</f>
        <v/>
      </c>
      <c r="B2944" s="2" t="n">
        <v>43202.24473379629</v>
      </c>
      <c r="C2944" t="n">
        <v>0</v>
      </c>
      <c r="D2944" t="n">
        <v>0</v>
      </c>
      <c r="E2944" t="s">
        <v>2943</v>
      </c>
      <c r="F2944" t="s"/>
      <c r="G2944" t="s"/>
      <c r="H2944" t="s"/>
      <c r="I2944" t="s"/>
      <c r="J2944" t="n">
        <v>-0.8286</v>
      </c>
      <c r="K2944" t="n">
        <v>0.216</v>
      </c>
      <c r="L2944" t="n">
        <v>0.784</v>
      </c>
      <c r="M2944" t="n">
        <v>0</v>
      </c>
    </row>
    <row r="2945" spans="1:13">
      <c r="A2945" s="1">
        <f>HYPERLINK("http://www.twitter.com/NathanBLawrence/status/984307760237080577", "984307760237080577")</f>
        <v/>
      </c>
      <c r="B2945" s="2" t="n">
        <v>43202.24342592592</v>
      </c>
      <c r="C2945" t="n">
        <v>0</v>
      </c>
      <c r="D2945" t="n">
        <v>0</v>
      </c>
      <c r="E2945" t="s">
        <v>2944</v>
      </c>
      <c r="F2945" t="s"/>
      <c r="G2945" t="s"/>
      <c r="H2945" t="s"/>
      <c r="I2945" t="s"/>
      <c r="J2945" t="n">
        <v>-0.431</v>
      </c>
      <c r="K2945" t="n">
        <v>0.16</v>
      </c>
      <c r="L2945" t="n">
        <v>0.75</v>
      </c>
      <c r="M2945" t="n">
        <v>0.09</v>
      </c>
    </row>
    <row r="2946" spans="1:13">
      <c r="A2946" s="1">
        <f>HYPERLINK("http://www.twitter.com/NathanBLawrence/status/984306028455047168", "984306028455047168")</f>
        <v/>
      </c>
      <c r="B2946" s="2" t="n">
        <v>43202.23864583333</v>
      </c>
      <c r="C2946" t="n">
        <v>0</v>
      </c>
      <c r="D2946" t="n">
        <v>1</v>
      </c>
      <c r="E2946" t="s">
        <v>2945</v>
      </c>
      <c r="F2946" t="s"/>
      <c r="G2946" t="s"/>
      <c r="H2946" t="s"/>
      <c r="I2946" t="s"/>
      <c r="J2946" t="n">
        <v>0.2732</v>
      </c>
      <c r="K2946" t="n">
        <v>0.06</v>
      </c>
      <c r="L2946" t="n">
        <v>0.829</v>
      </c>
      <c r="M2946" t="n">
        <v>0.111</v>
      </c>
    </row>
    <row r="2947" spans="1:13">
      <c r="A2947" s="1">
        <f>HYPERLINK("http://www.twitter.com/NathanBLawrence/status/984306002626600961", "984306002626600961")</f>
        <v/>
      </c>
      <c r="B2947" s="2" t="n">
        <v>43202.23857638889</v>
      </c>
      <c r="C2947" t="n">
        <v>0</v>
      </c>
      <c r="D2947" t="n">
        <v>13</v>
      </c>
      <c r="E2947" t="s">
        <v>2946</v>
      </c>
      <c r="F2947">
        <f>HYPERLINK("http://pbs.twimg.com/media/Dai_POpXUAAyh-3.jpg", "http://pbs.twimg.com/media/Dai_POpXUAAyh-3.jpg")</f>
        <v/>
      </c>
      <c r="G2947" t="s"/>
      <c r="H2947" t="s"/>
      <c r="I2947" t="s"/>
      <c r="J2947" t="n">
        <v>-0.836</v>
      </c>
      <c r="K2947" t="n">
        <v>0.294</v>
      </c>
      <c r="L2947" t="n">
        <v>0.706</v>
      </c>
      <c r="M2947" t="n">
        <v>0</v>
      </c>
    </row>
    <row r="2948" spans="1:13">
      <c r="A2948" s="1">
        <f>HYPERLINK("http://www.twitter.com/NathanBLawrence/status/984304323281719297", "984304323281719297")</f>
        <v/>
      </c>
      <c r="B2948" s="2" t="n">
        <v>43202.23393518518</v>
      </c>
      <c r="C2948" t="n">
        <v>0</v>
      </c>
      <c r="D2948" t="n">
        <v>6</v>
      </c>
      <c r="E2948" t="s">
        <v>2947</v>
      </c>
      <c r="F2948" t="s"/>
      <c r="G2948" t="s"/>
      <c r="H2948" t="s"/>
      <c r="I2948" t="s"/>
      <c r="J2948" t="n">
        <v>-0.5719</v>
      </c>
      <c r="K2948" t="n">
        <v>0.239</v>
      </c>
      <c r="L2948" t="n">
        <v>0.761</v>
      </c>
      <c r="M2948" t="n">
        <v>0</v>
      </c>
    </row>
    <row r="2949" spans="1:13">
      <c r="A2949" s="1">
        <f>HYPERLINK("http://www.twitter.com/NathanBLawrence/status/984304217191079936", "984304217191079936")</f>
        <v/>
      </c>
      <c r="B2949" s="2" t="n">
        <v>43202.23364583333</v>
      </c>
      <c r="C2949" t="n">
        <v>0</v>
      </c>
      <c r="D2949" t="n">
        <v>1</v>
      </c>
      <c r="E2949" t="s">
        <v>2948</v>
      </c>
      <c r="F2949" t="s"/>
      <c r="G2949" t="s"/>
      <c r="H2949" t="s"/>
      <c r="I2949" t="s"/>
      <c r="J2949" t="n">
        <v>-0.128</v>
      </c>
      <c r="K2949" t="n">
        <v>0.081</v>
      </c>
      <c r="L2949" t="n">
        <v>0.919</v>
      </c>
      <c r="M2949" t="n">
        <v>0</v>
      </c>
    </row>
    <row r="2950" spans="1:13">
      <c r="A2950" s="1">
        <f>HYPERLINK("http://www.twitter.com/NathanBLawrence/status/984304207661535232", "984304207661535232")</f>
        <v/>
      </c>
      <c r="B2950" s="2" t="n">
        <v>43202.23362268518</v>
      </c>
      <c r="C2950" t="n">
        <v>0</v>
      </c>
      <c r="D2950" t="n">
        <v>2</v>
      </c>
      <c r="E2950" t="s">
        <v>2949</v>
      </c>
      <c r="F2950" t="s"/>
      <c r="G2950" t="s"/>
      <c r="H2950" t="s"/>
      <c r="I2950" t="s"/>
      <c r="J2950" t="n">
        <v>-0.0772</v>
      </c>
      <c r="K2950" t="n">
        <v>0.103</v>
      </c>
      <c r="L2950" t="n">
        <v>0.757</v>
      </c>
      <c r="M2950" t="n">
        <v>0.141</v>
      </c>
    </row>
    <row r="2951" spans="1:13">
      <c r="A2951" s="1">
        <f>HYPERLINK("http://www.twitter.com/NathanBLawrence/status/984304194030129153", "984304194030129153")</f>
        <v/>
      </c>
      <c r="B2951" s="2" t="n">
        <v>43202.23358796296</v>
      </c>
      <c r="C2951" t="n">
        <v>0</v>
      </c>
      <c r="D2951" t="n">
        <v>3</v>
      </c>
      <c r="E2951" t="s">
        <v>2950</v>
      </c>
      <c r="F2951" t="s"/>
      <c r="G2951" t="s"/>
      <c r="H2951" t="s"/>
      <c r="I2951" t="s"/>
      <c r="J2951" t="n">
        <v>-0.7125</v>
      </c>
      <c r="K2951" t="n">
        <v>0.298</v>
      </c>
      <c r="L2951" t="n">
        <v>0.702</v>
      </c>
      <c r="M2951" t="n">
        <v>0</v>
      </c>
    </row>
    <row r="2952" spans="1:13">
      <c r="A2952" s="1">
        <f>HYPERLINK("http://www.twitter.com/NathanBLawrence/status/984304180847370241", "984304180847370241")</f>
        <v/>
      </c>
      <c r="B2952" s="2" t="n">
        <v>43202.23354166667</v>
      </c>
      <c r="C2952" t="n">
        <v>0</v>
      </c>
      <c r="D2952" t="n">
        <v>3</v>
      </c>
      <c r="E2952" t="s">
        <v>2951</v>
      </c>
      <c r="F2952" t="s"/>
      <c r="G2952" t="s"/>
      <c r="H2952" t="s"/>
      <c r="I2952" t="s"/>
      <c r="J2952" t="n">
        <v>0</v>
      </c>
      <c r="K2952" t="n">
        <v>0</v>
      </c>
      <c r="L2952" t="n">
        <v>1</v>
      </c>
      <c r="M2952" t="n">
        <v>0</v>
      </c>
    </row>
    <row r="2953" spans="1:13">
      <c r="A2953" s="1">
        <f>HYPERLINK("http://www.twitter.com/NathanBLawrence/status/984304159628374016", "984304159628374016")</f>
        <v/>
      </c>
      <c r="B2953" s="2" t="n">
        <v>43202.2334837963</v>
      </c>
      <c r="C2953" t="n">
        <v>0</v>
      </c>
      <c r="D2953" t="n">
        <v>1</v>
      </c>
      <c r="E2953" t="s">
        <v>2952</v>
      </c>
      <c r="F2953" t="s"/>
      <c r="G2953" t="s"/>
      <c r="H2953" t="s"/>
      <c r="I2953" t="s"/>
      <c r="J2953" t="n">
        <v>-0.7501</v>
      </c>
      <c r="K2953" t="n">
        <v>0.299</v>
      </c>
      <c r="L2953" t="n">
        <v>0.701</v>
      </c>
      <c r="M2953" t="n">
        <v>0</v>
      </c>
    </row>
    <row r="2954" spans="1:13">
      <c r="A2954" s="1">
        <f>HYPERLINK("http://www.twitter.com/NathanBLawrence/status/984301762755559424", "984301762755559424")</f>
        <v/>
      </c>
      <c r="B2954" s="2" t="n">
        <v>43202.226875</v>
      </c>
      <c r="C2954" t="n">
        <v>0</v>
      </c>
      <c r="D2954" t="n">
        <v>1</v>
      </c>
      <c r="E2954" t="s">
        <v>2953</v>
      </c>
      <c r="F2954" t="s"/>
      <c r="G2954" t="s"/>
      <c r="H2954" t="s"/>
      <c r="I2954" t="s"/>
      <c r="J2954" t="n">
        <v>-0.3818</v>
      </c>
      <c r="K2954" t="n">
        <v>0.104</v>
      </c>
      <c r="L2954" t="n">
        <v>0.896</v>
      </c>
      <c r="M2954" t="n">
        <v>0</v>
      </c>
    </row>
    <row r="2955" spans="1:13">
      <c r="A2955" s="1">
        <f>HYPERLINK("http://www.twitter.com/NathanBLawrence/status/984299721748566016", "984299721748566016")</f>
        <v/>
      </c>
      <c r="B2955" s="2" t="n">
        <v>43202.22123842593</v>
      </c>
      <c r="C2955" t="n">
        <v>0</v>
      </c>
      <c r="D2955" t="n">
        <v>0</v>
      </c>
      <c r="E2955" t="s">
        <v>2954</v>
      </c>
      <c r="F2955" t="s"/>
      <c r="G2955" t="s"/>
      <c r="H2955" t="s"/>
      <c r="I2955" t="s"/>
      <c r="J2955" t="n">
        <v>-0.6335</v>
      </c>
      <c r="K2955" t="n">
        <v>0.507</v>
      </c>
      <c r="L2955" t="n">
        <v>0.323</v>
      </c>
      <c r="M2955" t="n">
        <v>0.17</v>
      </c>
    </row>
    <row r="2956" spans="1:13">
      <c r="A2956" s="1">
        <f>HYPERLINK("http://www.twitter.com/NathanBLawrence/status/984299296181891072", "984299296181891072")</f>
        <v/>
      </c>
      <c r="B2956" s="2" t="n">
        <v>43202.22006944445</v>
      </c>
      <c r="C2956" t="n">
        <v>0</v>
      </c>
      <c r="D2956" t="n">
        <v>0</v>
      </c>
      <c r="E2956" t="s">
        <v>2955</v>
      </c>
      <c r="F2956" t="s"/>
      <c r="G2956" t="s"/>
      <c r="H2956" t="s"/>
      <c r="I2956" t="s"/>
      <c r="J2956" t="n">
        <v>0</v>
      </c>
      <c r="K2956" t="n">
        <v>0</v>
      </c>
      <c r="L2956" t="n">
        <v>1</v>
      </c>
      <c r="M2956" t="n">
        <v>0</v>
      </c>
    </row>
    <row r="2957" spans="1:13">
      <c r="A2957" s="1">
        <f>HYPERLINK("http://www.twitter.com/NathanBLawrence/status/984299019223683073", "984299019223683073")</f>
        <v/>
      </c>
      <c r="B2957" s="2" t="n">
        <v>43202.21930555555</v>
      </c>
      <c r="C2957" t="n">
        <v>1</v>
      </c>
      <c r="D2957" t="n">
        <v>0</v>
      </c>
      <c r="E2957" t="s">
        <v>2956</v>
      </c>
      <c r="F2957" t="s"/>
      <c r="G2957" t="s"/>
      <c r="H2957" t="s"/>
      <c r="I2957" t="s"/>
      <c r="J2957" t="n">
        <v>0</v>
      </c>
      <c r="K2957" t="n">
        <v>0</v>
      </c>
      <c r="L2957" t="n">
        <v>1</v>
      </c>
      <c r="M2957" t="n">
        <v>0</v>
      </c>
    </row>
    <row r="2958" spans="1:13">
      <c r="A2958" s="1">
        <f>HYPERLINK("http://www.twitter.com/NathanBLawrence/status/984298385304899585", "984298385304899585")</f>
        <v/>
      </c>
      <c r="B2958" s="2" t="n">
        <v>43202.21755787037</v>
      </c>
      <c r="C2958" t="n">
        <v>1</v>
      </c>
      <c r="D2958" t="n">
        <v>0</v>
      </c>
      <c r="E2958" t="s">
        <v>2957</v>
      </c>
      <c r="F2958" t="s"/>
      <c r="G2958" t="s"/>
      <c r="H2958" t="s"/>
      <c r="I2958" t="s"/>
      <c r="J2958" t="n">
        <v>-0.2263</v>
      </c>
      <c r="K2958" t="n">
        <v>0.18</v>
      </c>
      <c r="L2958" t="n">
        <v>0.6929999999999999</v>
      </c>
      <c r="M2958" t="n">
        <v>0.127</v>
      </c>
    </row>
    <row r="2959" spans="1:13">
      <c r="A2959" s="1">
        <f>HYPERLINK("http://www.twitter.com/NathanBLawrence/status/984297866742173696", "984297866742173696")</f>
        <v/>
      </c>
      <c r="B2959" s="2" t="n">
        <v>43202.21612268518</v>
      </c>
      <c r="C2959" t="n">
        <v>0</v>
      </c>
      <c r="D2959" t="n">
        <v>3</v>
      </c>
      <c r="E2959" t="s">
        <v>2958</v>
      </c>
      <c r="F2959" t="s"/>
      <c r="G2959" t="s"/>
      <c r="H2959" t="s"/>
      <c r="I2959" t="s"/>
      <c r="J2959" t="n">
        <v>-0.5574</v>
      </c>
      <c r="K2959" t="n">
        <v>0.175</v>
      </c>
      <c r="L2959" t="n">
        <v>0.825</v>
      </c>
      <c r="M2959" t="n">
        <v>0</v>
      </c>
    </row>
    <row r="2960" spans="1:13">
      <c r="A2960" s="1">
        <f>HYPERLINK("http://www.twitter.com/NathanBLawrence/status/984297660155879425", "984297660155879425")</f>
        <v/>
      </c>
      <c r="B2960" s="2" t="n">
        <v>43202.21555555556</v>
      </c>
      <c r="C2960" t="n">
        <v>6</v>
      </c>
      <c r="D2960" t="n">
        <v>5</v>
      </c>
      <c r="E2960" t="s">
        <v>2959</v>
      </c>
      <c r="F2960" t="s"/>
      <c r="G2960" t="s"/>
      <c r="H2960" t="s"/>
      <c r="I2960" t="s"/>
      <c r="J2960" t="n">
        <v>0.8356</v>
      </c>
      <c r="K2960" t="n">
        <v>0.041</v>
      </c>
      <c r="L2960" t="n">
        <v>0.743</v>
      </c>
      <c r="M2960" t="n">
        <v>0.216</v>
      </c>
    </row>
    <row r="2961" spans="1:13">
      <c r="A2961" s="1">
        <f>HYPERLINK("http://www.twitter.com/NathanBLawrence/status/984296371867078657", "984296371867078657")</f>
        <v/>
      </c>
      <c r="B2961" s="2" t="n">
        <v>43202.21200231482</v>
      </c>
      <c r="C2961" t="n">
        <v>0</v>
      </c>
      <c r="D2961" t="n">
        <v>8</v>
      </c>
      <c r="E2961" t="s">
        <v>2960</v>
      </c>
      <c r="F2961" t="s"/>
      <c r="G2961" t="s"/>
      <c r="H2961" t="s"/>
      <c r="I2961" t="s"/>
      <c r="J2961" t="n">
        <v>-0.5719</v>
      </c>
      <c r="K2961" t="n">
        <v>0.144</v>
      </c>
      <c r="L2961" t="n">
        <v>0.856</v>
      </c>
      <c r="M2961" t="n">
        <v>0</v>
      </c>
    </row>
    <row r="2962" spans="1:13">
      <c r="A2962" s="1">
        <f>HYPERLINK("http://www.twitter.com/NathanBLawrence/status/984296238949519360", "984296238949519360")</f>
        <v/>
      </c>
      <c r="B2962" s="2" t="n">
        <v>43202.21163194445</v>
      </c>
      <c r="C2962" t="n">
        <v>0</v>
      </c>
      <c r="D2962" t="n">
        <v>7</v>
      </c>
      <c r="E2962" t="s">
        <v>2961</v>
      </c>
      <c r="F2962" t="s"/>
      <c r="G2962" t="s"/>
      <c r="H2962" t="s"/>
      <c r="I2962" t="s"/>
      <c r="J2962" t="n">
        <v>0.8316</v>
      </c>
      <c r="K2962" t="n">
        <v>0</v>
      </c>
      <c r="L2962" t="n">
        <v>0.645</v>
      </c>
      <c r="M2962" t="n">
        <v>0.355</v>
      </c>
    </row>
    <row r="2963" spans="1:13">
      <c r="A2963" s="1">
        <f>HYPERLINK("http://www.twitter.com/NathanBLawrence/status/984296097689587712", "984296097689587712")</f>
        <v/>
      </c>
      <c r="B2963" s="2" t="n">
        <v>43202.21123842592</v>
      </c>
      <c r="C2963" t="n">
        <v>0</v>
      </c>
      <c r="D2963" t="n">
        <v>8</v>
      </c>
      <c r="E2963" t="s">
        <v>2962</v>
      </c>
      <c r="F2963" t="s"/>
      <c r="G2963" t="s"/>
      <c r="H2963" t="s"/>
      <c r="I2963" t="s"/>
      <c r="J2963" t="n">
        <v>-0.6597</v>
      </c>
      <c r="K2963" t="n">
        <v>0.221</v>
      </c>
      <c r="L2963" t="n">
        <v>0.779</v>
      </c>
      <c r="M2963" t="n">
        <v>0</v>
      </c>
    </row>
    <row r="2964" spans="1:13">
      <c r="A2964" s="1">
        <f>HYPERLINK("http://www.twitter.com/NathanBLawrence/status/984295886430916613", "984295886430916613")</f>
        <v/>
      </c>
      <c r="B2964" s="2" t="n">
        <v>43202.21065972222</v>
      </c>
      <c r="C2964" t="n">
        <v>0</v>
      </c>
      <c r="D2964" t="n">
        <v>9</v>
      </c>
      <c r="E2964" t="s">
        <v>2963</v>
      </c>
      <c r="F2964">
        <f>HYPERLINK("http://pbs.twimg.com/media/DajcX0tX0AAVKCl.jpg", "http://pbs.twimg.com/media/DajcX0tX0AAVKCl.jpg")</f>
        <v/>
      </c>
      <c r="G2964" t="s"/>
      <c r="H2964" t="s"/>
      <c r="I2964" t="s"/>
      <c r="J2964" t="n">
        <v>0.4759</v>
      </c>
      <c r="K2964" t="n">
        <v>0.113</v>
      </c>
      <c r="L2964" t="n">
        <v>0.633</v>
      </c>
      <c r="M2964" t="n">
        <v>0.253</v>
      </c>
    </row>
    <row r="2965" spans="1:13">
      <c r="A2965" s="1">
        <f>HYPERLINK("http://www.twitter.com/NathanBLawrence/status/984295183561973760", "984295183561973760")</f>
        <v/>
      </c>
      <c r="B2965" s="2" t="n">
        <v>43202.20871527777</v>
      </c>
      <c r="C2965" t="n">
        <v>0</v>
      </c>
      <c r="D2965" t="n">
        <v>5</v>
      </c>
      <c r="E2965" t="s">
        <v>2964</v>
      </c>
      <c r="F2965" t="s"/>
      <c r="G2965" t="s"/>
      <c r="H2965" t="s"/>
      <c r="I2965" t="s"/>
      <c r="J2965" t="n">
        <v>0</v>
      </c>
      <c r="K2965" t="n">
        <v>0</v>
      </c>
      <c r="L2965" t="n">
        <v>1</v>
      </c>
      <c r="M2965" t="n">
        <v>0</v>
      </c>
    </row>
    <row r="2966" spans="1:13">
      <c r="A2966" s="1">
        <f>HYPERLINK("http://www.twitter.com/NathanBLawrence/status/984293468615868422", "984293468615868422")</f>
        <v/>
      </c>
      <c r="B2966" s="2" t="n">
        <v>43202.20398148148</v>
      </c>
      <c r="C2966" t="n">
        <v>1</v>
      </c>
      <c r="D2966" t="n">
        <v>0</v>
      </c>
      <c r="E2966" t="s">
        <v>2965</v>
      </c>
      <c r="F2966" t="s"/>
      <c r="G2966" t="s"/>
      <c r="H2966" t="s"/>
      <c r="I2966" t="s"/>
      <c r="J2966" t="n">
        <v>-0.1531</v>
      </c>
      <c r="K2966" t="n">
        <v>0.07199999999999999</v>
      </c>
      <c r="L2966" t="n">
        <v>0.867</v>
      </c>
      <c r="M2966" t="n">
        <v>0.062</v>
      </c>
    </row>
    <row r="2967" spans="1:13">
      <c r="A2967" s="1">
        <f>HYPERLINK("http://www.twitter.com/NathanBLawrence/status/984292036017885184", "984292036017885184")</f>
        <v/>
      </c>
      <c r="B2967" s="2" t="n">
        <v>43202.20003472222</v>
      </c>
      <c r="C2967" t="n">
        <v>0</v>
      </c>
      <c r="D2967" t="n">
        <v>2</v>
      </c>
      <c r="E2967" t="s">
        <v>2966</v>
      </c>
      <c r="F2967" t="s"/>
      <c r="G2967" t="s"/>
      <c r="H2967" t="s"/>
      <c r="I2967" t="s"/>
      <c r="J2967" t="n">
        <v>-0.3182</v>
      </c>
      <c r="K2967" t="n">
        <v>0.119</v>
      </c>
      <c r="L2967" t="n">
        <v>0.881</v>
      </c>
      <c r="M2967" t="n">
        <v>0</v>
      </c>
    </row>
    <row r="2968" spans="1:13">
      <c r="A2968" s="1">
        <f>HYPERLINK("http://www.twitter.com/NathanBLawrence/status/984281884631937024", "984281884631937024")</f>
        <v/>
      </c>
      <c r="B2968" s="2" t="n">
        <v>43202.17202546296</v>
      </c>
      <c r="C2968" t="n">
        <v>0</v>
      </c>
      <c r="D2968" t="n">
        <v>0</v>
      </c>
      <c r="E2968" t="s">
        <v>2967</v>
      </c>
      <c r="F2968" t="s"/>
      <c r="G2968" t="s"/>
      <c r="H2968" t="s"/>
      <c r="I2968" t="s"/>
      <c r="J2968" t="n">
        <v>0.3612</v>
      </c>
      <c r="K2968" t="n">
        <v>0</v>
      </c>
      <c r="L2968" t="n">
        <v>0.667</v>
      </c>
      <c r="M2968" t="n">
        <v>0.333</v>
      </c>
    </row>
    <row r="2969" spans="1:13">
      <c r="A2969" s="1">
        <f>HYPERLINK("http://www.twitter.com/NathanBLawrence/status/984279990425538560", "984279990425538560")</f>
        <v/>
      </c>
      <c r="B2969" s="2" t="n">
        <v>43202.16679398148</v>
      </c>
      <c r="C2969" t="n">
        <v>12</v>
      </c>
      <c r="D2969" t="n">
        <v>8</v>
      </c>
      <c r="E2969" t="s">
        <v>2968</v>
      </c>
      <c r="F2969" t="s"/>
      <c r="G2969" t="s"/>
      <c r="H2969" t="s"/>
      <c r="I2969" t="s"/>
      <c r="J2969" t="n">
        <v>-0.4404</v>
      </c>
      <c r="K2969" t="n">
        <v>0.11</v>
      </c>
      <c r="L2969" t="n">
        <v>0.838</v>
      </c>
      <c r="M2969" t="n">
        <v>0.051</v>
      </c>
    </row>
    <row r="2970" spans="1:13">
      <c r="A2970" s="1">
        <f>HYPERLINK("http://www.twitter.com/NathanBLawrence/status/984277875963637760", "984277875963637760")</f>
        <v/>
      </c>
      <c r="B2970" s="2" t="n">
        <v>43202.16096064815</v>
      </c>
      <c r="C2970" t="n">
        <v>1</v>
      </c>
      <c r="D2970" t="n">
        <v>1</v>
      </c>
      <c r="E2970" t="s">
        <v>2969</v>
      </c>
      <c r="F2970" t="s"/>
      <c r="G2970" t="s"/>
      <c r="H2970" t="s"/>
      <c r="I2970" t="s"/>
      <c r="J2970" t="n">
        <v>0.4082</v>
      </c>
      <c r="K2970" t="n">
        <v>0.157</v>
      </c>
      <c r="L2970" t="n">
        <v>0.5590000000000001</v>
      </c>
      <c r="M2970" t="n">
        <v>0.284</v>
      </c>
    </row>
    <row r="2971" spans="1:13">
      <c r="A2971" s="1">
        <f>HYPERLINK("http://www.twitter.com/NathanBLawrence/status/984277610711732224", "984277610711732224")</f>
        <v/>
      </c>
      <c r="B2971" s="2" t="n">
        <v>43202.16023148148</v>
      </c>
      <c r="C2971" t="n">
        <v>0</v>
      </c>
      <c r="D2971" t="n">
        <v>2</v>
      </c>
      <c r="E2971" t="s">
        <v>2970</v>
      </c>
      <c r="F2971" t="s"/>
      <c r="G2971" t="s"/>
      <c r="H2971" t="s"/>
      <c r="I2971" t="s"/>
      <c r="J2971" t="n">
        <v>-0.296</v>
      </c>
      <c r="K2971" t="n">
        <v>0.099</v>
      </c>
      <c r="L2971" t="n">
        <v>0.901</v>
      </c>
      <c r="M2971" t="n">
        <v>0</v>
      </c>
    </row>
    <row r="2972" spans="1:13">
      <c r="A2972" s="1">
        <f>HYPERLINK("http://www.twitter.com/NathanBLawrence/status/984276348549128194", "984276348549128194")</f>
        <v/>
      </c>
      <c r="B2972" s="2" t="n">
        <v>43202.15674768519</v>
      </c>
      <c r="C2972" t="n">
        <v>0</v>
      </c>
      <c r="D2972" t="n">
        <v>1</v>
      </c>
      <c r="E2972" t="s">
        <v>2971</v>
      </c>
      <c r="F2972" t="s"/>
      <c r="G2972" t="s"/>
      <c r="H2972" t="s"/>
      <c r="I2972" t="s"/>
      <c r="J2972" t="n">
        <v>-0.5994</v>
      </c>
      <c r="K2972" t="n">
        <v>0.211</v>
      </c>
      <c r="L2972" t="n">
        <v>0.789</v>
      </c>
      <c r="M2972" t="n">
        <v>0</v>
      </c>
    </row>
    <row r="2973" spans="1:13">
      <c r="A2973" s="1">
        <f>HYPERLINK("http://www.twitter.com/NathanBLawrence/status/984275026148020226", "984275026148020226")</f>
        <v/>
      </c>
      <c r="B2973" s="2" t="n">
        <v>43202.15309027778</v>
      </c>
      <c r="C2973" t="n">
        <v>6</v>
      </c>
      <c r="D2973" t="n">
        <v>5</v>
      </c>
      <c r="E2973" t="s">
        <v>2972</v>
      </c>
      <c r="F2973" t="s"/>
      <c r="G2973" t="s"/>
      <c r="H2973" t="s"/>
      <c r="I2973" t="s"/>
      <c r="J2973" t="n">
        <v>0.4215</v>
      </c>
      <c r="K2973" t="n">
        <v>0.042</v>
      </c>
      <c r="L2973" t="n">
        <v>0.862</v>
      </c>
      <c r="M2973" t="n">
        <v>0.096</v>
      </c>
    </row>
    <row r="2974" spans="1:13">
      <c r="A2974" s="1">
        <f>HYPERLINK("http://www.twitter.com/NathanBLawrence/status/984273938153865216", "984273938153865216")</f>
        <v/>
      </c>
      <c r="B2974" s="2" t="n">
        <v>43202.15009259259</v>
      </c>
      <c r="C2974" t="n">
        <v>0</v>
      </c>
      <c r="D2974" t="n">
        <v>5</v>
      </c>
      <c r="E2974" t="s">
        <v>2973</v>
      </c>
      <c r="F2974" t="s"/>
      <c r="G2974" t="s"/>
      <c r="H2974" t="s"/>
      <c r="I2974" t="s"/>
      <c r="J2974" t="n">
        <v>0</v>
      </c>
      <c r="K2974" t="n">
        <v>0</v>
      </c>
      <c r="L2974" t="n">
        <v>1</v>
      </c>
      <c r="M2974" t="n">
        <v>0</v>
      </c>
    </row>
    <row r="2975" spans="1:13">
      <c r="A2975" s="1">
        <f>HYPERLINK("http://www.twitter.com/NathanBLawrence/status/984273921863290880", "984273921863290880")</f>
        <v/>
      </c>
      <c r="B2975" s="2" t="n">
        <v>43202.15004629629</v>
      </c>
      <c r="C2975" t="n">
        <v>0</v>
      </c>
      <c r="D2975" t="n">
        <v>6</v>
      </c>
      <c r="E2975" t="s">
        <v>2974</v>
      </c>
      <c r="F2975" t="s"/>
      <c r="G2975" t="s"/>
      <c r="H2975" t="s"/>
      <c r="I2975" t="s"/>
      <c r="J2975" t="n">
        <v>-0.25</v>
      </c>
      <c r="K2975" t="n">
        <v>0.237</v>
      </c>
      <c r="L2975" t="n">
        <v>0.592</v>
      </c>
      <c r="M2975" t="n">
        <v>0.171</v>
      </c>
    </row>
    <row r="2976" spans="1:13">
      <c r="A2976" s="1">
        <f>HYPERLINK("http://www.twitter.com/NathanBLawrence/status/984273692095074306", "984273692095074306")</f>
        <v/>
      </c>
      <c r="B2976" s="2" t="n">
        <v>43202.14940972222</v>
      </c>
      <c r="C2976" t="n">
        <v>0</v>
      </c>
      <c r="D2976" t="n">
        <v>2</v>
      </c>
      <c r="E2976" t="s">
        <v>2975</v>
      </c>
      <c r="F2976" t="s"/>
      <c r="G2976" t="s"/>
      <c r="H2976" t="s"/>
      <c r="I2976" t="s"/>
      <c r="J2976" t="n">
        <v>0</v>
      </c>
      <c r="K2976" t="n">
        <v>0</v>
      </c>
      <c r="L2976" t="n">
        <v>1</v>
      </c>
      <c r="M2976" t="n">
        <v>0</v>
      </c>
    </row>
    <row r="2977" spans="1:13">
      <c r="A2977" s="1">
        <f>HYPERLINK("http://www.twitter.com/NathanBLawrence/status/984273246500589570", "984273246500589570")</f>
        <v/>
      </c>
      <c r="B2977" s="2" t="n">
        <v>43202.14818287037</v>
      </c>
      <c r="C2977" t="n">
        <v>2</v>
      </c>
      <c r="D2977" t="n">
        <v>0</v>
      </c>
      <c r="E2977" t="s">
        <v>2976</v>
      </c>
      <c r="F2977" t="s"/>
      <c r="G2977" t="s"/>
      <c r="H2977" t="s"/>
      <c r="I2977" t="s"/>
      <c r="J2977" t="n">
        <v>0</v>
      </c>
      <c r="K2977" t="n">
        <v>0</v>
      </c>
      <c r="L2977" t="n">
        <v>1</v>
      </c>
      <c r="M2977" t="n">
        <v>0</v>
      </c>
    </row>
    <row r="2978" spans="1:13">
      <c r="A2978" s="1">
        <f>HYPERLINK("http://www.twitter.com/NathanBLawrence/status/984272744949960704", "984272744949960704")</f>
        <v/>
      </c>
      <c r="B2978" s="2" t="n">
        <v>43202.14679398148</v>
      </c>
      <c r="C2978" t="n">
        <v>2</v>
      </c>
      <c r="D2978" t="n">
        <v>3</v>
      </c>
      <c r="E2978" t="s">
        <v>2977</v>
      </c>
      <c r="F2978" t="s"/>
      <c r="G2978" t="s"/>
      <c r="H2978" t="s"/>
      <c r="I2978" t="s"/>
      <c r="J2978" t="n">
        <v>-0.3939</v>
      </c>
      <c r="K2978" t="n">
        <v>0.058</v>
      </c>
      <c r="L2978" t="n">
        <v>0.9419999999999999</v>
      </c>
      <c r="M2978" t="n">
        <v>0</v>
      </c>
    </row>
    <row r="2979" spans="1:13">
      <c r="A2979" s="1">
        <f>HYPERLINK("http://www.twitter.com/NathanBLawrence/status/984271330936852481", "984271330936852481")</f>
        <v/>
      </c>
      <c r="B2979" s="2" t="n">
        <v>43202.14289351852</v>
      </c>
      <c r="C2979" t="n">
        <v>2</v>
      </c>
      <c r="D2979" t="n">
        <v>1</v>
      </c>
      <c r="E2979" t="s">
        <v>2978</v>
      </c>
      <c r="F2979" t="s"/>
      <c r="G2979" t="s"/>
      <c r="H2979" t="s"/>
      <c r="I2979" t="s"/>
      <c r="J2979" t="n">
        <v>0.3612</v>
      </c>
      <c r="K2979" t="n">
        <v>0.062</v>
      </c>
      <c r="L2979" t="n">
        <v>0.8139999999999999</v>
      </c>
      <c r="M2979" t="n">
        <v>0.124</v>
      </c>
    </row>
    <row r="2980" spans="1:13">
      <c r="A2980" s="1">
        <f>HYPERLINK("http://www.twitter.com/NathanBLawrence/status/984269349082091526", "984269349082091526")</f>
        <v/>
      </c>
      <c r="B2980" s="2" t="n">
        <v>43202.13743055556</v>
      </c>
      <c r="C2980" t="n">
        <v>1</v>
      </c>
      <c r="D2980" t="n">
        <v>0</v>
      </c>
      <c r="E2980" t="s">
        <v>2979</v>
      </c>
      <c r="F2980" t="s"/>
      <c r="G2980" t="s"/>
      <c r="H2980" t="s"/>
      <c r="I2980" t="s"/>
      <c r="J2980" t="n">
        <v>-0.5829</v>
      </c>
      <c r="K2980" t="n">
        <v>0.172</v>
      </c>
      <c r="L2980" t="n">
        <v>0.828</v>
      </c>
      <c r="M2980" t="n">
        <v>0</v>
      </c>
    </row>
    <row r="2981" spans="1:13">
      <c r="A2981" s="1">
        <f>HYPERLINK("http://www.twitter.com/NathanBLawrence/status/984268172294610945", "984268172294610945")</f>
        <v/>
      </c>
      <c r="B2981" s="2" t="n">
        <v>43202.13417824074</v>
      </c>
      <c r="C2981" t="n">
        <v>0</v>
      </c>
      <c r="D2981" t="n">
        <v>0</v>
      </c>
      <c r="E2981" t="s">
        <v>2980</v>
      </c>
      <c r="F2981" t="s"/>
      <c r="G2981" t="s"/>
      <c r="H2981" t="s"/>
      <c r="I2981" t="s"/>
      <c r="J2981" t="n">
        <v>0</v>
      </c>
      <c r="K2981" t="n">
        <v>0</v>
      </c>
      <c r="L2981" t="n">
        <v>1</v>
      </c>
      <c r="M2981" t="n">
        <v>0</v>
      </c>
    </row>
    <row r="2982" spans="1:13">
      <c r="A2982" s="1">
        <f>HYPERLINK("http://www.twitter.com/NathanBLawrence/status/984237119743946753", "984237119743946753")</f>
        <v/>
      </c>
      <c r="B2982" s="2" t="n">
        <v>43202.04849537037</v>
      </c>
      <c r="C2982" t="n">
        <v>1</v>
      </c>
      <c r="D2982" t="n">
        <v>1</v>
      </c>
      <c r="E2982" t="s">
        <v>2981</v>
      </c>
      <c r="F2982" t="s"/>
      <c r="G2982" t="s"/>
      <c r="H2982" t="s"/>
      <c r="I2982" t="s"/>
      <c r="J2982" t="n">
        <v>-0.2732</v>
      </c>
      <c r="K2982" t="n">
        <v>0.149</v>
      </c>
      <c r="L2982" t="n">
        <v>0.851</v>
      </c>
      <c r="M2982" t="n">
        <v>0</v>
      </c>
    </row>
    <row r="2983" spans="1:13">
      <c r="A2983" s="1">
        <f>HYPERLINK("http://www.twitter.com/NathanBLawrence/status/984225383791898625", "984225383791898625")</f>
        <v/>
      </c>
      <c r="B2983" s="2" t="n">
        <v>43202.01611111111</v>
      </c>
      <c r="C2983" t="n">
        <v>0</v>
      </c>
      <c r="D2983" t="n">
        <v>6</v>
      </c>
      <c r="E2983" t="s">
        <v>2982</v>
      </c>
      <c r="F2983" t="s"/>
      <c r="G2983" t="s"/>
      <c r="H2983" t="s"/>
      <c r="I2983" t="s"/>
      <c r="J2983" t="n">
        <v>-0.5994</v>
      </c>
      <c r="K2983" t="n">
        <v>0.281</v>
      </c>
      <c r="L2983" t="n">
        <v>0.719</v>
      </c>
      <c r="M2983" t="n">
        <v>0</v>
      </c>
    </row>
    <row r="2984" spans="1:13">
      <c r="A2984" s="1">
        <f>HYPERLINK("http://www.twitter.com/NathanBLawrence/status/984225141407342597", "984225141407342597")</f>
        <v/>
      </c>
      <c r="B2984" s="2" t="n">
        <v>43202.01543981482</v>
      </c>
      <c r="C2984" t="n">
        <v>1</v>
      </c>
      <c r="D2984" t="n">
        <v>0</v>
      </c>
      <c r="E2984" t="s">
        <v>2983</v>
      </c>
      <c r="F2984">
        <f>HYPERLINK("http://pbs.twimg.com/media/Dairi45U8AAkQy3.jpg", "http://pbs.twimg.com/media/Dairi45U8AAkQy3.jpg")</f>
        <v/>
      </c>
      <c r="G2984" t="s"/>
      <c r="H2984" t="s"/>
      <c r="I2984" t="s"/>
      <c r="J2984" t="n">
        <v>0</v>
      </c>
      <c r="K2984" t="n">
        <v>0</v>
      </c>
      <c r="L2984" t="n">
        <v>1</v>
      </c>
      <c r="M2984" t="n">
        <v>0</v>
      </c>
    </row>
    <row r="2985" spans="1:13">
      <c r="A2985" s="1">
        <f>HYPERLINK("http://www.twitter.com/NathanBLawrence/status/984222012582359040", "984222012582359040")</f>
        <v/>
      </c>
      <c r="B2985" s="2" t="n">
        <v>43202.00680555555</v>
      </c>
      <c r="C2985" t="n">
        <v>0</v>
      </c>
      <c r="D2985" t="n">
        <v>1</v>
      </c>
      <c r="E2985" t="s">
        <v>2984</v>
      </c>
      <c r="F2985" t="s"/>
      <c r="G2985" t="s"/>
      <c r="H2985" t="s"/>
      <c r="I2985" t="s"/>
      <c r="J2985" t="n">
        <v>0.4588</v>
      </c>
      <c r="K2985" t="n">
        <v>0</v>
      </c>
      <c r="L2985" t="n">
        <v>0.927</v>
      </c>
      <c r="M2985" t="n">
        <v>0.073</v>
      </c>
    </row>
    <row r="2986" spans="1:13">
      <c r="A2986" s="1">
        <f>HYPERLINK("http://www.twitter.com/NathanBLawrence/status/984220129910251520", "984220129910251520")</f>
        <v/>
      </c>
      <c r="B2986" s="2" t="n">
        <v>43202.00160879629</v>
      </c>
      <c r="C2986" t="n">
        <v>0</v>
      </c>
      <c r="D2986" t="n">
        <v>0</v>
      </c>
      <c r="E2986" t="s">
        <v>2985</v>
      </c>
      <c r="F2986" t="s"/>
      <c r="G2986" t="s"/>
      <c r="H2986" t="s"/>
      <c r="I2986" t="s"/>
      <c r="J2986" t="n">
        <v>0.0258</v>
      </c>
      <c r="K2986" t="n">
        <v>0.096</v>
      </c>
      <c r="L2986" t="n">
        <v>0.803</v>
      </c>
      <c r="M2986" t="n">
        <v>0.1</v>
      </c>
    </row>
    <row r="2987" spans="1:13">
      <c r="A2987" s="1">
        <f>HYPERLINK("http://www.twitter.com/NathanBLawrence/status/984198577172942848", "984198577172942848")</f>
        <v/>
      </c>
      <c r="B2987" s="2" t="n">
        <v>43201.94212962963</v>
      </c>
      <c r="C2987" t="n">
        <v>0</v>
      </c>
      <c r="D2987" t="n">
        <v>1</v>
      </c>
      <c r="E2987" t="s">
        <v>2986</v>
      </c>
      <c r="F2987" t="s"/>
      <c r="G2987" t="s"/>
      <c r="H2987" t="s"/>
      <c r="I2987" t="s"/>
      <c r="J2987" t="n">
        <v>-0.5266999999999999</v>
      </c>
      <c r="K2987" t="n">
        <v>0.253</v>
      </c>
      <c r="L2987" t="n">
        <v>0.632</v>
      </c>
      <c r="M2987" t="n">
        <v>0.115</v>
      </c>
    </row>
    <row r="2988" spans="1:13">
      <c r="A2988" s="1">
        <f>HYPERLINK("http://www.twitter.com/NathanBLawrence/status/984198126104956929", "984198126104956929")</f>
        <v/>
      </c>
      <c r="B2988" s="2" t="n">
        <v>43201.9408912037</v>
      </c>
      <c r="C2988" t="n">
        <v>0</v>
      </c>
      <c r="D2988" t="n">
        <v>1</v>
      </c>
      <c r="E2988" t="s">
        <v>2987</v>
      </c>
      <c r="F2988" t="s"/>
      <c r="G2988" t="s"/>
      <c r="H2988" t="s"/>
      <c r="I2988" t="s"/>
      <c r="J2988" t="n">
        <v>-0.4854</v>
      </c>
      <c r="K2988" t="n">
        <v>0.213</v>
      </c>
      <c r="L2988" t="n">
        <v>0.787</v>
      </c>
      <c r="M2988" t="n">
        <v>0</v>
      </c>
    </row>
    <row r="2989" spans="1:13">
      <c r="A2989" s="1">
        <f>HYPERLINK("http://www.twitter.com/NathanBLawrence/status/984197372514271232", "984197372514271232")</f>
        <v/>
      </c>
      <c r="B2989" s="2" t="n">
        <v>43201.93880787037</v>
      </c>
      <c r="C2989" t="n">
        <v>7</v>
      </c>
      <c r="D2989" t="n">
        <v>5</v>
      </c>
      <c r="E2989" t="s">
        <v>2988</v>
      </c>
      <c r="F2989" t="s"/>
      <c r="G2989" t="s"/>
      <c r="H2989" t="s"/>
      <c r="I2989" t="s"/>
      <c r="J2989" t="n">
        <v>0.0103</v>
      </c>
      <c r="K2989" t="n">
        <v>0.127</v>
      </c>
      <c r="L2989" t="n">
        <v>0.708</v>
      </c>
      <c r="M2989" t="n">
        <v>0.164</v>
      </c>
    </row>
    <row r="2990" spans="1:13">
      <c r="A2990" s="1">
        <f>HYPERLINK("http://www.twitter.com/NathanBLawrence/status/984194537433247756", "984194537433247756")</f>
        <v/>
      </c>
      <c r="B2990" s="2" t="n">
        <v>43201.93098379629</v>
      </c>
      <c r="C2990" t="n">
        <v>0</v>
      </c>
      <c r="D2990" t="n">
        <v>0</v>
      </c>
      <c r="E2990" t="s">
        <v>2989</v>
      </c>
      <c r="F2990" t="s"/>
      <c r="G2990" t="s"/>
      <c r="H2990" t="s"/>
      <c r="I2990" t="s"/>
      <c r="J2990" t="n">
        <v>0.7125</v>
      </c>
      <c r="K2990" t="n">
        <v>0</v>
      </c>
      <c r="L2990" t="n">
        <v>0.739</v>
      </c>
      <c r="M2990" t="n">
        <v>0.261</v>
      </c>
    </row>
    <row r="2991" spans="1:13">
      <c r="A2991" s="1">
        <f>HYPERLINK("http://www.twitter.com/NathanBLawrence/status/984193817271259139", "984193817271259139")</f>
        <v/>
      </c>
      <c r="B2991" s="2" t="n">
        <v>43201.92900462963</v>
      </c>
      <c r="C2991" t="n">
        <v>0</v>
      </c>
      <c r="D2991" t="n">
        <v>0</v>
      </c>
      <c r="E2991" t="s">
        <v>2990</v>
      </c>
      <c r="F2991" t="s"/>
      <c r="G2991" t="s"/>
      <c r="H2991" t="s"/>
      <c r="I2991" t="s"/>
      <c r="J2991" t="n">
        <v>0.6486</v>
      </c>
      <c r="K2991" t="n">
        <v>0</v>
      </c>
      <c r="L2991" t="n">
        <v>0.694</v>
      </c>
      <c r="M2991" t="n">
        <v>0.306</v>
      </c>
    </row>
    <row r="2992" spans="1:13">
      <c r="A2992" s="1">
        <f>HYPERLINK("http://www.twitter.com/NathanBLawrence/status/984192643113668608", "984192643113668608")</f>
        <v/>
      </c>
      <c r="B2992" s="2" t="n">
        <v>43201.92576388889</v>
      </c>
      <c r="C2992" t="n">
        <v>2</v>
      </c>
      <c r="D2992" t="n">
        <v>0</v>
      </c>
      <c r="E2992" t="s">
        <v>2991</v>
      </c>
      <c r="F2992" t="s"/>
      <c r="G2992" t="s"/>
      <c r="H2992" t="s"/>
      <c r="I2992" t="s"/>
      <c r="J2992" t="n">
        <v>0.0795</v>
      </c>
      <c r="K2992" t="n">
        <v>0.139</v>
      </c>
      <c r="L2992" t="n">
        <v>0.712</v>
      </c>
      <c r="M2992" t="n">
        <v>0.148</v>
      </c>
    </row>
    <row r="2993" spans="1:13">
      <c r="A2993" s="1">
        <f>HYPERLINK("http://www.twitter.com/NathanBLawrence/status/984191818559574019", "984191818559574019")</f>
        <v/>
      </c>
      <c r="B2993" s="2" t="n">
        <v>43201.92348379629</v>
      </c>
      <c r="C2993" t="n">
        <v>0</v>
      </c>
      <c r="D2993" t="n">
        <v>5</v>
      </c>
      <c r="E2993" t="s">
        <v>2992</v>
      </c>
      <c r="F2993" t="s"/>
      <c r="G2993" t="s"/>
      <c r="H2993" t="s"/>
      <c r="I2993" t="s"/>
      <c r="J2993" t="n">
        <v>0.0516</v>
      </c>
      <c r="K2993" t="n">
        <v>0.139</v>
      </c>
      <c r="L2993" t="n">
        <v>0.675</v>
      </c>
      <c r="M2993" t="n">
        <v>0.187</v>
      </c>
    </row>
    <row r="2994" spans="1:13">
      <c r="A2994" s="1">
        <f>HYPERLINK("http://www.twitter.com/NathanBLawrence/status/984191758203572225", "984191758203572225")</f>
        <v/>
      </c>
      <c r="B2994" s="2" t="n">
        <v>43201.92332175926</v>
      </c>
      <c r="C2994" t="n">
        <v>0</v>
      </c>
      <c r="D2994" t="n">
        <v>3</v>
      </c>
      <c r="E2994" t="s">
        <v>2993</v>
      </c>
      <c r="F2994" t="s"/>
      <c r="G2994" t="s"/>
      <c r="H2994" t="s"/>
      <c r="I2994" t="s"/>
      <c r="J2994" t="n">
        <v>0.6296</v>
      </c>
      <c r="K2994" t="n">
        <v>0.04</v>
      </c>
      <c r="L2994" t="n">
        <v>0.8090000000000001</v>
      </c>
      <c r="M2994" t="n">
        <v>0.151</v>
      </c>
    </row>
    <row r="2995" spans="1:13">
      <c r="A2995" s="1">
        <f>HYPERLINK("http://www.twitter.com/NathanBLawrence/status/984191695398080512", "984191695398080512")</f>
        <v/>
      </c>
      <c r="B2995" s="2" t="n">
        <v>43201.92314814815</v>
      </c>
      <c r="C2995" t="n">
        <v>0</v>
      </c>
      <c r="D2995" t="n">
        <v>4</v>
      </c>
      <c r="E2995" t="s">
        <v>2994</v>
      </c>
      <c r="F2995" t="s"/>
      <c r="G2995" t="s"/>
      <c r="H2995" t="s"/>
      <c r="I2995" t="s"/>
      <c r="J2995" t="n">
        <v>-0.3506</v>
      </c>
      <c r="K2995" t="n">
        <v>0.141</v>
      </c>
      <c r="L2995" t="n">
        <v>0.859</v>
      </c>
      <c r="M2995" t="n">
        <v>0</v>
      </c>
    </row>
    <row r="2996" spans="1:13">
      <c r="A2996" s="1">
        <f>HYPERLINK("http://www.twitter.com/NathanBLawrence/status/984191346171891712", "984191346171891712")</f>
        <v/>
      </c>
      <c r="B2996" s="2" t="n">
        <v>43201.92217592592</v>
      </c>
      <c r="C2996" t="n">
        <v>0</v>
      </c>
      <c r="D2996" t="n">
        <v>24</v>
      </c>
      <c r="E2996" t="s">
        <v>2995</v>
      </c>
      <c r="F2996" t="s"/>
      <c r="G2996" t="s"/>
      <c r="H2996" t="s"/>
      <c r="I2996" t="s"/>
      <c r="J2996" t="n">
        <v>-0.3612</v>
      </c>
      <c r="K2996" t="n">
        <v>0.116</v>
      </c>
      <c r="L2996" t="n">
        <v>0.884</v>
      </c>
      <c r="M2996" t="n">
        <v>0</v>
      </c>
    </row>
    <row r="2997" spans="1:13">
      <c r="A2997" s="1">
        <f>HYPERLINK("http://www.twitter.com/NathanBLawrence/status/984191333328998400", "984191333328998400")</f>
        <v/>
      </c>
      <c r="B2997" s="2" t="n">
        <v>43201.9221412037</v>
      </c>
      <c r="C2997" t="n">
        <v>2</v>
      </c>
      <c r="D2997" t="n">
        <v>0</v>
      </c>
      <c r="E2997" t="s">
        <v>2996</v>
      </c>
      <c r="F2997" t="s"/>
      <c r="G2997" t="s"/>
      <c r="H2997" t="s"/>
      <c r="I2997" t="s"/>
      <c r="J2997" t="n">
        <v>0.3908</v>
      </c>
      <c r="K2997" t="n">
        <v>0.156</v>
      </c>
      <c r="L2997" t="n">
        <v>0.614</v>
      </c>
      <c r="M2997" t="n">
        <v>0.23</v>
      </c>
    </row>
    <row r="2998" spans="1:13">
      <c r="A2998" s="1">
        <f>HYPERLINK("http://www.twitter.com/NathanBLawrence/status/984189974378663936", "984189974378663936")</f>
        <v/>
      </c>
      <c r="B2998" s="2" t="n">
        <v>43201.9183912037</v>
      </c>
      <c r="C2998" t="n">
        <v>0</v>
      </c>
      <c r="D2998" t="n">
        <v>0</v>
      </c>
      <c r="E2998" t="s">
        <v>2997</v>
      </c>
      <c r="F2998" t="s"/>
      <c r="G2998" t="s"/>
      <c r="H2998" t="s"/>
      <c r="I2998" t="s"/>
      <c r="J2998" t="n">
        <v>0.5610000000000001</v>
      </c>
      <c r="K2998" t="n">
        <v>0.155</v>
      </c>
      <c r="L2998" t="n">
        <v>0.475</v>
      </c>
      <c r="M2998" t="n">
        <v>0.37</v>
      </c>
    </row>
    <row r="2999" spans="1:13">
      <c r="A2999" s="1">
        <f>HYPERLINK("http://www.twitter.com/NathanBLawrence/status/984184654684188672", "984184654684188672")</f>
        <v/>
      </c>
      <c r="B2999" s="2" t="n">
        <v>43201.90371527777</v>
      </c>
      <c r="C2999" t="n">
        <v>0</v>
      </c>
      <c r="D2999" t="n">
        <v>0</v>
      </c>
      <c r="E2999" t="s">
        <v>2998</v>
      </c>
      <c r="F2999" t="s"/>
      <c r="G2999" t="s"/>
      <c r="H2999" t="s"/>
      <c r="I2999" t="s"/>
      <c r="J2999" t="n">
        <v>0</v>
      </c>
      <c r="K2999" t="n">
        <v>0</v>
      </c>
      <c r="L2999" t="n">
        <v>1</v>
      </c>
      <c r="M2999" t="n">
        <v>0</v>
      </c>
    </row>
    <row r="3000" spans="1:13">
      <c r="A3000" s="1">
        <f>HYPERLINK("http://www.twitter.com/NathanBLawrence/status/984183481025605633", "984183481025605633")</f>
        <v/>
      </c>
      <c r="B3000" s="2" t="n">
        <v>43201.90047453704</v>
      </c>
      <c r="C3000" t="n">
        <v>0</v>
      </c>
      <c r="D3000" t="n">
        <v>5</v>
      </c>
      <c r="E3000" t="s">
        <v>2999</v>
      </c>
      <c r="F3000" t="s"/>
      <c r="G3000" t="s"/>
      <c r="H3000" t="s"/>
      <c r="I3000" t="s"/>
      <c r="J3000" t="n">
        <v>-0.5067</v>
      </c>
      <c r="K3000" t="n">
        <v>0.17</v>
      </c>
      <c r="L3000" t="n">
        <v>0.83</v>
      </c>
      <c r="M3000" t="n">
        <v>0</v>
      </c>
    </row>
    <row r="3001" spans="1:13">
      <c r="A3001" s="1">
        <f>HYPERLINK("http://www.twitter.com/NathanBLawrence/status/984182065464840192", "984182065464840192")</f>
        <v/>
      </c>
      <c r="B3001" s="2" t="n">
        <v>43201.89657407408</v>
      </c>
      <c r="C3001" t="n">
        <v>1</v>
      </c>
      <c r="D3001" t="n">
        <v>0</v>
      </c>
      <c r="E3001" t="s">
        <v>3000</v>
      </c>
      <c r="F3001" t="s"/>
      <c r="G3001" t="s"/>
      <c r="H3001" t="s"/>
      <c r="I3001" t="s"/>
      <c r="J3001" t="n">
        <v>0.6808</v>
      </c>
      <c r="K3001" t="n">
        <v>0</v>
      </c>
      <c r="L3001" t="n">
        <v>0.741</v>
      </c>
      <c r="M3001" t="n">
        <v>0.259</v>
      </c>
    </row>
    <row r="3002" spans="1:13">
      <c r="A3002" s="1">
        <f>HYPERLINK("http://www.twitter.com/NathanBLawrence/status/984181153551798272", "984181153551798272")</f>
        <v/>
      </c>
      <c r="B3002" s="2" t="n">
        <v>43201.89405092593</v>
      </c>
      <c r="C3002" t="n">
        <v>0</v>
      </c>
      <c r="D3002" t="n">
        <v>0</v>
      </c>
      <c r="E3002" t="s">
        <v>3001</v>
      </c>
      <c r="F3002" t="s"/>
      <c r="G3002" t="s"/>
      <c r="H3002" t="s"/>
      <c r="I3002" t="s"/>
      <c r="J3002" t="n">
        <v>0</v>
      </c>
      <c r="K3002" t="n">
        <v>0</v>
      </c>
      <c r="L3002" t="n">
        <v>1</v>
      </c>
      <c r="M3002" t="n">
        <v>0</v>
      </c>
    </row>
    <row r="3003" spans="1:13">
      <c r="A3003" s="1">
        <f>HYPERLINK("http://www.twitter.com/NathanBLawrence/status/984179637323550720", "984179637323550720")</f>
        <v/>
      </c>
      <c r="B3003" s="2" t="n">
        <v>43201.88987268518</v>
      </c>
      <c r="C3003" t="n">
        <v>0</v>
      </c>
      <c r="D3003" t="n">
        <v>0</v>
      </c>
      <c r="E3003" t="s">
        <v>3002</v>
      </c>
      <c r="F3003">
        <f>HYPERLINK("http://pbs.twimg.com/media/DaiCKErUQAAdt0O.jpg", "http://pbs.twimg.com/media/DaiCKErUQAAdt0O.jpg")</f>
        <v/>
      </c>
      <c r="G3003" t="s"/>
      <c r="H3003" t="s"/>
      <c r="I3003" t="s"/>
      <c r="J3003" t="n">
        <v>-0.5306999999999999</v>
      </c>
      <c r="K3003" t="n">
        <v>0.329</v>
      </c>
      <c r="L3003" t="n">
        <v>0.671</v>
      </c>
      <c r="M3003" t="n">
        <v>0</v>
      </c>
    </row>
    <row r="3004" spans="1:13">
      <c r="A3004" s="1">
        <f>HYPERLINK("http://www.twitter.com/NathanBLawrence/status/984176400113586176", "984176400113586176")</f>
        <v/>
      </c>
      <c r="B3004" s="2" t="n">
        <v>43201.8809375</v>
      </c>
      <c r="C3004" t="n">
        <v>0</v>
      </c>
      <c r="D3004" t="n">
        <v>0</v>
      </c>
      <c r="E3004" t="s">
        <v>3003</v>
      </c>
      <c r="F3004" t="s"/>
      <c r="G3004" t="s"/>
      <c r="H3004" t="s"/>
      <c r="I3004" t="s"/>
      <c r="J3004" t="n">
        <v>0.2263</v>
      </c>
      <c r="K3004" t="n">
        <v>0.122</v>
      </c>
      <c r="L3004" t="n">
        <v>0.6870000000000001</v>
      </c>
      <c r="M3004" t="n">
        <v>0.191</v>
      </c>
    </row>
    <row r="3005" spans="1:13">
      <c r="A3005" s="1">
        <f>HYPERLINK("http://www.twitter.com/NathanBLawrence/status/984175805310930946", "984175805310930946")</f>
        <v/>
      </c>
      <c r="B3005" s="2" t="n">
        <v>43201.87929398148</v>
      </c>
      <c r="C3005" t="n">
        <v>0</v>
      </c>
      <c r="D3005" t="n">
        <v>2</v>
      </c>
      <c r="E3005" t="s">
        <v>3004</v>
      </c>
      <c r="F3005" t="s"/>
      <c r="G3005" t="s"/>
      <c r="H3005" t="s"/>
      <c r="I3005" t="s"/>
      <c r="J3005" t="n">
        <v>0.6369</v>
      </c>
      <c r="K3005" t="n">
        <v>0</v>
      </c>
      <c r="L3005" t="n">
        <v>0.802</v>
      </c>
      <c r="M3005" t="n">
        <v>0.198</v>
      </c>
    </row>
    <row r="3006" spans="1:13">
      <c r="A3006" s="1">
        <f>HYPERLINK("http://www.twitter.com/NathanBLawrence/status/984173987969236993", "984173987969236993")</f>
        <v/>
      </c>
      <c r="B3006" s="2" t="n">
        <v>43201.87428240741</v>
      </c>
      <c r="C3006" t="n">
        <v>0</v>
      </c>
      <c r="D3006" t="n">
        <v>0</v>
      </c>
      <c r="E3006" t="s">
        <v>3005</v>
      </c>
      <c r="F3006" t="s"/>
      <c r="G3006" t="s"/>
      <c r="H3006" t="s"/>
      <c r="I3006" t="s"/>
      <c r="J3006" t="n">
        <v>0.4075</v>
      </c>
      <c r="K3006" t="n">
        <v>0.208</v>
      </c>
      <c r="L3006" t="n">
        <v>0.377</v>
      </c>
      <c r="M3006" t="n">
        <v>0.414</v>
      </c>
    </row>
    <row r="3007" spans="1:13">
      <c r="A3007" s="1">
        <f>HYPERLINK("http://www.twitter.com/NathanBLawrence/status/984173566844395520", "984173566844395520")</f>
        <v/>
      </c>
      <c r="B3007" s="2" t="n">
        <v>43201.873125</v>
      </c>
      <c r="C3007" t="n">
        <v>0</v>
      </c>
      <c r="D3007" t="n">
        <v>0</v>
      </c>
      <c r="E3007" t="s">
        <v>3006</v>
      </c>
      <c r="F3007" t="s"/>
      <c r="G3007" t="s"/>
      <c r="H3007" t="s"/>
      <c r="I3007" t="s"/>
      <c r="J3007" t="n">
        <v>0</v>
      </c>
      <c r="K3007" t="n">
        <v>0</v>
      </c>
      <c r="L3007" t="n">
        <v>1</v>
      </c>
      <c r="M3007" t="n">
        <v>0</v>
      </c>
    </row>
    <row r="3008" spans="1:13">
      <c r="A3008" s="1">
        <f>HYPERLINK("http://www.twitter.com/NathanBLawrence/status/984170676067164160", "984170676067164160")</f>
        <v/>
      </c>
      <c r="B3008" s="2" t="n">
        <v>43201.86513888889</v>
      </c>
      <c r="C3008" t="n">
        <v>0</v>
      </c>
      <c r="D3008" t="n">
        <v>0</v>
      </c>
      <c r="E3008" t="s">
        <v>3007</v>
      </c>
      <c r="F3008" t="s"/>
      <c r="G3008" t="s"/>
      <c r="H3008" t="s"/>
      <c r="I3008" t="s"/>
      <c r="J3008" t="n">
        <v>0.6597</v>
      </c>
      <c r="K3008" t="n">
        <v>0</v>
      </c>
      <c r="L3008" t="n">
        <v>0.5649999999999999</v>
      </c>
      <c r="M3008" t="n">
        <v>0.435</v>
      </c>
    </row>
    <row r="3009" spans="1:13">
      <c r="A3009" s="1">
        <f>HYPERLINK("http://www.twitter.com/NathanBLawrence/status/984170126319734784", "984170126319734784")</f>
        <v/>
      </c>
      <c r="B3009" s="2" t="n">
        <v>43201.86362268519</v>
      </c>
      <c r="C3009" t="n">
        <v>1</v>
      </c>
      <c r="D3009" t="n">
        <v>0</v>
      </c>
      <c r="E3009" t="s">
        <v>3008</v>
      </c>
      <c r="F3009" t="s"/>
      <c r="G3009" t="s"/>
      <c r="H3009" t="s"/>
      <c r="I3009" t="s"/>
      <c r="J3009" t="n">
        <v>-0.7727000000000001</v>
      </c>
      <c r="K3009" t="n">
        <v>0.205</v>
      </c>
      <c r="L3009" t="n">
        <v>0.795</v>
      </c>
      <c r="M3009" t="n">
        <v>0</v>
      </c>
    </row>
    <row r="3010" spans="1:13">
      <c r="A3010" s="1">
        <f>HYPERLINK("http://www.twitter.com/NathanBLawrence/status/984169433550786560", "984169433550786560")</f>
        <v/>
      </c>
      <c r="B3010" s="2" t="n">
        <v>43201.86171296296</v>
      </c>
      <c r="C3010" t="n">
        <v>0</v>
      </c>
      <c r="D3010" t="n">
        <v>18</v>
      </c>
      <c r="E3010" t="s">
        <v>3009</v>
      </c>
      <c r="F3010" t="s"/>
      <c r="G3010" t="s"/>
      <c r="H3010" t="s"/>
      <c r="I3010" t="s"/>
      <c r="J3010" t="n">
        <v>0</v>
      </c>
      <c r="K3010" t="n">
        <v>0</v>
      </c>
      <c r="L3010" t="n">
        <v>1</v>
      </c>
      <c r="M3010" t="n">
        <v>0</v>
      </c>
    </row>
    <row r="3011" spans="1:13">
      <c r="A3011" s="1">
        <f>HYPERLINK("http://www.twitter.com/NathanBLawrence/status/984168997712211968", "984168997712211968")</f>
        <v/>
      </c>
      <c r="B3011" s="2" t="n">
        <v>43201.86050925926</v>
      </c>
      <c r="C3011" t="n">
        <v>0</v>
      </c>
      <c r="D3011" t="n">
        <v>0</v>
      </c>
      <c r="E3011" t="s">
        <v>3010</v>
      </c>
      <c r="F3011" t="s"/>
      <c r="G3011" t="s"/>
      <c r="H3011" t="s"/>
      <c r="I3011" t="s"/>
      <c r="J3011" t="n">
        <v>0.4404</v>
      </c>
      <c r="K3011" t="n">
        <v>0</v>
      </c>
      <c r="L3011" t="n">
        <v>0.838</v>
      </c>
      <c r="M3011" t="n">
        <v>0.162</v>
      </c>
    </row>
    <row r="3012" spans="1:13">
      <c r="A3012" s="1">
        <f>HYPERLINK("http://www.twitter.com/NathanBLawrence/status/984168108406575104", "984168108406575104")</f>
        <v/>
      </c>
      <c r="B3012" s="2" t="n">
        <v>43201.85805555555</v>
      </c>
      <c r="C3012" t="n">
        <v>0</v>
      </c>
      <c r="D3012" t="n">
        <v>1</v>
      </c>
      <c r="E3012" t="s">
        <v>3011</v>
      </c>
      <c r="F3012" t="s"/>
      <c r="G3012" t="s"/>
      <c r="H3012" t="s"/>
      <c r="I3012" t="s"/>
      <c r="J3012" t="n">
        <v>0</v>
      </c>
      <c r="K3012" t="n">
        <v>0</v>
      </c>
      <c r="L3012" t="n">
        <v>1</v>
      </c>
      <c r="M3012" t="n">
        <v>0</v>
      </c>
    </row>
    <row r="3013" spans="1:13">
      <c r="A3013" s="1">
        <f>HYPERLINK("http://www.twitter.com/NathanBLawrence/status/984167271319916545", "984167271319916545")</f>
        <v/>
      </c>
      <c r="B3013" s="2" t="n">
        <v>43201.85575231481</v>
      </c>
      <c r="C3013" t="n">
        <v>0</v>
      </c>
      <c r="D3013" t="n">
        <v>3</v>
      </c>
      <c r="E3013" t="s">
        <v>3012</v>
      </c>
      <c r="F3013" t="s"/>
      <c r="G3013" t="s"/>
      <c r="H3013" t="s"/>
      <c r="I3013" t="s"/>
      <c r="J3013" t="n">
        <v>0.4926</v>
      </c>
      <c r="K3013" t="n">
        <v>0</v>
      </c>
      <c r="L3013" t="n">
        <v>0.825</v>
      </c>
      <c r="M3013" t="n">
        <v>0.175</v>
      </c>
    </row>
    <row r="3014" spans="1:13">
      <c r="A3014" s="1">
        <f>HYPERLINK("http://www.twitter.com/NathanBLawrence/status/984166973973114880", "984166973973114880")</f>
        <v/>
      </c>
      <c r="B3014" s="2" t="n">
        <v>43201.85493055556</v>
      </c>
      <c r="C3014" t="n">
        <v>0</v>
      </c>
      <c r="D3014" t="n">
        <v>2</v>
      </c>
      <c r="E3014" t="s">
        <v>3013</v>
      </c>
      <c r="F3014">
        <f>HYPERLINK("http://pbs.twimg.com/media/DahzZ2cW0AARci2.jpg", "http://pbs.twimg.com/media/DahzZ2cW0AARci2.jpg")</f>
        <v/>
      </c>
      <c r="G3014" t="s"/>
      <c r="H3014" t="s"/>
      <c r="I3014" t="s"/>
      <c r="J3014" t="n">
        <v>0</v>
      </c>
      <c r="K3014" t="n">
        <v>0</v>
      </c>
      <c r="L3014" t="n">
        <v>1</v>
      </c>
      <c r="M3014" t="n">
        <v>0</v>
      </c>
    </row>
    <row r="3015" spans="1:13">
      <c r="A3015" s="1">
        <f>HYPERLINK("http://www.twitter.com/NathanBLawrence/status/984166737628356608", "984166737628356608")</f>
        <v/>
      </c>
      <c r="B3015" s="2" t="n">
        <v>43201.85427083333</v>
      </c>
      <c r="C3015" t="n">
        <v>1</v>
      </c>
      <c r="D3015" t="n">
        <v>0</v>
      </c>
      <c r="E3015" t="s">
        <v>3014</v>
      </c>
      <c r="F3015" t="s"/>
      <c r="G3015" t="s"/>
      <c r="H3015" t="s"/>
      <c r="I3015" t="s"/>
      <c r="J3015" t="n">
        <v>0.7579</v>
      </c>
      <c r="K3015" t="n">
        <v>0</v>
      </c>
      <c r="L3015" t="n">
        <v>0.606</v>
      </c>
      <c r="M3015" t="n">
        <v>0.394</v>
      </c>
    </row>
    <row r="3016" spans="1:13">
      <c r="A3016" s="1">
        <f>HYPERLINK("http://www.twitter.com/NathanBLawrence/status/984166619445448709", "984166619445448709")</f>
        <v/>
      </c>
      <c r="B3016" s="2" t="n">
        <v>43201.85394675926</v>
      </c>
      <c r="C3016" t="n">
        <v>0</v>
      </c>
      <c r="D3016" t="n">
        <v>1</v>
      </c>
      <c r="E3016" t="s">
        <v>3015</v>
      </c>
      <c r="F3016" t="s"/>
      <c r="G3016" t="s"/>
      <c r="H3016" t="s"/>
      <c r="I3016" t="s"/>
      <c r="J3016" t="n">
        <v>0.4417</v>
      </c>
      <c r="K3016" t="n">
        <v>0</v>
      </c>
      <c r="L3016" t="n">
        <v>0.867</v>
      </c>
      <c r="M3016" t="n">
        <v>0.133</v>
      </c>
    </row>
    <row r="3017" spans="1:13">
      <c r="A3017" s="1">
        <f>HYPERLINK("http://www.twitter.com/NathanBLawrence/status/984166434677907457", "984166434677907457")</f>
        <v/>
      </c>
      <c r="B3017" s="2" t="n">
        <v>43201.8534375</v>
      </c>
      <c r="C3017" t="n">
        <v>0</v>
      </c>
      <c r="D3017" t="n">
        <v>0</v>
      </c>
      <c r="E3017" t="s">
        <v>3016</v>
      </c>
      <c r="F3017" t="s"/>
      <c r="G3017" t="s"/>
      <c r="H3017" t="s"/>
      <c r="I3017" t="s"/>
      <c r="J3017" t="n">
        <v>0.6705</v>
      </c>
      <c r="K3017" t="n">
        <v>0.07099999999999999</v>
      </c>
      <c r="L3017" t="n">
        <v>0.712</v>
      </c>
      <c r="M3017" t="n">
        <v>0.217</v>
      </c>
    </row>
    <row r="3018" spans="1:13">
      <c r="A3018" s="1">
        <f>HYPERLINK("http://www.twitter.com/NathanBLawrence/status/984166063578501120", "984166063578501120")</f>
        <v/>
      </c>
      <c r="B3018" s="2" t="n">
        <v>43201.85241898148</v>
      </c>
      <c r="C3018" t="n">
        <v>0</v>
      </c>
      <c r="D3018" t="n">
        <v>0</v>
      </c>
      <c r="E3018" t="s">
        <v>3017</v>
      </c>
      <c r="F3018" t="s"/>
      <c r="G3018" t="s"/>
      <c r="H3018" t="s"/>
      <c r="I3018" t="s"/>
      <c r="J3018" t="n">
        <v>0.8764999999999999</v>
      </c>
      <c r="K3018" t="n">
        <v>0</v>
      </c>
      <c r="L3018" t="n">
        <v>0.717</v>
      </c>
      <c r="M3018" t="n">
        <v>0.283</v>
      </c>
    </row>
    <row r="3019" spans="1:13">
      <c r="A3019" s="1">
        <f>HYPERLINK("http://www.twitter.com/NathanBLawrence/status/984162147570601984", "984162147570601984")</f>
        <v/>
      </c>
      <c r="B3019" s="2" t="n">
        <v>43201.8416087963</v>
      </c>
      <c r="C3019" t="n">
        <v>0</v>
      </c>
      <c r="D3019" t="n">
        <v>0</v>
      </c>
      <c r="E3019" t="s">
        <v>3018</v>
      </c>
      <c r="F3019" t="s"/>
      <c r="G3019" t="s"/>
      <c r="H3019" t="s"/>
      <c r="I3019" t="s"/>
      <c r="J3019" t="n">
        <v>-0.008500000000000001</v>
      </c>
      <c r="K3019" t="n">
        <v>0.174</v>
      </c>
      <c r="L3019" t="n">
        <v>0.653</v>
      </c>
      <c r="M3019" t="n">
        <v>0.172</v>
      </c>
    </row>
    <row r="3020" spans="1:13">
      <c r="A3020" s="1">
        <f>HYPERLINK("http://www.twitter.com/NathanBLawrence/status/984161618996219910", "984161618996219910")</f>
        <v/>
      </c>
      <c r="B3020" s="2" t="n">
        <v>43201.84015046297</v>
      </c>
      <c r="C3020" t="n">
        <v>0</v>
      </c>
      <c r="D3020" t="n">
        <v>0</v>
      </c>
      <c r="E3020" t="s">
        <v>3019</v>
      </c>
      <c r="F3020" t="s"/>
      <c r="G3020" t="s"/>
      <c r="H3020" t="s"/>
      <c r="I3020" t="s"/>
      <c r="J3020" t="n">
        <v>0.4019</v>
      </c>
      <c r="K3020" t="n">
        <v>0.08400000000000001</v>
      </c>
      <c r="L3020" t="n">
        <v>0.748</v>
      </c>
      <c r="M3020" t="n">
        <v>0.168</v>
      </c>
    </row>
    <row r="3021" spans="1:13">
      <c r="A3021" s="1">
        <f>HYPERLINK("http://www.twitter.com/NathanBLawrence/status/984158464208490496", "984158464208490496")</f>
        <v/>
      </c>
      <c r="B3021" s="2" t="n">
        <v>43201.83144675926</v>
      </c>
      <c r="C3021" t="n">
        <v>1</v>
      </c>
      <c r="D3021" t="n">
        <v>0</v>
      </c>
      <c r="E3021" t="s">
        <v>3020</v>
      </c>
      <c r="F3021" t="s"/>
      <c r="G3021" t="s"/>
      <c r="H3021" t="s"/>
      <c r="I3021" t="s"/>
      <c r="J3021" t="n">
        <v>-0.7906</v>
      </c>
      <c r="K3021" t="n">
        <v>0.338</v>
      </c>
      <c r="L3021" t="n">
        <v>0.602</v>
      </c>
      <c r="M3021" t="n">
        <v>0.06</v>
      </c>
    </row>
    <row r="3022" spans="1:13">
      <c r="A3022" s="1">
        <f>HYPERLINK("http://www.twitter.com/NathanBLawrence/status/984158307463188481", "984158307463188481")</f>
        <v/>
      </c>
      <c r="B3022" s="2" t="n">
        <v>43201.83100694444</v>
      </c>
      <c r="C3022" t="n">
        <v>0</v>
      </c>
      <c r="D3022" t="n">
        <v>1</v>
      </c>
      <c r="E3022" t="s">
        <v>3021</v>
      </c>
      <c r="F3022" t="s"/>
      <c r="G3022" t="s"/>
      <c r="H3022" t="s"/>
      <c r="I3022" t="s"/>
      <c r="J3022" t="n">
        <v>0.6808</v>
      </c>
      <c r="K3022" t="n">
        <v>0.08500000000000001</v>
      </c>
      <c r="L3022" t="n">
        <v>0.669</v>
      </c>
      <c r="M3022" t="n">
        <v>0.246</v>
      </c>
    </row>
    <row r="3023" spans="1:13">
      <c r="A3023" s="1">
        <f>HYPERLINK("http://www.twitter.com/NathanBLawrence/status/984158164663840770", "984158164663840770")</f>
        <v/>
      </c>
      <c r="B3023" s="2" t="n">
        <v>43201.83061342593</v>
      </c>
      <c r="C3023" t="n">
        <v>4</v>
      </c>
      <c r="D3023" t="n">
        <v>0</v>
      </c>
      <c r="E3023" t="s">
        <v>3022</v>
      </c>
      <c r="F3023" t="s"/>
      <c r="G3023" t="s"/>
      <c r="H3023" t="s"/>
      <c r="I3023" t="s"/>
      <c r="J3023" t="n">
        <v>0.5859</v>
      </c>
      <c r="K3023" t="n">
        <v>0.094</v>
      </c>
      <c r="L3023" t="n">
        <v>0.667</v>
      </c>
      <c r="M3023" t="n">
        <v>0.239</v>
      </c>
    </row>
    <row r="3024" spans="1:13">
      <c r="A3024" s="1">
        <f>HYPERLINK("http://www.twitter.com/NathanBLawrence/status/984157172006191104", "984157172006191104")</f>
        <v/>
      </c>
      <c r="B3024" s="2" t="n">
        <v>43201.82788194445</v>
      </c>
      <c r="C3024" t="n">
        <v>0</v>
      </c>
      <c r="D3024" t="n">
        <v>0</v>
      </c>
      <c r="E3024" t="s">
        <v>3023</v>
      </c>
      <c r="F3024" t="s"/>
      <c r="G3024" t="s"/>
      <c r="H3024" t="s"/>
      <c r="I3024" t="s"/>
      <c r="J3024" t="n">
        <v>-0.34</v>
      </c>
      <c r="K3024" t="n">
        <v>0.142</v>
      </c>
      <c r="L3024" t="n">
        <v>0.788</v>
      </c>
      <c r="M3024" t="n">
        <v>0.07000000000000001</v>
      </c>
    </row>
    <row r="3025" spans="1:13">
      <c r="A3025" s="1">
        <f>HYPERLINK("http://www.twitter.com/NathanBLawrence/status/984154006850297856", "984154006850297856")</f>
        <v/>
      </c>
      <c r="B3025" s="2" t="n">
        <v>43201.81914351852</v>
      </c>
      <c r="C3025" t="n">
        <v>1</v>
      </c>
      <c r="D3025" t="n">
        <v>0</v>
      </c>
      <c r="E3025" t="s">
        <v>3024</v>
      </c>
      <c r="F3025" t="s"/>
      <c r="G3025" t="s"/>
      <c r="H3025" t="s"/>
      <c r="I3025" t="s"/>
      <c r="J3025" t="n">
        <v>-0.1027</v>
      </c>
      <c r="K3025" t="n">
        <v>0.192</v>
      </c>
      <c r="L3025" t="n">
        <v>0.629</v>
      </c>
      <c r="M3025" t="n">
        <v>0.178</v>
      </c>
    </row>
    <row r="3026" spans="1:13">
      <c r="A3026" s="1">
        <f>HYPERLINK("http://www.twitter.com/NathanBLawrence/status/984152052212404224", "984152052212404224")</f>
        <v/>
      </c>
      <c r="B3026" s="2" t="n">
        <v>43201.81375</v>
      </c>
      <c r="C3026" t="n">
        <v>0</v>
      </c>
      <c r="D3026" t="n">
        <v>16416</v>
      </c>
      <c r="E3026" t="s">
        <v>3025</v>
      </c>
      <c r="F3026">
        <f>HYPERLINK("http://pbs.twimg.com/media/Dac_FuyVwAYXVW7.jpg", "http://pbs.twimg.com/media/Dac_FuyVwAYXVW7.jpg")</f>
        <v/>
      </c>
      <c r="G3026">
        <f>HYPERLINK("http://pbs.twimg.com/media/Dac_FuzU8AAUQpJ.jpg", "http://pbs.twimg.com/media/Dac_FuzU8AAUQpJ.jpg")</f>
        <v/>
      </c>
      <c r="H3026">
        <f>HYPERLINK("http://pbs.twimg.com/media/Dac_FuyUwAEQ-hw.jpg", "http://pbs.twimg.com/media/Dac_FuyUwAEQ-hw.jpg")</f>
        <v/>
      </c>
      <c r="I3026">
        <f>HYPERLINK("http://pbs.twimg.com/media/Dac_Fu0U8AABuFg.jpg", "http://pbs.twimg.com/media/Dac_Fu0U8AABuFg.jpg")</f>
        <v/>
      </c>
      <c r="J3026" t="n">
        <v>0.9349</v>
      </c>
      <c r="K3026" t="n">
        <v>0</v>
      </c>
      <c r="L3026" t="n">
        <v>0.5590000000000001</v>
      </c>
      <c r="M3026" t="n">
        <v>0.441</v>
      </c>
    </row>
    <row r="3027" spans="1:13">
      <c r="A3027" s="1">
        <f>HYPERLINK("http://www.twitter.com/NathanBLawrence/status/984149934235705347", "984149934235705347")</f>
        <v/>
      </c>
      <c r="B3027" s="2" t="n">
        <v>43201.8079050926</v>
      </c>
      <c r="C3027" t="n">
        <v>1</v>
      </c>
      <c r="D3027" t="n">
        <v>0</v>
      </c>
      <c r="E3027" t="s">
        <v>3026</v>
      </c>
      <c r="F3027" t="s"/>
      <c r="G3027" t="s"/>
      <c r="H3027" t="s"/>
      <c r="I3027" t="s"/>
      <c r="J3027" t="n">
        <v>0</v>
      </c>
      <c r="K3027" t="n">
        <v>0</v>
      </c>
      <c r="L3027" t="n">
        <v>1</v>
      </c>
      <c r="M3027" t="n">
        <v>0</v>
      </c>
    </row>
    <row r="3028" spans="1:13">
      <c r="A3028" s="1">
        <f>HYPERLINK("http://www.twitter.com/NathanBLawrence/status/984149181332848640", "984149181332848640")</f>
        <v/>
      </c>
      <c r="B3028" s="2" t="n">
        <v>43201.80583333333</v>
      </c>
      <c r="C3028" t="n">
        <v>0</v>
      </c>
      <c r="D3028" t="n">
        <v>4</v>
      </c>
      <c r="E3028" t="s">
        <v>3027</v>
      </c>
      <c r="F3028" t="s"/>
      <c r="G3028" t="s"/>
      <c r="H3028" t="s"/>
      <c r="I3028" t="s"/>
      <c r="J3028" t="n">
        <v>0</v>
      </c>
      <c r="K3028" t="n">
        <v>0</v>
      </c>
      <c r="L3028" t="n">
        <v>1</v>
      </c>
      <c r="M3028" t="n">
        <v>0</v>
      </c>
    </row>
    <row r="3029" spans="1:13">
      <c r="A3029" s="1">
        <f>HYPERLINK("http://www.twitter.com/NathanBLawrence/status/984145145959469058", "984145145959469058")</f>
        <v/>
      </c>
      <c r="B3029" s="2" t="n">
        <v>43201.7946875</v>
      </c>
      <c r="C3029" t="n">
        <v>5</v>
      </c>
      <c r="D3029" t="n">
        <v>1</v>
      </c>
      <c r="E3029" t="s">
        <v>3028</v>
      </c>
      <c r="F3029" t="s"/>
      <c r="G3029" t="s"/>
      <c r="H3029" t="s"/>
      <c r="I3029" t="s"/>
      <c r="J3029" t="n">
        <v>0</v>
      </c>
      <c r="K3029" t="n">
        <v>0</v>
      </c>
      <c r="L3029" t="n">
        <v>1</v>
      </c>
      <c r="M3029" t="n">
        <v>0</v>
      </c>
    </row>
    <row r="3030" spans="1:13">
      <c r="A3030" s="1">
        <f>HYPERLINK("http://www.twitter.com/NathanBLawrence/status/984144269526040577", "984144269526040577")</f>
        <v/>
      </c>
      <c r="B3030" s="2" t="n">
        <v>43201.7922800926</v>
      </c>
      <c r="C3030" t="n">
        <v>0</v>
      </c>
      <c r="D3030" t="n">
        <v>17</v>
      </c>
      <c r="E3030" t="s">
        <v>3029</v>
      </c>
      <c r="F3030">
        <f>HYPERLINK("http://pbs.twimg.com/media/Dae-wnkWAAAipXV.jpg", "http://pbs.twimg.com/media/Dae-wnkWAAAipXV.jpg")</f>
        <v/>
      </c>
      <c r="G3030">
        <f>HYPERLINK("http://pbs.twimg.com/media/Dae-xx0X0AAZlsX.jpg", "http://pbs.twimg.com/media/Dae-xx0X0AAZlsX.jpg")</f>
        <v/>
      </c>
      <c r="H3030">
        <f>HYPERLINK("http://pbs.twimg.com/media/Dae-y37WsAA7qA4.jpg", "http://pbs.twimg.com/media/Dae-y37WsAA7qA4.jpg")</f>
        <v/>
      </c>
      <c r="I3030" t="s"/>
      <c r="J3030" t="n">
        <v>0.5308</v>
      </c>
      <c r="K3030" t="n">
        <v>0</v>
      </c>
      <c r="L3030" t="n">
        <v>0.803</v>
      </c>
      <c r="M3030" t="n">
        <v>0.197</v>
      </c>
    </row>
    <row r="3031" spans="1:13">
      <c r="A3031" s="1">
        <f>HYPERLINK("http://www.twitter.com/NathanBLawrence/status/984143275245428736", "984143275245428736")</f>
        <v/>
      </c>
      <c r="B3031" s="2" t="n">
        <v>43201.78952546296</v>
      </c>
      <c r="C3031" t="n">
        <v>1</v>
      </c>
      <c r="D3031" t="n">
        <v>0</v>
      </c>
      <c r="E3031" t="s">
        <v>3030</v>
      </c>
      <c r="F3031" t="s"/>
      <c r="G3031" t="s"/>
      <c r="H3031" t="s"/>
      <c r="I3031" t="s"/>
      <c r="J3031" t="n">
        <v>0.7579</v>
      </c>
      <c r="K3031" t="n">
        <v>0</v>
      </c>
      <c r="L3031" t="n">
        <v>0.651</v>
      </c>
      <c r="M3031" t="n">
        <v>0.349</v>
      </c>
    </row>
    <row r="3032" spans="1:13">
      <c r="A3032" s="1">
        <f>HYPERLINK("http://www.twitter.com/NathanBLawrence/status/984134134061821957", "984134134061821957")</f>
        <v/>
      </c>
      <c r="B3032" s="2" t="n">
        <v>43201.76430555555</v>
      </c>
      <c r="C3032" t="n">
        <v>0</v>
      </c>
      <c r="D3032" t="n">
        <v>1</v>
      </c>
      <c r="E3032" t="s">
        <v>3031</v>
      </c>
      <c r="F3032" t="s"/>
      <c r="G3032" t="s"/>
      <c r="H3032" t="s"/>
      <c r="I3032" t="s"/>
      <c r="J3032" t="n">
        <v>-0.4003</v>
      </c>
      <c r="K3032" t="n">
        <v>0.123</v>
      </c>
      <c r="L3032" t="n">
        <v>0.823</v>
      </c>
      <c r="M3032" t="n">
        <v>0.054</v>
      </c>
    </row>
    <row r="3033" spans="1:13">
      <c r="A3033" s="1">
        <f>HYPERLINK("http://www.twitter.com/NathanBLawrence/status/984131740955500544", "984131740955500544")</f>
        <v/>
      </c>
      <c r="B3033" s="2" t="n">
        <v>43201.75769675926</v>
      </c>
      <c r="C3033" t="n">
        <v>1</v>
      </c>
      <c r="D3033" t="n">
        <v>0</v>
      </c>
      <c r="E3033" t="s">
        <v>3032</v>
      </c>
      <c r="F3033" t="s"/>
      <c r="G3033" t="s"/>
      <c r="H3033" t="s"/>
      <c r="I3033" t="s"/>
      <c r="J3033" t="n">
        <v>0.4404</v>
      </c>
      <c r="K3033" t="n">
        <v>0</v>
      </c>
      <c r="L3033" t="n">
        <v>0.854</v>
      </c>
      <c r="M3033" t="n">
        <v>0.146</v>
      </c>
    </row>
    <row r="3034" spans="1:13">
      <c r="A3034" s="1">
        <f>HYPERLINK("http://www.twitter.com/NathanBLawrence/status/984130061975646209", "984130061975646209")</f>
        <v/>
      </c>
      <c r="B3034" s="2" t="n">
        <v>43201.75306712963</v>
      </c>
      <c r="C3034" t="n">
        <v>3</v>
      </c>
      <c r="D3034" t="n">
        <v>3</v>
      </c>
      <c r="E3034" t="s">
        <v>3033</v>
      </c>
      <c r="F3034">
        <f>HYPERLINK("http://pbs.twimg.com/media/DahVEfwU8AErVLG.jpg", "http://pbs.twimg.com/media/DahVEfwU8AErVLG.jpg")</f>
        <v/>
      </c>
      <c r="G3034" t="s"/>
      <c r="H3034" t="s"/>
      <c r="I3034" t="s"/>
      <c r="J3034" t="n">
        <v>0.4939</v>
      </c>
      <c r="K3034" t="n">
        <v>0</v>
      </c>
      <c r="L3034" t="n">
        <v>0.909</v>
      </c>
      <c r="M3034" t="n">
        <v>0.091</v>
      </c>
    </row>
    <row r="3035" spans="1:13">
      <c r="A3035" s="1">
        <f>HYPERLINK("http://www.twitter.com/NathanBLawrence/status/984127433103282176", "984127433103282176")</f>
        <v/>
      </c>
      <c r="B3035" s="2" t="n">
        <v>43201.74581018519</v>
      </c>
      <c r="C3035" t="n">
        <v>0</v>
      </c>
      <c r="D3035" t="n">
        <v>0</v>
      </c>
      <c r="E3035" t="s">
        <v>3034</v>
      </c>
      <c r="F3035" t="s"/>
      <c r="G3035" t="s"/>
      <c r="H3035" t="s"/>
      <c r="I3035" t="s"/>
      <c r="J3035" t="n">
        <v>-0.8883</v>
      </c>
      <c r="K3035" t="n">
        <v>0.315</v>
      </c>
      <c r="L3035" t="n">
        <v>0.6850000000000001</v>
      </c>
      <c r="M3035" t="n">
        <v>0</v>
      </c>
    </row>
    <row r="3036" spans="1:13">
      <c r="A3036" s="1">
        <f>HYPERLINK("http://www.twitter.com/NathanBLawrence/status/984125245173968896", "984125245173968896")</f>
        <v/>
      </c>
      <c r="B3036" s="2" t="n">
        <v>43201.73978009259</v>
      </c>
      <c r="C3036" t="n">
        <v>0</v>
      </c>
      <c r="D3036" t="n">
        <v>0</v>
      </c>
      <c r="E3036" t="s">
        <v>3035</v>
      </c>
      <c r="F3036" t="s"/>
      <c r="G3036" t="s"/>
      <c r="H3036" t="s"/>
      <c r="I3036" t="s"/>
      <c r="J3036" t="n">
        <v>0.4215</v>
      </c>
      <c r="K3036" t="n">
        <v>0</v>
      </c>
      <c r="L3036" t="n">
        <v>0.896</v>
      </c>
      <c r="M3036" t="n">
        <v>0.104</v>
      </c>
    </row>
    <row r="3037" spans="1:13">
      <c r="A3037" s="1">
        <f>HYPERLINK("http://www.twitter.com/NathanBLawrence/status/984124237194686464", "984124237194686464")</f>
        <v/>
      </c>
      <c r="B3037" s="2" t="n">
        <v>43201.73699074074</v>
      </c>
      <c r="C3037" t="n">
        <v>4</v>
      </c>
      <c r="D3037" t="n">
        <v>4</v>
      </c>
      <c r="E3037" t="s">
        <v>3036</v>
      </c>
      <c r="F3037" t="s"/>
      <c r="G3037" t="s"/>
      <c r="H3037" t="s"/>
      <c r="I3037" t="s"/>
      <c r="J3037" t="n">
        <v>-0.4329</v>
      </c>
      <c r="K3037" t="n">
        <v>0.082</v>
      </c>
      <c r="L3037" t="n">
        <v>0.918</v>
      </c>
      <c r="M3037" t="n">
        <v>0</v>
      </c>
    </row>
    <row r="3038" spans="1:13">
      <c r="A3038" s="1">
        <f>HYPERLINK("http://www.twitter.com/NathanBLawrence/status/984121908164747264", "984121908164747264")</f>
        <v/>
      </c>
      <c r="B3038" s="2" t="n">
        <v>43201.73056712963</v>
      </c>
      <c r="C3038" t="n">
        <v>3</v>
      </c>
      <c r="D3038" t="n">
        <v>2</v>
      </c>
      <c r="E3038" t="s">
        <v>3037</v>
      </c>
      <c r="F3038" t="s"/>
      <c r="G3038" t="s"/>
      <c r="H3038" t="s"/>
      <c r="I3038" t="s"/>
      <c r="J3038" t="n">
        <v>0</v>
      </c>
      <c r="K3038" t="n">
        <v>0</v>
      </c>
      <c r="L3038" t="n">
        <v>1</v>
      </c>
      <c r="M3038" t="n">
        <v>0</v>
      </c>
    </row>
    <row r="3039" spans="1:13">
      <c r="A3039" s="1">
        <f>HYPERLINK("http://www.twitter.com/NathanBLawrence/status/984121413434068993", "984121413434068993")</f>
        <v/>
      </c>
      <c r="B3039" s="2" t="n">
        <v>43201.72920138889</v>
      </c>
      <c r="C3039" t="n">
        <v>3</v>
      </c>
      <c r="D3039" t="n">
        <v>1</v>
      </c>
      <c r="E3039" t="s">
        <v>3038</v>
      </c>
      <c r="F3039" t="s"/>
      <c r="G3039" t="s"/>
      <c r="H3039" t="s"/>
      <c r="I3039" t="s"/>
      <c r="J3039" t="n">
        <v>0</v>
      </c>
      <c r="K3039" t="n">
        <v>0</v>
      </c>
      <c r="L3039" t="n">
        <v>1</v>
      </c>
      <c r="M3039" t="n">
        <v>0</v>
      </c>
    </row>
    <row r="3040" spans="1:13">
      <c r="A3040" s="1">
        <f>HYPERLINK("http://www.twitter.com/NathanBLawrence/status/984120349951393792", "984120349951393792")</f>
        <v/>
      </c>
      <c r="B3040" s="2" t="n">
        <v>43201.72627314815</v>
      </c>
      <c r="C3040" t="n">
        <v>2</v>
      </c>
      <c r="D3040" t="n">
        <v>0</v>
      </c>
      <c r="E3040" t="s">
        <v>3039</v>
      </c>
      <c r="F3040" t="s"/>
      <c r="G3040" t="s"/>
      <c r="H3040" t="s"/>
      <c r="I3040" t="s"/>
      <c r="J3040" t="n">
        <v>0</v>
      </c>
      <c r="K3040" t="n">
        <v>0</v>
      </c>
      <c r="L3040" t="n">
        <v>1</v>
      </c>
      <c r="M3040" t="n">
        <v>0</v>
      </c>
    </row>
    <row r="3041" spans="1:13">
      <c r="A3041" s="1">
        <f>HYPERLINK("http://www.twitter.com/NathanBLawrence/status/984118928652816386", "984118928652816386")</f>
        <v/>
      </c>
      <c r="B3041" s="2" t="n">
        <v>43201.72234953703</v>
      </c>
      <c r="C3041" t="n">
        <v>2</v>
      </c>
      <c r="D3041" t="n">
        <v>1</v>
      </c>
      <c r="E3041" t="s">
        <v>3040</v>
      </c>
      <c r="F3041" t="s"/>
      <c r="G3041" t="s"/>
      <c r="H3041" t="s"/>
      <c r="I3041" t="s"/>
      <c r="J3041" t="n">
        <v>0.6808</v>
      </c>
      <c r="K3041" t="n">
        <v>0</v>
      </c>
      <c r="L3041" t="n">
        <v>0.781</v>
      </c>
      <c r="M3041" t="n">
        <v>0.219</v>
      </c>
    </row>
    <row r="3042" spans="1:13">
      <c r="A3042" s="1">
        <f>HYPERLINK("http://www.twitter.com/NathanBLawrence/status/984112940201766917", "984112940201766917")</f>
        <v/>
      </c>
      <c r="B3042" s="2" t="n">
        <v>43201.70582175926</v>
      </c>
      <c r="C3042" t="n">
        <v>0</v>
      </c>
      <c r="D3042" t="n">
        <v>1</v>
      </c>
      <c r="E3042" t="s">
        <v>3041</v>
      </c>
      <c r="F3042" t="s"/>
      <c r="G3042" t="s"/>
      <c r="H3042" t="s"/>
      <c r="I3042" t="s"/>
      <c r="J3042" t="n">
        <v>-0.5994</v>
      </c>
      <c r="K3042" t="n">
        <v>0.281</v>
      </c>
      <c r="L3042" t="n">
        <v>0.719</v>
      </c>
      <c r="M3042" t="n">
        <v>0</v>
      </c>
    </row>
    <row r="3043" spans="1:13">
      <c r="A3043" s="1">
        <f>HYPERLINK("http://www.twitter.com/NathanBLawrence/status/984106878845292544", "984106878845292544")</f>
        <v/>
      </c>
      <c r="B3043" s="2" t="n">
        <v>43201.68909722222</v>
      </c>
      <c r="C3043" t="n">
        <v>0</v>
      </c>
      <c r="D3043" t="n">
        <v>0</v>
      </c>
      <c r="E3043" t="s">
        <v>3042</v>
      </c>
      <c r="F3043" t="s"/>
      <c r="G3043" t="s"/>
      <c r="H3043" t="s"/>
      <c r="I3043" t="s"/>
      <c r="J3043" t="n">
        <v>0.3612</v>
      </c>
      <c r="K3043" t="n">
        <v>0</v>
      </c>
      <c r="L3043" t="n">
        <v>0.9399999999999999</v>
      </c>
      <c r="M3043" t="n">
        <v>0.06</v>
      </c>
    </row>
    <row r="3044" spans="1:13">
      <c r="A3044" s="1">
        <f>HYPERLINK("http://www.twitter.com/NathanBLawrence/status/984105481512849409", "984105481512849409")</f>
        <v/>
      </c>
      <c r="B3044" s="2" t="n">
        <v>43201.68524305556</v>
      </c>
      <c r="C3044" t="n">
        <v>0</v>
      </c>
      <c r="D3044" t="n">
        <v>0</v>
      </c>
      <c r="E3044" t="s">
        <v>3043</v>
      </c>
      <c r="F3044" t="s"/>
      <c r="G3044" t="s"/>
      <c r="H3044" t="s"/>
      <c r="I3044" t="s"/>
      <c r="J3044" t="n">
        <v>0.8176</v>
      </c>
      <c r="K3044" t="n">
        <v>0.096</v>
      </c>
      <c r="L3044" t="n">
        <v>0.48</v>
      </c>
      <c r="M3044" t="n">
        <v>0.424</v>
      </c>
    </row>
    <row r="3045" spans="1:13">
      <c r="A3045" s="1">
        <f>HYPERLINK("http://www.twitter.com/NathanBLawrence/status/984100854637780992", "984100854637780992")</f>
        <v/>
      </c>
      <c r="B3045" s="2" t="n">
        <v>43201.67247685185</v>
      </c>
      <c r="C3045" t="n">
        <v>0</v>
      </c>
      <c r="D3045" t="n">
        <v>0</v>
      </c>
      <c r="E3045" t="s">
        <v>3044</v>
      </c>
      <c r="F3045" t="s"/>
      <c r="G3045" t="s"/>
      <c r="H3045" t="s"/>
      <c r="I3045" t="s"/>
      <c r="J3045" t="n">
        <v>0.0772</v>
      </c>
      <c r="K3045" t="n">
        <v>0.188</v>
      </c>
      <c r="L3045" t="n">
        <v>0.598</v>
      </c>
      <c r="M3045" t="n">
        <v>0.214</v>
      </c>
    </row>
    <row r="3046" spans="1:13">
      <c r="A3046" s="1">
        <f>HYPERLINK("http://www.twitter.com/NathanBLawrence/status/984083910425481217", "984083910425481217")</f>
        <v/>
      </c>
      <c r="B3046" s="2" t="n">
        <v>43201.62571759259</v>
      </c>
      <c r="C3046" t="n">
        <v>0</v>
      </c>
      <c r="D3046" t="n">
        <v>2</v>
      </c>
      <c r="E3046" t="s">
        <v>3045</v>
      </c>
      <c r="F3046" t="s"/>
      <c r="G3046" t="s"/>
      <c r="H3046" t="s"/>
      <c r="I3046" t="s"/>
      <c r="J3046" t="n">
        <v>-0.1027</v>
      </c>
      <c r="K3046" t="n">
        <v>0.183</v>
      </c>
      <c r="L3046" t="n">
        <v>0.647</v>
      </c>
      <c r="M3046" t="n">
        <v>0.169</v>
      </c>
    </row>
    <row r="3047" spans="1:13">
      <c r="A3047" s="1">
        <f>HYPERLINK("http://www.twitter.com/NathanBLawrence/status/984082600569389056", "984082600569389056")</f>
        <v/>
      </c>
      <c r="B3047" s="2" t="n">
        <v>43201.62210648148</v>
      </c>
      <c r="C3047" t="n">
        <v>0</v>
      </c>
      <c r="D3047" t="n">
        <v>3</v>
      </c>
      <c r="E3047" t="s">
        <v>3046</v>
      </c>
      <c r="F3047" t="s"/>
      <c r="G3047" t="s"/>
      <c r="H3047" t="s"/>
      <c r="I3047" t="s"/>
      <c r="J3047" t="n">
        <v>-0.5719</v>
      </c>
      <c r="K3047" t="n">
        <v>0.171</v>
      </c>
      <c r="L3047" t="n">
        <v>0.829</v>
      </c>
      <c r="M3047" t="n">
        <v>0</v>
      </c>
    </row>
    <row r="3048" spans="1:13">
      <c r="A3048" s="1">
        <f>HYPERLINK("http://www.twitter.com/NathanBLawrence/status/984081292949155840", "984081292949155840")</f>
        <v/>
      </c>
      <c r="B3048" s="2" t="n">
        <v>43201.61849537037</v>
      </c>
      <c r="C3048" t="n">
        <v>0</v>
      </c>
      <c r="D3048" t="n">
        <v>2</v>
      </c>
      <c r="E3048" t="s">
        <v>3047</v>
      </c>
      <c r="F3048" t="s"/>
      <c r="G3048" t="s"/>
      <c r="H3048" t="s"/>
      <c r="I3048" t="s"/>
      <c r="J3048" t="n">
        <v>-0.0454</v>
      </c>
      <c r="K3048" t="n">
        <v>0.182</v>
      </c>
      <c r="L3048" t="n">
        <v>0.646</v>
      </c>
      <c r="M3048" t="n">
        <v>0.172</v>
      </c>
    </row>
    <row r="3049" spans="1:13">
      <c r="A3049" s="1">
        <f>HYPERLINK("http://www.twitter.com/NathanBLawrence/status/984080973364105217", "984080973364105217")</f>
        <v/>
      </c>
      <c r="B3049" s="2" t="n">
        <v>43201.61761574074</v>
      </c>
      <c r="C3049" t="n">
        <v>0</v>
      </c>
      <c r="D3049" t="n">
        <v>2</v>
      </c>
      <c r="E3049" t="s">
        <v>3048</v>
      </c>
      <c r="F3049">
        <f>HYPERLINK("http://pbs.twimg.com/media/DagnoZsUwAEQraY.jpg", "http://pbs.twimg.com/media/DagnoZsUwAEQraY.jpg")</f>
        <v/>
      </c>
      <c r="G3049" t="s"/>
      <c r="H3049" t="s"/>
      <c r="I3049" t="s"/>
      <c r="J3049" t="n">
        <v>-0.7579</v>
      </c>
      <c r="K3049" t="n">
        <v>0.265</v>
      </c>
      <c r="L3049" t="n">
        <v>0.735</v>
      </c>
      <c r="M3049" t="n">
        <v>0</v>
      </c>
    </row>
    <row r="3050" spans="1:13">
      <c r="A3050" s="1">
        <f>HYPERLINK("http://www.twitter.com/NathanBLawrence/status/984080944050130945", "984080944050130945")</f>
        <v/>
      </c>
      <c r="B3050" s="2" t="n">
        <v>43201.61753472222</v>
      </c>
      <c r="C3050" t="n">
        <v>2</v>
      </c>
      <c r="D3050" t="n">
        <v>1</v>
      </c>
      <c r="E3050" t="s">
        <v>3049</v>
      </c>
      <c r="F3050" t="s"/>
      <c r="G3050" t="s"/>
      <c r="H3050" t="s"/>
      <c r="I3050" t="s"/>
      <c r="J3050" t="n">
        <v>-0.7603</v>
      </c>
      <c r="K3050" t="n">
        <v>0.303</v>
      </c>
      <c r="L3050" t="n">
        <v>0.697</v>
      </c>
      <c r="M3050" t="n">
        <v>0</v>
      </c>
    </row>
    <row r="3051" spans="1:13">
      <c r="A3051" s="1">
        <f>HYPERLINK("http://www.twitter.com/NathanBLawrence/status/984073203550228480", "984073203550228480")</f>
        <v/>
      </c>
      <c r="B3051" s="2" t="n">
        <v>43201.59616898148</v>
      </c>
      <c r="C3051" t="n">
        <v>1</v>
      </c>
      <c r="D3051" t="n">
        <v>1</v>
      </c>
      <c r="E3051" t="s">
        <v>3050</v>
      </c>
      <c r="F3051" t="s"/>
      <c r="G3051" t="s"/>
      <c r="H3051" t="s"/>
      <c r="I3051" t="s"/>
      <c r="J3051" t="n">
        <v>-0.8126</v>
      </c>
      <c r="K3051" t="n">
        <v>0.245</v>
      </c>
      <c r="L3051" t="n">
        <v>0.755</v>
      </c>
      <c r="M3051" t="n">
        <v>0</v>
      </c>
    </row>
    <row r="3052" spans="1:13">
      <c r="A3052" s="1">
        <f>HYPERLINK("http://www.twitter.com/NathanBLawrence/status/984069965698490368", "984069965698490368")</f>
        <v/>
      </c>
      <c r="B3052" s="2" t="n">
        <v>43201.58723379629</v>
      </c>
      <c r="C3052" t="n">
        <v>2</v>
      </c>
      <c r="D3052" t="n">
        <v>0</v>
      </c>
      <c r="E3052" t="s">
        <v>3051</v>
      </c>
      <c r="F3052" t="s"/>
      <c r="G3052" t="s"/>
      <c r="H3052" t="s"/>
      <c r="I3052" t="s"/>
      <c r="J3052" t="n">
        <v>-0.3612</v>
      </c>
      <c r="K3052" t="n">
        <v>0.125</v>
      </c>
      <c r="L3052" t="n">
        <v>0.8080000000000001</v>
      </c>
      <c r="M3052" t="n">
        <v>0.067</v>
      </c>
    </row>
    <row r="3053" spans="1:13">
      <c r="A3053" s="1">
        <f>HYPERLINK("http://www.twitter.com/NathanBLawrence/status/984067954206826496", "984067954206826496")</f>
        <v/>
      </c>
      <c r="B3053" s="2" t="n">
        <v>43201.58168981481</v>
      </c>
      <c r="C3053" t="n">
        <v>0</v>
      </c>
      <c r="D3053" t="n">
        <v>9</v>
      </c>
      <c r="E3053" t="s">
        <v>3052</v>
      </c>
      <c r="F3053" t="s"/>
      <c r="G3053" t="s"/>
      <c r="H3053" t="s"/>
      <c r="I3053" t="s"/>
      <c r="J3053" t="n">
        <v>0.5266999999999999</v>
      </c>
      <c r="K3053" t="n">
        <v>0</v>
      </c>
      <c r="L3053" t="n">
        <v>0.861</v>
      </c>
      <c r="M3053" t="n">
        <v>0.139</v>
      </c>
    </row>
    <row r="3054" spans="1:13">
      <c r="A3054" s="1">
        <f>HYPERLINK("http://www.twitter.com/NathanBLawrence/status/984067866902310912", "984067866902310912")</f>
        <v/>
      </c>
      <c r="B3054" s="2" t="n">
        <v>43201.58144675926</v>
      </c>
      <c r="C3054" t="n">
        <v>0</v>
      </c>
      <c r="D3054" t="n">
        <v>0</v>
      </c>
      <c r="E3054" t="s">
        <v>3053</v>
      </c>
      <c r="F3054" t="s"/>
      <c r="G3054" t="s"/>
      <c r="H3054" t="s"/>
      <c r="I3054" t="s"/>
      <c r="J3054" t="n">
        <v>0.4215</v>
      </c>
      <c r="K3054" t="n">
        <v>0</v>
      </c>
      <c r="L3054" t="n">
        <v>0.6820000000000001</v>
      </c>
      <c r="M3054" t="n">
        <v>0.318</v>
      </c>
    </row>
    <row r="3055" spans="1:13">
      <c r="A3055" s="1">
        <f>HYPERLINK("http://www.twitter.com/NathanBLawrence/status/984067584453697536", "984067584453697536")</f>
        <v/>
      </c>
      <c r="B3055" s="2" t="n">
        <v>43201.58065972223</v>
      </c>
      <c r="C3055" t="n">
        <v>0</v>
      </c>
      <c r="D3055" t="n">
        <v>0</v>
      </c>
      <c r="E3055" t="s">
        <v>3054</v>
      </c>
      <c r="F3055" t="s"/>
      <c r="G3055" t="s"/>
      <c r="H3055" t="s"/>
      <c r="I3055" t="s"/>
      <c r="J3055" t="n">
        <v>0.4404</v>
      </c>
      <c r="K3055" t="n">
        <v>0</v>
      </c>
      <c r="L3055" t="n">
        <v>0.508</v>
      </c>
      <c r="M3055" t="n">
        <v>0.492</v>
      </c>
    </row>
    <row r="3056" spans="1:13">
      <c r="A3056" s="1">
        <f>HYPERLINK("http://www.twitter.com/NathanBLawrence/status/984067153795125248", "984067153795125248")</f>
        <v/>
      </c>
      <c r="B3056" s="2" t="n">
        <v>43201.57947916666</v>
      </c>
      <c r="C3056" t="n">
        <v>0</v>
      </c>
      <c r="D3056" t="n">
        <v>3</v>
      </c>
      <c r="E3056" t="s">
        <v>3055</v>
      </c>
      <c r="F3056" t="s"/>
      <c r="G3056" t="s"/>
      <c r="H3056" t="s"/>
      <c r="I3056" t="s"/>
      <c r="J3056" t="n">
        <v>-0.296</v>
      </c>
      <c r="K3056" t="n">
        <v>0.155</v>
      </c>
      <c r="L3056" t="n">
        <v>0.845</v>
      </c>
      <c r="M3056" t="n">
        <v>0</v>
      </c>
    </row>
    <row r="3057" spans="1:13">
      <c r="A3057" s="1">
        <f>HYPERLINK("http://www.twitter.com/NathanBLawrence/status/984067139161206784", "984067139161206784")</f>
        <v/>
      </c>
      <c r="B3057" s="2" t="n">
        <v>43201.57943287037</v>
      </c>
      <c r="C3057" t="n">
        <v>0</v>
      </c>
      <c r="D3057" t="n">
        <v>4</v>
      </c>
      <c r="E3057" t="s">
        <v>3056</v>
      </c>
      <c r="F3057" t="s"/>
      <c r="G3057" t="s"/>
      <c r="H3057" t="s"/>
      <c r="I3057" t="s"/>
      <c r="J3057" t="n">
        <v>-0.296</v>
      </c>
      <c r="K3057" t="n">
        <v>0.196</v>
      </c>
      <c r="L3057" t="n">
        <v>0.804</v>
      </c>
      <c r="M3057" t="n">
        <v>0</v>
      </c>
    </row>
    <row r="3058" spans="1:13">
      <c r="A3058" s="1">
        <f>HYPERLINK("http://www.twitter.com/NathanBLawrence/status/984067124661555201", "984067124661555201")</f>
        <v/>
      </c>
      <c r="B3058" s="2" t="n">
        <v>43201.57939814815</v>
      </c>
      <c r="C3058" t="n">
        <v>0</v>
      </c>
      <c r="D3058" t="n">
        <v>2</v>
      </c>
      <c r="E3058" t="s">
        <v>3057</v>
      </c>
      <c r="F3058" t="s"/>
      <c r="G3058" t="s"/>
      <c r="H3058" t="s"/>
      <c r="I3058" t="s"/>
      <c r="J3058" t="n">
        <v>-0.4404</v>
      </c>
      <c r="K3058" t="n">
        <v>0.195</v>
      </c>
      <c r="L3058" t="n">
        <v>0.805</v>
      </c>
      <c r="M3058" t="n">
        <v>0</v>
      </c>
    </row>
    <row r="3059" spans="1:13">
      <c r="A3059" s="1">
        <f>HYPERLINK("http://www.twitter.com/NathanBLawrence/status/984067093569171456", "984067093569171456")</f>
        <v/>
      </c>
      <c r="B3059" s="2" t="n">
        <v>43201.57930555556</v>
      </c>
      <c r="C3059" t="n">
        <v>0</v>
      </c>
      <c r="D3059" t="n">
        <v>4</v>
      </c>
      <c r="E3059" t="s">
        <v>3058</v>
      </c>
      <c r="F3059" t="s"/>
      <c r="G3059" t="s"/>
      <c r="H3059" t="s"/>
      <c r="I3059" t="s"/>
      <c r="J3059" t="n">
        <v>0.3034</v>
      </c>
      <c r="K3059" t="n">
        <v>0</v>
      </c>
      <c r="L3059" t="n">
        <v>0.831</v>
      </c>
      <c r="M3059" t="n">
        <v>0.169</v>
      </c>
    </row>
    <row r="3060" spans="1:13">
      <c r="A3060" s="1">
        <f>HYPERLINK("http://www.twitter.com/NathanBLawrence/status/984066918087823366", "984066918087823366")</f>
        <v/>
      </c>
      <c r="B3060" s="2" t="n">
        <v>43201.57883101852</v>
      </c>
      <c r="C3060" t="n">
        <v>0</v>
      </c>
      <c r="D3060" t="n">
        <v>4</v>
      </c>
      <c r="E3060" t="s">
        <v>3059</v>
      </c>
      <c r="F3060" t="s"/>
      <c r="G3060" t="s"/>
      <c r="H3060" t="s"/>
      <c r="I3060" t="s"/>
      <c r="J3060" t="n">
        <v>0</v>
      </c>
      <c r="K3060" t="n">
        <v>0</v>
      </c>
      <c r="L3060" t="n">
        <v>1</v>
      </c>
      <c r="M3060" t="n">
        <v>0</v>
      </c>
    </row>
    <row r="3061" spans="1:13">
      <c r="A3061" s="1">
        <f>HYPERLINK("http://www.twitter.com/NathanBLawrence/status/984066431263432704", "984066431263432704")</f>
        <v/>
      </c>
      <c r="B3061" s="2" t="n">
        <v>43201.57747685185</v>
      </c>
      <c r="C3061" t="n">
        <v>0</v>
      </c>
      <c r="D3061" t="n">
        <v>5</v>
      </c>
      <c r="E3061" t="s">
        <v>3060</v>
      </c>
      <c r="F3061">
        <f>HYPERLINK("http://pbs.twimg.com/media/Daf_hB-WAAEKzav.jpg", "http://pbs.twimg.com/media/Daf_hB-WAAEKzav.jpg")</f>
        <v/>
      </c>
      <c r="G3061">
        <f>HYPERLINK("http://pbs.twimg.com/media/Daf_h-zWkAAHyo4.jpg", "http://pbs.twimg.com/media/Daf_h-zWkAAHyo4.jpg")</f>
        <v/>
      </c>
      <c r="H3061">
        <f>HYPERLINK("http://pbs.twimg.com/media/Daf_ixPX0AENWOx.jpg", "http://pbs.twimg.com/media/Daf_ixPX0AENWOx.jpg")</f>
        <v/>
      </c>
      <c r="I3061" t="s"/>
      <c r="J3061" t="n">
        <v>0.4019</v>
      </c>
      <c r="K3061" t="n">
        <v>0</v>
      </c>
      <c r="L3061" t="n">
        <v>0.828</v>
      </c>
      <c r="M3061" t="n">
        <v>0.172</v>
      </c>
    </row>
    <row r="3062" spans="1:13">
      <c r="A3062" s="1">
        <f>HYPERLINK("http://www.twitter.com/NathanBLawrence/status/984066397742526464", "984066397742526464")</f>
        <v/>
      </c>
      <c r="B3062" s="2" t="n">
        <v>43201.57738425926</v>
      </c>
      <c r="C3062" t="n">
        <v>0</v>
      </c>
      <c r="D3062" t="n">
        <v>2</v>
      </c>
      <c r="E3062" t="s">
        <v>3061</v>
      </c>
      <c r="F3062" t="s"/>
      <c r="G3062" t="s"/>
      <c r="H3062" t="s"/>
      <c r="I3062" t="s"/>
      <c r="J3062" t="n">
        <v>-0.4939</v>
      </c>
      <c r="K3062" t="n">
        <v>0.189</v>
      </c>
      <c r="L3062" t="n">
        <v>0.728</v>
      </c>
      <c r="M3062" t="n">
        <v>0.083</v>
      </c>
    </row>
    <row r="3063" spans="1:13">
      <c r="A3063" s="1">
        <f>HYPERLINK("http://www.twitter.com/NathanBLawrence/status/984066276799778816", "984066276799778816")</f>
        <v/>
      </c>
      <c r="B3063" s="2" t="n">
        <v>43201.57706018518</v>
      </c>
      <c r="C3063" t="n">
        <v>0</v>
      </c>
      <c r="D3063" t="n">
        <v>3</v>
      </c>
      <c r="E3063" t="s">
        <v>3062</v>
      </c>
      <c r="F3063" t="s"/>
      <c r="G3063" t="s"/>
      <c r="H3063" t="s"/>
      <c r="I3063" t="s"/>
      <c r="J3063" t="n">
        <v>0</v>
      </c>
      <c r="K3063" t="n">
        <v>0</v>
      </c>
      <c r="L3063" t="n">
        <v>1</v>
      </c>
      <c r="M3063" t="n">
        <v>0</v>
      </c>
    </row>
    <row r="3064" spans="1:13">
      <c r="A3064" s="1">
        <f>HYPERLINK("http://www.twitter.com/NathanBLawrence/status/984062749041938433", "984062749041938433")</f>
        <v/>
      </c>
      <c r="B3064" s="2" t="n">
        <v>43201.56732638889</v>
      </c>
      <c r="C3064" t="n">
        <v>0</v>
      </c>
      <c r="D3064" t="n">
        <v>0</v>
      </c>
      <c r="E3064" t="s">
        <v>3063</v>
      </c>
      <c r="F3064" t="s"/>
      <c r="G3064" t="s"/>
      <c r="H3064" t="s"/>
      <c r="I3064" t="s"/>
      <c r="J3064" t="n">
        <v>0</v>
      </c>
      <c r="K3064" t="n">
        <v>0</v>
      </c>
      <c r="L3064" t="n">
        <v>1</v>
      </c>
      <c r="M3064" t="n">
        <v>0</v>
      </c>
    </row>
    <row r="3065" spans="1:13">
      <c r="A3065" s="1">
        <f>HYPERLINK("http://www.twitter.com/NathanBLawrence/status/984062306555453440", "984062306555453440")</f>
        <v/>
      </c>
      <c r="B3065" s="2" t="n">
        <v>43201.56609953703</v>
      </c>
      <c r="C3065" t="n">
        <v>0</v>
      </c>
      <c r="D3065" t="n">
        <v>0</v>
      </c>
      <c r="E3065" t="s">
        <v>3064</v>
      </c>
      <c r="F3065" t="s"/>
      <c r="G3065" t="s"/>
      <c r="H3065" t="s"/>
      <c r="I3065" t="s"/>
      <c r="J3065" t="n">
        <v>0.5994</v>
      </c>
      <c r="K3065" t="n">
        <v>0.059</v>
      </c>
      <c r="L3065" t="n">
        <v>0.717</v>
      </c>
      <c r="M3065" t="n">
        <v>0.224</v>
      </c>
    </row>
    <row r="3066" spans="1:13">
      <c r="A3066" s="1">
        <f>HYPERLINK("http://www.twitter.com/NathanBLawrence/status/984061719109611520", "984061719109611520")</f>
        <v/>
      </c>
      <c r="B3066" s="2" t="n">
        <v>43201.56447916666</v>
      </c>
      <c r="C3066" t="n">
        <v>0</v>
      </c>
      <c r="D3066" t="n">
        <v>0</v>
      </c>
      <c r="E3066" t="s">
        <v>3065</v>
      </c>
      <c r="F3066" t="s"/>
      <c r="G3066" t="s"/>
      <c r="H3066" t="s"/>
      <c r="I3066" t="s"/>
      <c r="J3066" t="n">
        <v>0</v>
      </c>
      <c r="K3066" t="n">
        <v>0</v>
      </c>
      <c r="L3066" t="n">
        <v>1</v>
      </c>
      <c r="M3066" t="n">
        <v>0</v>
      </c>
    </row>
    <row r="3067" spans="1:13">
      <c r="A3067" s="1">
        <f>HYPERLINK("http://www.twitter.com/NathanBLawrence/status/984057798865629184", "984057798865629184")</f>
        <v/>
      </c>
      <c r="B3067" s="2" t="n">
        <v>43201.55365740741</v>
      </c>
      <c r="C3067" t="n">
        <v>0</v>
      </c>
      <c r="D3067" t="n">
        <v>0</v>
      </c>
      <c r="E3067" t="s">
        <v>3066</v>
      </c>
      <c r="F3067" t="s"/>
      <c r="G3067" t="s"/>
      <c r="H3067" t="s"/>
      <c r="I3067" t="s"/>
      <c r="J3067" t="n">
        <v>0</v>
      </c>
      <c r="K3067" t="n">
        <v>0</v>
      </c>
      <c r="L3067" t="n">
        <v>1</v>
      </c>
      <c r="M3067" t="n">
        <v>0</v>
      </c>
    </row>
    <row r="3068" spans="1:13">
      <c r="A3068" s="1">
        <f>HYPERLINK("http://www.twitter.com/NathanBLawrence/status/984056849845637121", "984056849845637121")</f>
        <v/>
      </c>
      <c r="B3068" s="2" t="n">
        <v>43201.55104166667</v>
      </c>
      <c r="C3068" t="n">
        <v>0</v>
      </c>
      <c r="D3068" t="n">
        <v>0</v>
      </c>
      <c r="E3068" t="s">
        <v>3067</v>
      </c>
      <c r="F3068" t="s"/>
      <c r="G3068" t="s"/>
      <c r="H3068" t="s"/>
      <c r="I3068" t="s"/>
      <c r="J3068" t="n">
        <v>0</v>
      </c>
      <c r="K3068" t="n">
        <v>0</v>
      </c>
      <c r="L3068" t="n">
        <v>1</v>
      </c>
      <c r="M3068" t="n">
        <v>0</v>
      </c>
    </row>
    <row r="3069" spans="1:13">
      <c r="A3069" s="1">
        <f>HYPERLINK("http://www.twitter.com/NathanBLawrence/status/984056433963610113", "984056433963610113")</f>
        <v/>
      </c>
      <c r="B3069" s="2" t="n">
        <v>43201.54989583333</v>
      </c>
      <c r="C3069" t="n">
        <v>0</v>
      </c>
      <c r="D3069" t="n">
        <v>0</v>
      </c>
      <c r="E3069" t="s">
        <v>3068</v>
      </c>
      <c r="F3069" t="s"/>
      <c r="G3069" t="s"/>
      <c r="H3069" t="s"/>
      <c r="I3069" t="s"/>
      <c r="J3069" t="n">
        <v>0</v>
      </c>
      <c r="K3069" t="n">
        <v>0</v>
      </c>
      <c r="L3069" t="n">
        <v>1</v>
      </c>
      <c r="M3069" t="n">
        <v>0</v>
      </c>
    </row>
    <row r="3070" spans="1:13">
      <c r="A3070" s="1">
        <f>HYPERLINK("http://www.twitter.com/NathanBLawrence/status/984056133148205058", "984056133148205058")</f>
        <v/>
      </c>
      <c r="B3070" s="2" t="n">
        <v>43201.5490625</v>
      </c>
      <c r="C3070" t="n">
        <v>0</v>
      </c>
      <c r="D3070" t="n">
        <v>7</v>
      </c>
      <c r="E3070" t="s">
        <v>3060</v>
      </c>
      <c r="F3070">
        <f>HYPERLINK("http://pbs.twimg.com/media/Dae-wnkWAAAipXV.jpg", "http://pbs.twimg.com/media/Dae-wnkWAAAipXV.jpg")</f>
        <v/>
      </c>
      <c r="G3070">
        <f>HYPERLINK("http://pbs.twimg.com/media/Dae-xx0X0AAZlsX.jpg", "http://pbs.twimg.com/media/Dae-xx0X0AAZlsX.jpg")</f>
        <v/>
      </c>
      <c r="H3070">
        <f>HYPERLINK("http://pbs.twimg.com/media/Dae-y37WsAA7qA4.jpg", "http://pbs.twimg.com/media/Dae-y37WsAA7qA4.jpg")</f>
        <v/>
      </c>
      <c r="I3070" t="s"/>
      <c r="J3070" t="n">
        <v>0.4019</v>
      </c>
      <c r="K3070" t="n">
        <v>0</v>
      </c>
      <c r="L3070" t="n">
        <v>0.828</v>
      </c>
      <c r="M3070" t="n">
        <v>0.172</v>
      </c>
    </row>
    <row r="3071" spans="1:13">
      <c r="A3071" s="1">
        <f>HYPERLINK("http://www.twitter.com/NathanBLawrence/status/984055668482113536", "984055668482113536")</f>
        <v/>
      </c>
      <c r="B3071" s="2" t="n">
        <v>43201.54777777778</v>
      </c>
      <c r="C3071" t="n">
        <v>1</v>
      </c>
      <c r="D3071" t="n">
        <v>0</v>
      </c>
      <c r="E3071" t="s">
        <v>3069</v>
      </c>
      <c r="F3071" t="s"/>
      <c r="G3071" t="s"/>
      <c r="H3071" t="s"/>
      <c r="I3071" t="s"/>
      <c r="J3071" t="n">
        <v>-0.7177</v>
      </c>
      <c r="K3071" t="n">
        <v>0.176</v>
      </c>
      <c r="L3071" t="n">
        <v>0.824</v>
      </c>
      <c r="M3071" t="n">
        <v>0</v>
      </c>
    </row>
    <row r="3072" spans="1:13">
      <c r="A3072" s="1">
        <f>HYPERLINK("http://www.twitter.com/NathanBLawrence/status/984055038548041729", "984055038548041729")</f>
        <v/>
      </c>
      <c r="B3072" s="2" t="n">
        <v>43201.54604166667</v>
      </c>
      <c r="C3072" t="n">
        <v>0</v>
      </c>
      <c r="D3072" t="n">
        <v>5</v>
      </c>
      <c r="E3072" t="s">
        <v>3070</v>
      </c>
      <c r="F3072" t="s"/>
      <c r="G3072" t="s"/>
      <c r="H3072" t="s"/>
      <c r="I3072" t="s"/>
      <c r="J3072" t="n">
        <v>-0.4019</v>
      </c>
      <c r="K3072" t="n">
        <v>0.128</v>
      </c>
      <c r="L3072" t="n">
        <v>0.806</v>
      </c>
      <c r="M3072" t="n">
        <v>0.066</v>
      </c>
    </row>
    <row r="3073" spans="1:13">
      <c r="A3073" s="1">
        <f>HYPERLINK("http://www.twitter.com/NathanBLawrence/status/984054859744907265", "984054859744907265")</f>
        <v/>
      </c>
      <c r="B3073" s="2" t="n">
        <v>43201.54555555555</v>
      </c>
      <c r="C3073" t="n">
        <v>0</v>
      </c>
      <c r="D3073" t="n">
        <v>0</v>
      </c>
      <c r="E3073" t="s">
        <v>3071</v>
      </c>
      <c r="F3073" t="s"/>
      <c r="G3073" t="s"/>
      <c r="H3073" t="s"/>
      <c r="I3073" t="s"/>
      <c r="J3073" t="n">
        <v>0.34</v>
      </c>
      <c r="K3073" t="n">
        <v>0</v>
      </c>
      <c r="L3073" t="n">
        <v>0.897</v>
      </c>
      <c r="M3073" t="n">
        <v>0.103</v>
      </c>
    </row>
    <row r="3074" spans="1:13">
      <c r="A3074" s="1">
        <f>HYPERLINK("http://www.twitter.com/NathanBLawrence/status/984054307644432384", "984054307644432384")</f>
        <v/>
      </c>
      <c r="B3074" s="2" t="n">
        <v>43201.54402777777</v>
      </c>
      <c r="C3074" t="n">
        <v>0</v>
      </c>
      <c r="D3074" t="n">
        <v>3</v>
      </c>
      <c r="E3074" t="s">
        <v>3072</v>
      </c>
      <c r="F3074" t="s"/>
      <c r="G3074" t="s"/>
      <c r="H3074" t="s"/>
      <c r="I3074" t="s"/>
      <c r="J3074" t="n">
        <v>0</v>
      </c>
      <c r="K3074" t="n">
        <v>0</v>
      </c>
      <c r="L3074" t="n">
        <v>1</v>
      </c>
      <c r="M3074" t="n">
        <v>0</v>
      </c>
    </row>
    <row r="3075" spans="1:13">
      <c r="A3075" s="1">
        <f>HYPERLINK("http://www.twitter.com/NathanBLawrence/status/984049754727485442", "984049754727485442")</f>
        <v/>
      </c>
      <c r="B3075" s="2" t="n">
        <v>43201.53145833333</v>
      </c>
      <c r="C3075" t="n">
        <v>0</v>
      </c>
      <c r="D3075" t="n">
        <v>51</v>
      </c>
      <c r="E3075" t="s">
        <v>3073</v>
      </c>
      <c r="F3075" t="s"/>
      <c r="G3075" t="s"/>
      <c r="H3075" t="s"/>
      <c r="I3075" t="s"/>
      <c r="J3075" t="n">
        <v>0.6494</v>
      </c>
      <c r="K3075" t="n">
        <v>0.161</v>
      </c>
      <c r="L3075" t="n">
        <v>0.5570000000000001</v>
      </c>
      <c r="M3075" t="n">
        <v>0.281</v>
      </c>
    </row>
    <row r="3076" spans="1:13">
      <c r="A3076" s="1">
        <f>HYPERLINK("http://www.twitter.com/NathanBLawrence/status/984049722662014977", "984049722662014977")</f>
        <v/>
      </c>
      <c r="B3076" s="2" t="n">
        <v>43201.53137731482</v>
      </c>
      <c r="C3076" t="n">
        <v>0</v>
      </c>
      <c r="D3076" t="n">
        <v>4</v>
      </c>
      <c r="E3076" t="s">
        <v>3074</v>
      </c>
      <c r="F3076" t="s"/>
      <c r="G3076" t="s"/>
      <c r="H3076" t="s"/>
      <c r="I3076" t="s"/>
      <c r="J3076" t="n">
        <v>-0.2746</v>
      </c>
      <c r="K3076" t="n">
        <v>0.146</v>
      </c>
      <c r="L3076" t="n">
        <v>0.79</v>
      </c>
      <c r="M3076" t="n">
        <v>0.063</v>
      </c>
    </row>
    <row r="3077" spans="1:13">
      <c r="A3077" s="1">
        <f>HYPERLINK("http://www.twitter.com/NathanBLawrence/status/984049680643436544", "984049680643436544")</f>
        <v/>
      </c>
      <c r="B3077" s="2" t="n">
        <v>43201.53126157408</v>
      </c>
      <c r="C3077" t="n">
        <v>18</v>
      </c>
      <c r="D3077" t="n">
        <v>5</v>
      </c>
      <c r="E3077" t="s">
        <v>3075</v>
      </c>
      <c r="F3077" t="s"/>
      <c r="G3077" t="s"/>
      <c r="H3077" t="s"/>
      <c r="I3077" t="s"/>
      <c r="J3077" t="n">
        <v>0</v>
      </c>
      <c r="K3077" t="n">
        <v>0</v>
      </c>
      <c r="L3077" t="n">
        <v>1</v>
      </c>
      <c r="M3077" t="n">
        <v>0</v>
      </c>
    </row>
    <row r="3078" spans="1:13">
      <c r="A3078" s="1">
        <f>HYPERLINK("http://www.twitter.com/NathanBLawrence/status/984048561330548738", "984048561330548738")</f>
        <v/>
      </c>
      <c r="B3078" s="2" t="n">
        <v>43201.5281712963</v>
      </c>
      <c r="C3078" t="n">
        <v>1</v>
      </c>
      <c r="D3078" t="n">
        <v>0</v>
      </c>
      <c r="E3078" t="s">
        <v>3076</v>
      </c>
      <c r="F3078" t="s"/>
      <c r="G3078" t="s"/>
      <c r="H3078" t="s"/>
      <c r="I3078" t="s"/>
      <c r="J3078" t="n">
        <v>-0.4574</v>
      </c>
      <c r="K3078" t="n">
        <v>0.199</v>
      </c>
      <c r="L3078" t="n">
        <v>0.696</v>
      </c>
      <c r="M3078" t="n">
        <v>0.104</v>
      </c>
    </row>
    <row r="3079" spans="1:13">
      <c r="A3079" s="1">
        <f>HYPERLINK("http://www.twitter.com/NathanBLawrence/status/984046439637618688", "984046439637618688")</f>
        <v/>
      </c>
      <c r="B3079" s="2" t="n">
        <v>43201.52231481481</v>
      </c>
      <c r="C3079" t="n">
        <v>0</v>
      </c>
      <c r="D3079" t="n">
        <v>0</v>
      </c>
      <c r="E3079" t="s">
        <v>3077</v>
      </c>
      <c r="F3079" t="s"/>
      <c r="G3079" t="s"/>
      <c r="H3079" t="s"/>
      <c r="I3079" t="s"/>
      <c r="J3079" t="n">
        <v>0.4401</v>
      </c>
      <c r="K3079" t="n">
        <v>0.11</v>
      </c>
      <c r="L3079" t="n">
        <v>0.676</v>
      </c>
      <c r="M3079" t="n">
        <v>0.213</v>
      </c>
    </row>
    <row r="3080" spans="1:13">
      <c r="A3080" s="1">
        <f>HYPERLINK("http://www.twitter.com/NathanBLawrence/status/984043139307581441", "984043139307581441")</f>
        <v/>
      </c>
      <c r="B3080" s="2" t="n">
        <v>43201.51320601852</v>
      </c>
      <c r="C3080" t="n">
        <v>0</v>
      </c>
      <c r="D3080" t="n">
        <v>0</v>
      </c>
      <c r="E3080" t="s">
        <v>3078</v>
      </c>
      <c r="F3080" t="s"/>
      <c r="G3080" t="s"/>
      <c r="H3080" t="s"/>
      <c r="I3080" t="s"/>
      <c r="J3080" t="n">
        <v>0</v>
      </c>
      <c r="K3080" t="n">
        <v>0</v>
      </c>
      <c r="L3080" t="n">
        <v>1</v>
      </c>
      <c r="M3080" t="n">
        <v>0</v>
      </c>
    </row>
    <row r="3081" spans="1:13">
      <c r="A3081" s="1">
        <f>HYPERLINK("http://www.twitter.com/NathanBLawrence/status/984042459486474241", "984042459486474241")</f>
        <v/>
      </c>
      <c r="B3081" s="2" t="n">
        <v>43201.51133101852</v>
      </c>
      <c r="C3081" t="n">
        <v>0</v>
      </c>
      <c r="D3081" t="n">
        <v>0</v>
      </c>
      <c r="E3081" t="s">
        <v>3079</v>
      </c>
      <c r="F3081" t="s"/>
      <c r="G3081" t="s"/>
      <c r="H3081" t="s"/>
      <c r="I3081" t="s"/>
      <c r="J3081" t="n">
        <v>-0.2263</v>
      </c>
      <c r="K3081" t="n">
        <v>0.233</v>
      </c>
      <c r="L3081" t="n">
        <v>0.592</v>
      </c>
      <c r="M3081" t="n">
        <v>0.176</v>
      </c>
    </row>
    <row r="3082" spans="1:13">
      <c r="A3082" s="1">
        <f>HYPERLINK("http://www.twitter.com/NathanBLawrence/status/984037966979969024", "984037966979969024")</f>
        <v/>
      </c>
      <c r="B3082" s="2" t="n">
        <v>43201.49893518518</v>
      </c>
      <c r="C3082" t="n">
        <v>0</v>
      </c>
      <c r="D3082" t="n">
        <v>0</v>
      </c>
      <c r="E3082" t="s">
        <v>3080</v>
      </c>
      <c r="F3082" t="s"/>
      <c r="G3082" t="s"/>
      <c r="H3082" t="s"/>
      <c r="I3082" t="s"/>
      <c r="J3082" t="n">
        <v>0.296</v>
      </c>
      <c r="K3082" t="n">
        <v>0.179</v>
      </c>
      <c r="L3082" t="n">
        <v>0.638</v>
      </c>
      <c r="M3082" t="n">
        <v>0.183</v>
      </c>
    </row>
    <row r="3083" spans="1:13">
      <c r="A3083" s="1">
        <f>HYPERLINK("http://www.twitter.com/NathanBLawrence/status/983910508532289538", "983910508532289538")</f>
        <v/>
      </c>
      <c r="B3083" s="2" t="n">
        <v>43201.14722222222</v>
      </c>
      <c r="C3083" t="n">
        <v>0</v>
      </c>
      <c r="D3083" t="n">
        <v>7</v>
      </c>
      <c r="E3083" t="s">
        <v>3081</v>
      </c>
      <c r="F3083">
        <f>HYPERLINK("http://pbs.twimg.com/media/DZyS5-iVMAA8Hcb.jpg", "http://pbs.twimg.com/media/DZyS5-iVMAA8Hcb.jpg")</f>
        <v/>
      </c>
      <c r="G3083" t="s"/>
      <c r="H3083" t="s"/>
      <c r="I3083" t="s"/>
      <c r="J3083" t="n">
        <v>0.4404</v>
      </c>
      <c r="K3083" t="n">
        <v>0</v>
      </c>
      <c r="L3083" t="n">
        <v>0.873</v>
      </c>
      <c r="M3083" t="n">
        <v>0.127</v>
      </c>
    </row>
    <row r="3084" spans="1:13">
      <c r="A3084" s="1">
        <f>HYPERLINK("http://www.twitter.com/NathanBLawrence/status/983909670774558721", "983909670774558721")</f>
        <v/>
      </c>
      <c r="B3084" s="2" t="n">
        <v>43201.1449074074</v>
      </c>
      <c r="C3084" t="n">
        <v>0</v>
      </c>
      <c r="D3084" t="n">
        <v>7</v>
      </c>
      <c r="E3084" t="s">
        <v>3082</v>
      </c>
      <c r="F3084" t="s"/>
      <c r="G3084" t="s"/>
      <c r="H3084" t="s"/>
      <c r="I3084" t="s"/>
      <c r="J3084" t="n">
        <v>0.5994</v>
      </c>
      <c r="K3084" t="n">
        <v>0</v>
      </c>
      <c r="L3084" t="n">
        <v>0.8129999999999999</v>
      </c>
      <c r="M3084" t="n">
        <v>0.187</v>
      </c>
    </row>
    <row r="3085" spans="1:13">
      <c r="A3085" s="1">
        <f>HYPERLINK("http://www.twitter.com/NathanBLawrence/status/983909494802575361", "983909494802575361")</f>
        <v/>
      </c>
      <c r="B3085" s="2" t="n">
        <v>43201.1444212963</v>
      </c>
      <c r="C3085" t="n">
        <v>0</v>
      </c>
      <c r="D3085" t="n">
        <v>1</v>
      </c>
      <c r="E3085" t="s">
        <v>3083</v>
      </c>
      <c r="F3085" t="s"/>
      <c r="G3085" t="s"/>
      <c r="H3085" t="s"/>
      <c r="I3085" t="s"/>
      <c r="J3085" t="n">
        <v>0.6114000000000001</v>
      </c>
      <c r="K3085" t="n">
        <v>0</v>
      </c>
      <c r="L3085" t="n">
        <v>0.6</v>
      </c>
      <c r="M3085" t="n">
        <v>0.4</v>
      </c>
    </row>
    <row r="3086" spans="1:13">
      <c r="A3086" s="1">
        <f>HYPERLINK("http://www.twitter.com/NathanBLawrence/status/983908976256602112", "983908976256602112")</f>
        <v/>
      </c>
      <c r="B3086" s="2" t="n">
        <v>43201.14298611111</v>
      </c>
      <c r="C3086" t="n">
        <v>1</v>
      </c>
      <c r="D3086" t="n">
        <v>0</v>
      </c>
      <c r="E3086" t="s">
        <v>3084</v>
      </c>
      <c r="F3086" t="s"/>
      <c r="G3086" t="s"/>
      <c r="H3086" t="s"/>
      <c r="I3086" t="s"/>
      <c r="J3086" t="n">
        <v>-0.3197</v>
      </c>
      <c r="K3086" t="n">
        <v>0.113</v>
      </c>
      <c r="L3086" t="n">
        <v>0.795</v>
      </c>
      <c r="M3086" t="n">
        <v>0.092</v>
      </c>
    </row>
    <row r="3087" spans="1:13">
      <c r="A3087" s="1">
        <f>HYPERLINK("http://www.twitter.com/NathanBLawrence/status/983907786298978304", "983907786298978304")</f>
        <v/>
      </c>
      <c r="B3087" s="2" t="n">
        <v>43201.13971064815</v>
      </c>
      <c r="C3087" t="n">
        <v>3</v>
      </c>
      <c r="D3087" t="n">
        <v>0</v>
      </c>
      <c r="E3087" t="s">
        <v>3085</v>
      </c>
      <c r="F3087" t="s"/>
      <c r="G3087" t="s"/>
      <c r="H3087" t="s"/>
      <c r="I3087" t="s"/>
      <c r="J3087" t="n">
        <v>0</v>
      </c>
      <c r="K3087" t="n">
        <v>0</v>
      </c>
      <c r="L3087" t="n">
        <v>1</v>
      </c>
      <c r="M3087" t="n">
        <v>0</v>
      </c>
    </row>
    <row r="3088" spans="1:13">
      <c r="A3088" s="1">
        <f>HYPERLINK("http://www.twitter.com/NathanBLawrence/status/983907319959433216", "983907319959433216")</f>
        <v/>
      </c>
      <c r="B3088" s="2" t="n">
        <v>43201.13841435185</v>
      </c>
      <c r="C3088" t="n">
        <v>0</v>
      </c>
      <c r="D3088" t="n">
        <v>3</v>
      </c>
      <c r="E3088" t="s">
        <v>3086</v>
      </c>
      <c r="F3088">
        <f>HYPERLINK("http://pbs.twimg.com/media/DaeGjtJX4AEsiNE.jpg", "http://pbs.twimg.com/media/DaeGjtJX4AEsiNE.jpg")</f>
        <v/>
      </c>
      <c r="G3088" t="s"/>
      <c r="H3088" t="s"/>
      <c r="I3088" t="s"/>
      <c r="J3088" t="n">
        <v>0</v>
      </c>
      <c r="K3088" t="n">
        <v>0</v>
      </c>
      <c r="L3088" t="n">
        <v>1</v>
      </c>
      <c r="M3088" t="n">
        <v>0</v>
      </c>
    </row>
    <row r="3089" spans="1:13">
      <c r="A3089" s="1">
        <f>HYPERLINK("http://www.twitter.com/NathanBLawrence/status/983906126793248768", "983906126793248768")</f>
        <v/>
      </c>
      <c r="B3089" s="2" t="n">
        <v>43201.13512731482</v>
      </c>
      <c r="C3089" t="n">
        <v>0</v>
      </c>
      <c r="D3089" t="n">
        <v>3</v>
      </c>
      <c r="E3089" t="s">
        <v>3087</v>
      </c>
      <c r="F3089" t="s"/>
      <c r="G3089" t="s"/>
      <c r="H3089" t="s"/>
      <c r="I3089" t="s"/>
      <c r="J3089" t="n">
        <v>0</v>
      </c>
      <c r="K3089" t="n">
        <v>0</v>
      </c>
      <c r="L3089" t="n">
        <v>1</v>
      </c>
      <c r="M3089" t="n">
        <v>0</v>
      </c>
    </row>
    <row r="3090" spans="1:13">
      <c r="A3090" s="1">
        <f>HYPERLINK("http://www.twitter.com/NathanBLawrence/status/983901672631160832", "983901672631160832")</f>
        <v/>
      </c>
      <c r="B3090" s="2" t="n">
        <v>43201.12283564815</v>
      </c>
      <c r="C3090" t="n">
        <v>0</v>
      </c>
      <c r="D3090" t="n">
        <v>0</v>
      </c>
      <c r="E3090" t="s">
        <v>3088</v>
      </c>
      <c r="F3090" t="s"/>
      <c r="G3090" t="s"/>
      <c r="H3090" t="s"/>
      <c r="I3090" t="s"/>
      <c r="J3090" t="n">
        <v>-0.34</v>
      </c>
      <c r="K3090" t="n">
        <v>0.103</v>
      </c>
      <c r="L3090" t="n">
        <v>0.897</v>
      </c>
      <c r="M3090" t="n">
        <v>0</v>
      </c>
    </row>
    <row r="3091" spans="1:13">
      <c r="A3091" s="1">
        <f>HYPERLINK("http://www.twitter.com/NathanBLawrence/status/983899870225424385", "983899870225424385")</f>
        <v/>
      </c>
      <c r="B3091" s="2" t="n">
        <v>43201.11785879629</v>
      </c>
      <c r="C3091" t="n">
        <v>0</v>
      </c>
      <c r="D3091" t="n">
        <v>0</v>
      </c>
      <c r="E3091" t="s">
        <v>3089</v>
      </c>
      <c r="F3091" t="s"/>
      <c r="G3091" t="s"/>
      <c r="H3091" t="s"/>
      <c r="I3091" t="s"/>
      <c r="J3091" t="n">
        <v>0.6597</v>
      </c>
      <c r="K3091" t="n">
        <v>0</v>
      </c>
      <c r="L3091" t="n">
        <v>0.526</v>
      </c>
      <c r="M3091" t="n">
        <v>0.474</v>
      </c>
    </row>
    <row r="3092" spans="1:13">
      <c r="A3092" s="1">
        <f>HYPERLINK("http://www.twitter.com/NathanBLawrence/status/983899234939363328", "983899234939363328")</f>
        <v/>
      </c>
      <c r="B3092" s="2" t="n">
        <v>43201.11611111111</v>
      </c>
      <c r="C3092" t="n">
        <v>0</v>
      </c>
      <c r="D3092" t="n">
        <v>0</v>
      </c>
      <c r="E3092" t="s">
        <v>3090</v>
      </c>
      <c r="F3092" t="s"/>
      <c r="G3092" t="s"/>
      <c r="H3092" t="s"/>
      <c r="I3092" t="s"/>
      <c r="J3092" t="n">
        <v>-0.5859</v>
      </c>
      <c r="K3092" t="n">
        <v>0.202</v>
      </c>
      <c r="L3092" t="n">
        <v>0.798</v>
      </c>
      <c r="M3092" t="n">
        <v>0</v>
      </c>
    </row>
    <row r="3093" spans="1:13">
      <c r="A3093" s="1">
        <f>HYPERLINK("http://www.twitter.com/NathanBLawrence/status/983898731434205184", "983898731434205184")</f>
        <v/>
      </c>
      <c r="B3093" s="2" t="n">
        <v>43201.11472222222</v>
      </c>
      <c r="C3093" t="n">
        <v>0</v>
      </c>
      <c r="D3093" t="n">
        <v>0</v>
      </c>
      <c r="E3093" t="s">
        <v>3091</v>
      </c>
      <c r="F3093" t="s"/>
      <c r="G3093" t="s"/>
      <c r="H3093" t="s"/>
      <c r="I3093" t="s"/>
      <c r="J3093" t="n">
        <v>0.296</v>
      </c>
      <c r="K3093" t="n">
        <v>0</v>
      </c>
      <c r="L3093" t="n">
        <v>0.925</v>
      </c>
      <c r="M3093" t="n">
        <v>0.075</v>
      </c>
    </row>
    <row r="3094" spans="1:13">
      <c r="A3094" s="1">
        <f>HYPERLINK("http://www.twitter.com/NathanBLawrence/status/983898104876367874", "983898104876367874")</f>
        <v/>
      </c>
      <c r="B3094" s="2" t="n">
        <v>43201.11298611111</v>
      </c>
      <c r="C3094" t="n">
        <v>0</v>
      </c>
      <c r="D3094" t="n">
        <v>0</v>
      </c>
      <c r="E3094" t="s">
        <v>3092</v>
      </c>
      <c r="F3094" t="s"/>
      <c r="G3094" t="s"/>
      <c r="H3094" t="s"/>
      <c r="I3094" t="s"/>
      <c r="J3094" t="n">
        <v>0</v>
      </c>
      <c r="K3094" t="n">
        <v>0</v>
      </c>
      <c r="L3094" t="n">
        <v>1</v>
      </c>
      <c r="M3094" t="n">
        <v>0</v>
      </c>
    </row>
    <row r="3095" spans="1:13">
      <c r="A3095" s="1">
        <f>HYPERLINK("http://www.twitter.com/NathanBLawrence/status/983897755272826881", "983897755272826881")</f>
        <v/>
      </c>
      <c r="B3095" s="2" t="n">
        <v>43201.11202546296</v>
      </c>
      <c r="C3095" t="n">
        <v>0</v>
      </c>
      <c r="D3095" t="n">
        <v>0</v>
      </c>
      <c r="E3095" t="s">
        <v>3093</v>
      </c>
      <c r="F3095" t="s"/>
      <c r="G3095" t="s"/>
      <c r="H3095" t="s"/>
      <c r="I3095" t="s"/>
      <c r="J3095" t="n">
        <v>0.34</v>
      </c>
      <c r="K3095" t="n">
        <v>0</v>
      </c>
      <c r="L3095" t="n">
        <v>0.833</v>
      </c>
      <c r="M3095" t="n">
        <v>0.167</v>
      </c>
    </row>
    <row r="3096" spans="1:13">
      <c r="A3096" s="1">
        <f>HYPERLINK("http://www.twitter.com/NathanBLawrence/status/983896918236565504", "983896918236565504")</f>
        <v/>
      </c>
      <c r="B3096" s="2" t="n">
        <v>43201.10971064815</v>
      </c>
      <c r="C3096" t="n">
        <v>0</v>
      </c>
      <c r="D3096" t="n">
        <v>2</v>
      </c>
      <c r="E3096" t="s">
        <v>3094</v>
      </c>
      <c r="F3096" t="s"/>
      <c r="G3096" t="s"/>
      <c r="H3096" t="s"/>
      <c r="I3096" t="s"/>
      <c r="J3096" t="n">
        <v>-0.7759</v>
      </c>
      <c r="K3096" t="n">
        <v>0.244</v>
      </c>
      <c r="L3096" t="n">
        <v>0.756</v>
      </c>
      <c r="M3096" t="n">
        <v>0</v>
      </c>
    </row>
    <row r="3097" spans="1:13">
      <c r="A3097" s="1">
        <f>HYPERLINK("http://www.twitter.com/NathanBLawrence/status/983896480208613377", "983896480208613377")</f>
        <v/>
      </c>
      <c r="B3097" s="2" t="n">
        <v>43201.10850694445</v>
      </c>
      <c r="C3097" t="n">
        <v>1</v>
      </c>
      <c r="D3097" t="n">
        <v>1</v>
      </c>
      <c r="E3097" t="s">
        <v>3095</v>
      </c>
      <c r="F3097" t="s"/>
      <c r="G3097" t="s"/>
      <c r="H3097" t="s"/>
      <c r="I3097" t="s"/>
      <c r="J3097" t="n">
        <v>0</v>
      </c>
      <c r="K3097" t="n">
        <v>0</v>
      </c>
      <c r="L3097" t="n">
        <v>1</v>
      </c>
      <c r="M3097" t="n">
        <v>0</v>
      </c>
    </row>
    <row r="3098" spans="1:13">
      <c r="A3098" s="1">
        <f>HYPERLINK("http://www.twitter.com/NathanBLawrence/status/983893715143020544", "983893715143020544")</f>
        <v/>
      </c>
      <c r="B3098" s="2" t="n">
        <v>43201.10087962963</v>
      </c>
      <c r="C3098" t="n">
        <v>0</v>
      </c>
      <c r="D3098" t="n">
        <v>14</v>
      </c>
      <c r="E3098" t="s">
        <v>3096</v>
      </c>
      <c r="F3098">
        <f>HYPERLINK("http://pbs.twimg.com/media/Daca9pAXcAA72xD.jpg", "http://pbs.twimg.com/media/Daca9pAXcAA72xD.jpg")</f>
        <v/>
      </c>
      <c r="G3098">
        <f>HYPERLINK("http://pbs.twimg.com/media/Daca_biXkAAOHYK.jpg", "http://pbs.twimg.com/media/Daca_biXkAAOHYK.jpg")</f>
        <v/>
      </c>
      <c r="H3098">
        <f>HYPERLINK("http://pbs.twimg.com/media/DacbBDQWsAAkEKx.jpg", "http://pbs.twimg.com/media/DacbBDQWsAAkEKx.jpg")</f>
        <v/>
      </c>
      <c r="I3098">
        <f>HYPERLINK("http://pbs.twimg.com/media/DacbCkZX0AYiCh_.jpg", "http://pbs.twimg.com/media/DacbCkZX0AYiCh_.jpg")</f>
        <v/>
      </c>
      <c r="J3098" t="n">
        <v>0.5411</v>
      </c>
      <c r="K3098" t="n">
        <v>0</v>
      </c>
      <c r="L3098" t="n">
        <v>0.759</v>
      </c>
      <c r="M3098" t="n">
        <v>0.241</v>
      </c>
    </row>
    <row r="3099" spans="1:13">
      <c r="A3099" s="1">
        <f>HYPERLINK("http://www.twitter.com/NathanBLawrence/status/983893320366731264", "983893320366731264")</f>
        <v/>
      </c>
      <c r="B3099" s="2" t="n">
        <v>43201.09979166667</v>
      </c>
      <c r="C3099" t="n">
        <v>4</v>
      </c>
      <c r="D3099" t="n">
        <v>4</v>
      </c>
      <c r="E3099" t="s">
        <v>3097</v>
      </c>
      <c r="F3099">
        <f>HYPERLINK("http://pbs.twimg.com/media/Dad9wMlWkAABMHL.jpg", "http://pbs.twimg.com/media/Dad9wMlWkAABMHL.jpg")</f>
        <v/>
      </c>
      <c r="G3099" t="s"/>
      <c r="H3099" t="s"/>
      <c r="I3099" t="s"/>
      <c r="J3099" t="n">
        <v>0</v>
      </c>
      <c r="K3099" t="n">
        <v>0</v>
      </c>
      <c r="L3099" t="n">
        <v>1</v>
      </c>
      <c r="M3099" t="n">
        <v>0</v>
      </c>
    </row>
    <row r="3100" spans="1:13">
      <c r="A3100" s="1">
        <f>HYPERLINK("http://www.twitter.com/NathanBLawrence/status/983892057478647808", "983892057478647808")</f>
        <v/>
      </c>
      <c r="B3100" s="2" t="n">
        <v>43201.09629629629</v>
      </c>
      <c r="C3100" t="n">
        <v>0</v>
      </c>
      <c r="D3100" t="n">
        <v>2</v>
      </c>
      <c r="E3100" t="s">
        <v>3098</v>
      </c>
      <c r="F3100" t="s"/>
      <c r="G3100" t="s"/>
      <c r="H3100" t="s"/>
      <c r="I3100" t="s"/>
      <c r="J3100" t="n">
        <v>0.0258</v>
      </c>
      <c r="K3100" t="n">
        <v>0.133</v>
      </c>
      <c r="L3100" t="n">
        <v>0.73</v>
      </c>
      <c r="M3100" t="n">
        <v>0.137</v>
      </c>
    </row>
    <row r="3101" spans="1:13">
      <c r="A3101" s="1">
        <f>HYPERLINK("http://www.twitter.com/NathanBLawrence/status/983891213475635200", "983891213475635200")</f>
        <v/>
      </c>
      <c r="B3101" s="2" t="n">
        <v>43201.09396990741</v>
      </c>
      <c r="C3101" t="n">
        <v>0</v>
      </c>
      <c r="D3101" t="n">
        <v>10</v>
      </c>
      <c r="E3101" t="s">
        <v>3099</v>
      </c>
      <c r="F3101" t="s"/>
      <c r="G3101" t="s"/>
      <c r="H3101" t="s"/>
      <c r="I3101" t="s"/>
      <c r="J3101" t="n">
        <v>-0.0387</v>
      </c>
      <c r="K3101" t="n">
        <v>0.07099999999999999</v>
      </c>
      <c r="L3101" t="n">
        <v>0.929</v>
      </c>
      <c r="M3101" t="n">
        <v>0</v>
      </c>
    </row>
    <row r="3102" spans="1:13">
      <c r="A3102" s="1">
        <f>HYPERLINK("http://www.twitter.com/NathanBLawrence/status/983890353433477121", "983890353433477121")</f>
        <v/>
      </c>
      <c r="B3102" s="2" t="n">
        <v>43201.09159722222</v>
      </c>
      <c r="C3102" t="n">
        <v>1</v>
      </c>
      <c r="D3102" t="n">
        <v>1</v>
      </c>
      <c r="E3102" t="s">
        <v>3100</v>
      </c>
      <c r="F3102" t="s"/>
      <c r="G3102" t="s"/>
      <c r="H3102" t="s"/>
      <c r="I3102" t="s"/>
      <c r="J3102" t="n">
        <v>0</v>
      </c>
      <c r="K3102" t="n">
        <v>0</v>
      </c>
      <c r="L3102" t="n">
        <v>1</v>
      </c>
      <c r="M3102" t="n">
        <v>0</v>
      </c>
    </row>
    <row r="3103" spans="1:13">
      <c r="A3103" s="1">
        <f>HYPERLINK("http://www.twitter.com/NathanBLawrence/status/983879667659702272", "983879667659702272")</f>
        <v/>
      </c>
      <c r="B3103" s="2" t="n">
        <v>43201.06211805555</v>
      </c>
      <c r="C3103" t="n">
        <v>5</v>
      </c>
      <c r="D3103" t="n">
        <v>4</v>
      </c>
      <c r="E3103" t="s">
        <v>3101</v>
      </c>
      <c r="F3103" t="s"/>
      <c r="G3103" t="s"/>
      <c r="H3103" t="s"/>
      <c r="I3103" t="s"/>
      <c r="J3103" t="n">
        <v>0.5719</v>
      </c>
      <c r="K3103" t="n">
        <v>0</v>
      </c>
      <c r="L3103" t="n">
        <v>0.519</v>
      </c>
      <c r="M3103" t="n">
        <v>0.481</v>
      </c>
    </row>
    <row r="3104" spans="1:13">
      <c r="A3104" s="1">
        <f>HYPERLINK("http://www.twitter.com/NathanBLawrence/status/983878392499113985", "983878392499113985")</f>
        <v/>
      </c>
      <c r="B3104" s="2" t="n">
        <v>43201.05859953703</v>
      </c>
      <c r="C3104" t="n">
        <v>2</v>
      </c>
      <c r="D3104" t="n">
        <v>2</v>
      </c>
      <c r="E3104" t="s">
        <v>3102</v>
      </c>
      <c r="F3104" t="s"/>
      <c r="G3104" t="s"/>
      <c r="H3104" t="s"/>
      <c r="I3104" t="s"/>
      <c r="J3104" t="n">
        <v>0.5719</v>
      </c>
      <c r="K3104" t="n">
        <v>0</v>
      </c>
      <c r="L3104" t="n">
        <v>0.709</v>
      </c>
      <c r="M3104" t="n">
        <v>0.291</v>
      </c>
    </row>
    <row r="3105" spans="1:13">
      <c r="A3105" s="1">
        <f>HYPERLINK("http://www.twitter.com/NathanBLawrence/status/983873940698423296", "983873940698423296")</f>
        <v/>
      </c>
      <c r="B3105" s="2" t="n">
        <v>43201.04630787037</v>
      </c>
      <c r="C3105" t="n">
        <v>1</v>
      </c>
      <c r="D3105" t="n">
        <v>0</v>
      </c>
      <c r="E3105" t="s">
        <v>3103</v>
      </c>
      <c r="F3105" t="s"/>
      <c r="G3105" t="s"/>
      <c r="H3105" t="s"/>
      <c r="I3105" t="s"/>
      <c r="J3105" t="n">
        <v>-0.34</v>
      </c>
      <c r="K3105" t="n">
        <v>0.231</v>
      </c>
      <c r="L3105" t="n">
        <v>0.769</v>
      </c>
      <c r="M3105" t="n">
        <v>0</v>
      </c>
    </row>
    <row r="3106" spans="1:13">
      <c r="A3106" s="1">
        <f>HYPERLINK("http://www.twitter.com/NathanBLawrence/status/983872469399457792", "983872469399457792")</f>
        <v/>
      </c>
      <c r="B3106" s="2" t="n">
        <v>43201.04224537037</v>
      </c>
      <c r="C3106" t="n">
        <v>0</v>
      </c>
      <c r="D3106" t="n">
        <v>2</v>
      </c>
      <c r="E3106" t="s">
        <v>3104</v>
      </c>
      <c r="F3106" t="s"/>
      <c r="G3106" t="s"/>
      <c r="H3106" t="s"/>
      <c r="I3106" t="s"/>
      <c r="J3106" t="n">
        <v>0</v>
      </c>
      <c r="K3106" t="n">
        <v>0</v>
      </c>
      <c r="L3106" t="n">
        <v>1</v>
      </c>
      <c r="M3106" t="n">
        <v>0</v>
      </c>
    </row>
    <row r="3107" spans="1:13">
      <c r="A3107" s="1">
        <f>HYPERLINK("http://www.twitter.com/NathanBLawrence/status/983872427649355776", "983872427649355776")</f>
        <v/>
      </c>
      <c r="B3107" s="2" t="n">
        <v>43201.04212962963</v>
      </c>
      <c r="C3107" t="n">
        <v>0</v>
      </c>
      <c r="D3107" t="n">
        <v>0</v>
      </c>
      <c r="E3107" t="s">
        <v>3105</v>
      </c>
      <c r="F3107" t="s"/>
      <c r="G3107" t="s"/>
      <c r="H3107" t="s"/>
      <c r="I3107" t="s"/>
      <c r="J3107" t="n">
        <v>0</v>
      </c>
      <c r="K3107" t="n">
        <v>0</v>
      </c>
      <c r="L3107" t="n">
        <v>1</v>
      </c>
      <c r="M3107" t="n">
        <v>0</v>
      </c>
    </row>
    <row r="3108" spans="1:13">
      <c r="A3108" s="1">
        <f>HYPERLINK("http://www.twitter.com/NathanBLawrence/status/983869032532078593", "983869032532078593")</f>
        <v/>
      </c>
      <c r="B3108" s="2" t="n">
        <v>43201.0327662037</v>
      </c>
      <c r="C3108" t="n">
        <v>16</v>
      </c>
      <c r="D3108" t="n">
        <v>9</v>
      </c>
      <c r="E3108" t="s">
        <v>3106</v>
      </c>
      <c r="F3108">
        <f>HYPERLINK("http://pbs.twimg.com/media/Dadnqr6UwAIJdIq.jpg", "http://pbs.twimg.com/media/Dadnqr6UwAIJdIq.jpg")</f>
        <v/>
      </c>
      <c r="G3108" t="s"/>
      <c r="H3108" t="s"/>
      <c r="I3108" t="s"/>
      <c r="J3108" t="n">
        <v>0.7506</v>
      </c>
      <c r="K3108" t="n">
        <v>0</v>
      </c>
      <c r="L3108" t="n">
        <v>0.796</v>
      </c>
      <c r="M3108" t="n">
        <v>0.204</v>
      </c>
    </row>
    <row r="3109" spans="1:13">
      <c r="A3109" s="1">
        <f>HYPERLINK("http://www.twitter.com/NathanBLawrence/status/983836643252752384", "983836643252752384")</f>
        <v/>
      </c>
      <c r="B3109" s="2" t="n">
        <v>43200.94339120371</v>
      </c>
      <c r="C3109" t="n">
        <v>0</v>
      </c>
      <c r="D3109" t="n">
        <v>0</v>
      </c>
      <c r="E3109" t="s">
        <v>3107</v>
      </c>
      <c r="F3109" t="s"/>
      <c r="G3109" t="s"/>
      <c r="H3109" t="s"/>
      <c r="I3109" t="s"/>
      <c r="J3109" t="n">
        <v>0</v>
      </c>
      <c r="K3109" t="n">
        <v>0</v>
      </c>
      <c r="L3109" t="n">
        <v>1</v>
      </c>
      <c r="M3109" t="n">
        <v>0</v>
      </c>
    </row>
    <row r="3110" spans="1:13">
      <c r="A3110" s="1">
        <f>HYPERLINK("http://www.twitter.com/NathanBLawrence/status/983834517201997825", "983834517201997825")</f>
        <v/>
      </c>
      <c r="B3110" s="2" t="n">
        <v>43200.93752314815</v>
      </c>
      <c r="C3110" t="n">
        <v>1</v>
      </c>
      <c r="D3110" t="n">
        <v>2</v>
      </c>
      <c r="E3110" t="s">
        <v>3108</v>
      </c>
      <c r="F3110" t="s"/>
      <c r="G3110" t="s"/>
      <c r="H3110" t="s"/>
      <c r="I3110" t="s"/>
      <c r="J3110" t="n">
        <v>0.296</v>
      </c>
      <c r="K3110" t="n">
        <v>0.132</v>
      </c>
      <c r="L3110" t="n">
        <v>0.636</v>
      </c>
      <c r="M3110" t="n">
        <v>0.232</v>
      </c>
    </row>
    <row r="3111" spans="1:13">
      <c r="A3111" s="1">
        <f>HYPERLINK("http://www.twitter.com/NathanBLawrence/status/983832449393266688", "983832449393266688")</f>
        <v/>
      </c>
      <c r="B3111" s="2" t="n">
        <v>43200.93181712963</v>
      </c>
      <c r="C3111" t="n">
        <v>9</v>
      </c>
      <c r="D3111" t="n">
        <v>12</v>
      </c>
      <c r="E3111" t="s">
        <v>3109</v>
      </c>
      <c r="F3111" t="s"/>
      <c r="G3111" t="s"/>
      <c r="H3111" t="s"/>
      <c r="I3111" t="s"/>
      <c r="J3111" t="n">
        <v>-0.34</v>
      </c>
      <c r="K3111" t="n">
        <v>0.124</v>
      </c>
      <c r="L3111" t="n">
        <v>0.876</v>
      </c>
      <c r="M3111" t="n">
        <v>0</v>
      </c>
    </row>
    <row r="3112" spans="1:13">
      <c r="A3112" s="1">
        <f>HYPERLINK("http://www.twitter.com/NathanBLawrence/status/983827004997939200", "983827004997939200")</f>
        <v/>
      </c>
      <c r="B3112" s="2" t="n">
        <v>43200.91679398148</v>
      </c>
      <c r="C3112" t="n">
        <v>3</v>
      </c>
      <c r="D3112" t="n">
        <v>3</v>
      </c>
      <c r="E3112" t="s">
        <v>3110</v>
      </c>
      <c r="F3112">
        <f>HYPERLINK("http://pbs.twimg.com/media/DadBcInUQAAAELM.jpg", "http://pbs.twimg.com/media/DadBcInUQAAAELM.jpg")</f>
        <v/>
      </c>
      <c r="G3112" t="s"/>
      <c r="H3112" t="s"/>
      <c r="I3112" t="s"/>
      <c r="J3112" t="n">
        <v>0.2869</v>
      </c>
      <c r="K3112" t="n">
        <v>0.066</v>
      </c>
      <c r="L3112" t="n">
        <v>0.834</v>
      </c>
      <c r="M3112" t="n">
        <v>0.1</v>
      </c>
    </row>
    <row r="3113" spans="1:13">
      <c r="A3113" s="1">
        <f>HYPERLINK("http://www.twitter.com/NathanBLawrence/status/983824297385975808", "983824297385975808")</f>
        <v/>
      </c>
      <c r="B3113" s="2" t="n">
        <v>43200.90931712963</v>
      </c>
      <c r="C3113" t="n">
        <v>0</v>
      </c>
      <c r="D3113" t="n">
        <v>4</v>
      </c>
      <c r="E3113" t="s">
        <v>3111</v>
      </c>
      <c r="F3113" t="s"/>
      <c r="G3113" t="s"/>
      <c r="H3113" t="s"/>
      <c r="I3113" t="s"/>
      <c r="J3113" t="n">
        <v>-0.128</v>
      </c>
      <c r="K3113" t="n">
        <v>0.12</v>
      </c>
      <c r="L3113" t="n">
        <v>0.783</v>
      </c>
      <c r="M3113" t="n">
        <v>0.097</v>
      </c>
    </row>
    <row r="3114" spans="1:13">
      <c r="A3114" s="1">
        <f>HYPERLINK("http://www.twitter.com/NathanBLawrence/status/983823853179858944", "983823853179858944")</f>
        <v/>
      </c>
      <c r="B3114" s="2" t="n">
        <v>43200.90809027778</v>
      </c>
      <c r="C3114" t="n">
        <v>3</v>
      </c>
      <c r="D3114" t="n">
        <v>3</v>
      </c>
      <c r="E3114" t="s">
        <v>3112</v>
      </c>
      <c r="F3114" t="s"/>
      <c r="G3114" t="s"/>
      <c r="H3114" t="s"/>
      <c r="I3114" t="s"/>
      <c r="J3114" t="n">
        <v>0.8877</v>
      </c>
      <c r="K3114" t="n">
        <v>0</v>
      </c>
      <c r="L3114" t="n">
        <v>0.758</v>
      </c>
      <c r="M3114" t="n">
        <v>0.242</v>
      </c>
    </row>
    <row r="3115" spans="1:13">
      <c r="A3115" s="1">
        <f>HYPERLINK("http://www.twitter.com/NathanBLawrence/status/983820886229835777", "983820886229835777")</f>
        <v/>
      </c>
      <c r="B3115" s="2" t="n">
        <v>43200.89990740741</v>
      </c>
      <c r="C3115" t="n">
        <v>1</v>
      </c>
      <c r="D3115" t="n">
        <v>0</v>
      </c>
      <c r="E3115" t="s">
        <v>3113</v>
      </c>
      <c r="F3115" t="s"/>
      <c r="G3115" t="s"/>
      <c r="H3115" t="s"/>
      <c r="I3115" t="s"/>
      <c r="J3115" t="n">
        <v>-0.296</v>
      </c>
      <c r="K3115" t="n">
        <v>0.196</v>
      </c>
      <c r="L3115" t="n">
        <v>0.804</v>
      </c>
      <c r="M3115" t="n">
        <v>0</v>
      </c>
    </row>
    <row r="3116" spans="1:13">
      <c r="A3116" s="1">
        <f>HYPERLINK("http://www.twitter.com/NathanBLawrence/status/983820223999594496", "983820223999594496")</f>
        <v/>
      </c>
      <c r="B3116" s="2" t="n">
        <v>43200.89807870371</v>
      </c>
      <c r="C3116" t="n">
        <v>0</v>
      </c>
      <c r="D3116" t="n">
        <v>6</v>
      </c>
      <c r="E3116" t="s">
        <v>3114</v>
      </c>
      <c r="F3116">
        <f>HYPERLINK("http://pbs.twimg.com/media/Dac6YzCWAAA1pXk.jpg", "http://pbs.twimg.com/media/Dac6YzCWAAA1pXk.jpg")</f>
        <v/>
      </c>
      <c r="G3116" t="s"/>
      <c r="H3116" t="s"/>
      <c r="I3116" t="s"/>
      <c r="J3116" t="n">
        <v>-0.7003</v>
      </c>
      <c r="K3116" t="n">
        <v>0.201</v>
      </c>
      <c r="L3116" t="n">
        <v>0.799</v>
      </c>
      <c r="M3116" t="n">
        <v>0</v>
      </c>
    </row>
    <row r="3117" spans="1:13">
      <c r="A3117" s="1">
        <f>HYPERLINK("http://www.twitter.com/NathanBLawrence/status/983820109138538497", "983820109138538497")</f>
        <v/>
      </c>
      <c r="B3117" s="2" t="n">
        <v>43200.89776620371</v>
      </c>
      <c r="C3117" t="n">
        <v>2</v>
      </c>
      <c r="D3117" t="n">
        <v>2</v>
      </c>
      <c r="E3117" t="s">
        <v>3115</v>
      </c>
      <c r="F3117" t="s"/>
      <c r="G3117" t="s"/>
      <c r="H3117" t="s"/>
      <c r="I3117" t="s"/>
      <c r="J3117" t="n">
        <v>-0.0772</v>
      </c>
      <c r="K3117" t="n">
        <v>0.075</v>
      </c>
      <c r="L3117" t="n">
        <v>0.925</v>
      </c>
      <c r="M3117" t="n">
        <v>0</v>
      </c>
    </row>
    <row r="3118" spans="1:13">
      <c r="A3118" s="1">
        <f>HYPERLINK("http://www.twitter.com/NathanBLawrence/status/983817694599352322", "983817694599352322")</f>
        <v/>
      </c>
      <c r="B3118" s="2" t="n">
        <v>43200.89109953704</v>
      </c>
      <c r="C3118" t="n">
        <v>1</v>
      </c>
      <c r="D3118" t="n">
        <v>0</v>
      </c>
      <c r="E3118" t="s">
        <v>3116</v>
      </c>
      <c r="F3118" t="s"/>
      <c r="G3118" t="s"/>
      <c r="H3118" t="s"/>
      <c r="I3118" t="s"/>
      <c r="J3118" t="n">
        <v>0.296</v>
      </c>
      <c r="K3118" t="n">
        <v>0</v>
      </c>
      <c r="L3118" t="n">
        <v>0.804</v>
      </c>
      <c r="M3118" t="n">
        <v>0.196</v>
      </c>
    </row>
    <row r="3119" spans="1:13">
      <c r="A3119" s="1">
        <f>HYPERLINK("http://www.twitter.com/NathanBLawrence/status/983817463170240512", "983817463170240512")</f>
        <v/>
      </c>
      <c r="B3119" s="2" t="n">
        <v>43200.89046296296</v>
      </c>
      <c r="C3119" t="n">
        <v>0</v>
      </c>
      <c r="D3119" t="n">
        <v>28</v>
      </c>
      <c r="E3119" t="s">
        <v>3117</v>
      </c>
      <c r="F3119" t="s"/>
      <c r="G3119" t="s"/>
      <c r="H3119" t="s"/>
      <c r="I3119" t="s"/>
      <c r="J3119" t="n">
        <v>-0.7003</v>
      </c>
      <c r="K3119" t="n">
        <v>0.209</v>
      </c>
      <c r="L3119" t="n">
        <v>0.791</v>
      </c>
      <c r="M3119" t="n">
        <v>0</v>
      </c>
    </row>
    <row r="3120" spans="1:13">
      <c r="A3120" s="1">
        <f>HYPERLINK("http://www.twitter.com/NathanBLawrence/status/983817373710016513", "983817373710016513")</f>
        <v/>
      </c>
      <c r="B3120" s="2" t="n">
        <v>43200.89020833333</v>
      </c>
      <c r="C3120" t="n">
        <v>1</v>
      </c>
      <c r="D3120" t="n">
        <v>0</v>
      </c>
      <c r="E3120" t="s">
        <v>3118</v>
      </c>
      <c r="F3120" t="s"/>
      <c r="G3120" t="s"/>
      <c r="H3120" t="s"/>
      <c r="I3120" t="s"/>
      <c r="J3120" t="n">
        <v>0</v>
      </c>
      <c r="K3120" t="n">
        <v>0</v>
      </c>
      <c r="L3120" t="n">
        <v>1</v>
      </c>
      <c r="M3120" t="n">
        <v>0</v>
      </c>
    </row>
    <row r="3121" spans="1:13">
      <c r="A3121" s="1">
        <f>HYPERLINK("http://www.twitter.com/NathanBLawrence/status/983817169703235584", "983817169703235584")</f>
        <v/>
      </c>
      <c r="B3121" s="2" t="n">
        <v>43200.88965277778</v>
      </c>
      <c r="C3121" t="n">
        <v>7</v>
      </c>
      <c r="D3121" t="n">
        <v>6</v>
      </c>
      <c r="E3121" t="s">
        <v>3119</v>
      </c>
      <c r="F3121" t="s"/>
      <c r="G3121" t="s"/>
      <c r="H3121" t="s"/>
      <c r="I3121" t="s"/>
      <c r="J3121" t="n">
        <v>0.128</v>
      </c>
      <c r="K3121" t="n">
        <v>0.074</v>
      </c>
      <c r="L3121" t="n">
        <v>0.836</v>
      </c>
      <c r="M3121" t="n">
        <v>0.09</v>
      </c>
    </row>
    <row r="3122" spans="1:13">
      <c r="A3122" s="1">
        <f>HYPERLINK("http://www.twitter.com/NathanBLawrence/status/983812957845979136", "983812957845979136")</f>
        <v/>
      </c>
      <c r="B3122" s="2" t="n">
        <v>43200.87803240741</v>
      </c>
      <c r="C3122" t="n">
        <v>0</v>
      </c>
      <c r="D3122" t="n">
        <v>1</v>
      </c>
      <c r="E3122" t="s">
        <v>3120</v>
      </c>
      <c r="F3122" t="s"/>
      <c r="G3122" t="s"/>
      <c r="H3122" t="s"/>
      <c r="I3122" t="s"/>
      <c r="J3122" t="n">
        <v>0.4926</v>
      </c>
      <c r="K3122" t="n">
        <v>0</v>
      </c>
      <c r="L3122" t="n">
        <v>0.825</v>
      </c>
      <c r="M3122" t="n">
        <v>0.175</v>
      </c>
    </row>
    <row r="3123" spans="1:13">
      <c r="A3123" s="1">
        <f>HYPERLINK("http://www.twitter.com/NathanBLawrence/status/983812927949082627", "983812927949082627")</f>
        <v/>
      </c>
      <c r="B3123" s="2" t="n">
        <v>43200.87795138889</v>
      </c>
      <c r="C3123" t="n">
        <v>0</v>
      </c>
      <c r="D3123" t="n">
        <v>1</v>
      </c>
      <c r="E3123" t="s">
        <v>3121</v>
      </c>
      <c r="F3123">
        <f>HYPERLINK("http://pbs.twimg.com/media/Dac0ofGV4AUP9Qf.jpg", "http://pbs.twimg.com/media/Dac0ofGV4AUP9Qf.jpg")</f>
        <v/>
      </c>
      <c r="G3123" t="s"/>
      <c r="H3123" t="s"/>
      <c r="I3123" t="s"/>
      <c r="J3123" t="n">
        <v>-0.4003</v>
      </c>
      <c r="K3123" t="n">
        <v>0.402</v>
      </c>
      <c r="L3123" t="n">
        <v>0.598</v>
      </c>
      <c r="M3123" t="n">
        <v>0</v>
      </c>
    </row>
    <row r="3124" spans="1:13">
      <c r="A3124" s="1">
        <f>HYPERLINK("http://www.twitter.com/NathanBLawrence/status/983810116335165440", "983810116335165440")</f>
        <v/>
      </c>
      <c r="B3124" s="2" t="n">
        <v>43200.87018518519</v>
      </c>
      <c r="C3124" t="n">
        <v>0</v>
      </c>
      <c r="D3124" t="n">
        <v>14</v>
      </c>
      <c r="E3124" t="s">
        <v>3122</v>
      </c>
      <c r="F3124" t="s"/>
      <c r="G3124" t="s"/>
      <c r="H3124" t="s"/>
      <c r="I3124" t="s"/>
      <c r="J3124" t="n">
        <v>0</v>
      </c>
      <c r="K3124" t="n">
        <v>0</v>
      </c>
      <c r="L3124" t="n">
        <v>1</v>
      </c>
      <c r="M3124" t="n">
        <v>0</v>
      </c>
    </row>
    <row r="3125" spans="1:13">
      <c r="A3125" s="1">
        <f>HYPERLINK("http://www.twitter.com/NathanBLawrence/status/983807845840932867", "983807845840932867")</f>
        <v/>
      </c>
      <c r="B3125" s="2" t="n">
        <v>43200.86392361111</v>
      </c>
      <c r="C3125" t="n">
        <v>7</v>
      </c>
      <c r="D3125" t="n">
        <v>7</v>
      </c>
      <c r="E3125" t="s">
        <v>3123</v>
      </c>
      <c r="F3125" t="s"/>
      <c r="G3125" t="s"/>
      <c r="H3125" t="s"/>
      <c r="I3125" t="s"/>
      <c r="J3125" t="n">
        <v>-0.6597</v>
      </c>
      <c r="K3125" t="n">
        <v>0.148</v>
      </c>
      <c r="L3125" t="n">
        <v>0.852</v>
      </c>
      <c r="M3125" t="n">
        <v>0</v>
      </c>
    </row>
    <row r="3126" spans="1:13">
      <c r="A3126" s="1">
        <f>HYPERLINK("http://www.twitter.com/NathanBLawrence/status/983790350136414209", "983790350136414209")</f>
        <v/>
      </c>
      <c r="B3126" s="2" t="n">
        <v>43200.81564814815</v>
      </c>
      <c r="C3126" t="n">
        <v>0</v>
      </c>
      <c r="D3126" t="n">
        <v>39</v>
      </c>
      <c r="E3126" t="s">
        <v>3124</v>
      </c>
      <c r="F3126" t="s"/>
      <c r="G3126" t="s"/>
      <c r="H3126" t="s"/>
      <c r="I3126" t="s"/>
      <c r="J3126" t="n">
        <v>0</v>
      </c>
      <c r="K3126" t="n">
        <v>0</v>
      </c>
      <c r="L3126" t="n">
        <v>1</v>
      </c>
      <c r="M3126" t="n">
        <v>0</v>
      </c>
    </row>
    <row r="3127" spans="1:13">
      <c r="A3127" s="1">
        <f>HYPERLINK("http://www.twitter.com/NathanBLawrence/status/983784621824462848", "983784621824462848")</f>
        <v/>
      </c>
      <c r="B3127" s="2" t="n">
        <v>43200.79983796296</v>
      </c>
      <c r="C3127" t="n">
        <v>0</v>
      </c>
      <c r="D3127" t="n">
        <v>8</v>
      </c>
      <c r="E3127" t="s">
        <v>3125</v>
      </c>
      <c r="F3127">
        <f>HYPERLINK("https://video.twimg.com/ext_tw_video/983783484291534849/pu/vid/1280x720/WhqL7mXW84F4nd3K.mp4?tag=2", "https://video.twimg.com/ext_tw_video/983783484291534849/pu/vid/1280x720/WhqL7mXW84F4nd3K.mp4?tag=2")</f>
        <v/>
      </c>
      <c r="G3127" t="s"/>
      <c r="H3127" t="s"/>
      <c r="I3127" t="s"/>
      <c r="J3127" t="n">
        <v>0</v>
      </c>
      <c r="K3127" t="n">
        <v>0</v>
      </c>
      <c r="L3127" t="n">
        <v>1</v>
      </c>
      <c r="M3127" t="n">
        <v>0</v>
      </c>
    </row>
    <row r="3128" spans="1:13">
      <c r="A3128" s="1">
        <f>HYPERLINK("http://www.twitter.com/NathanBLawrence/status/983784606104260609", "983784606104260609")</f>
        <v/>
      </c>
      <c r="B3128" s="2" t="n">
        <v>43200.79979166666</v>
      </c>
      <c r="C3128" t="n">
        <v>1</v>
      </c>
      <c r="D3128" t="n">
        <v>1</v>
      </c>
      <c r="E3128" t="s">
        <v>3126</v>
      </c>
      <c r="F3128" t="s"/>
      <c r="G3128" t="s"/>
      <c r="H3128" t="s"/>
      <c r="I3128" t="s"/>
      <c r="J3128" t="n">
        <v>0</v>
      </c>
      <c r="K3128" t="n">
        <v>0</v>
      </c>
      <c r="L3128" t="n">
        <v>1</v>
      </c>
      <c r="M3128" t="n">
        <v>0</v>
      </c>
    </row>
    <row r="3129" spans="1:13">
      <c r="A3129" s="1">
        <f>HYPERLINK("http://www.twitter.com/NathanBLawrence/status/983783725480718337", "983783725480718337")</f>
        <v/>
      </c>
      <c r="B3129" s="2" t="n">
        <v>43200.79736111111</v>
      </c>
      <c r="C3129" t="n">
        <v>0</v>
      </c>
      <c r="D3129" t="n">
        <v>3</v>
      </c>
      <c r="E3129" t="s">
        <v>3127</v>
      </c>
      <c r="F3129" t="s"/>
      <c r="G3129" t="s"/>
      <c r="H3129" t="s"/>
      <c r="I3129" t="s"/>
      <c r="J3129" t="n">
        <v>0.4404</v>
      </c>
      <c r="K3129" t="n">
        <v>0</v>
      </c>
      <c r="L3129" t="n">
        <v>0.805</v>
      </c>
      <c r="M3129" t="n">
        <v>0.195</v>
      </c>
    </row>
    <row r="3130" spans="1:13">
      <c r="A3130" s="1">
        <f>HYPERLINK("http://www.twitter.com/NathanBLawrence/status/983783408391376896", "983783408391376896")</f>
        <v/>
      </c>
      <c r="B3130" s="2" t="n">
        <v>43200.79649305555</v>
      </c>
      <c r="C3130" t="n">
        <v>1</v>
      </c>
      <c r="D3130" t="n">
        <v>0</v>
      </c>
      <c r="E3130" t="s">
        <v>3128</v>
      </c>
      <c r="F3130" t="s"/>
      <c r="G3130" t="s"/>
      <c r="H3130" t="s"/>
      <c r="I3130" t="s"/>
      <c r="J3130" t="n">
        <v>-0.5574</v>
      </c>
      <c r="K3130" t="n">
        <v>0.256</v>
      </c>
      <c r="L3130" t="n">
        <v>0.591</v>
      </c>
      <c r="M3130" t="n">
        <v>0.154</v>
      </c>
    </row>
    <row r="3131" spans="1:13">
      <c r="A3131" s="1">
        <f>HYPERLINK("http://www.twitter.com/NathanBLawrence/status/983782839060762624", "983782839060762624")</f>
        <v/>
      </c>
      <c r="B3131" s="2" t="n">
        <v>43200.79491898148</v>
      </c>
      <c r="C3131" t="n">
        <v>3</v>
      </c>
      <c r="D3131" t="n">
        <v>0</v>
      </c>
      <c r="E3131" t="s">
        <v>3129</v>
      </c>
      <c r="F3131" t="s"/>
      <c r="G3131" t="s"/>
      <c r="H3131" t="s"/>
      <c r="I3131" t="s"/>
      <c r="J3131" t="n">
        <v>-0.34</v>
      </c>
      <c r="K3131" t="n">
        <v>0.117</v>
      </c>
      <c r="L3131" t="n">
        <v>0.833</v>
      </c>
      <c r="M3131" t="n">
        <v>0.05</v>
      </c>
    </row>
    <row r="3132" spans="1:13">
      <c r="A3132" s="1">
        <f>HYPERLINK("http://www.twitter.com/NathanBLawrence/status/983781523244617729", "983781523244617729")</f>
        <v/>
      </c>
      <c r="B3132" s="2" t="n">
        <v>43200.79128472223</v>
      </c>
      <c r="C3132" t="n">
        <v>0</v>
      </c>
      <c r="D3132" t="n">
        <v>12</v>
      </c>
      <c r="E3132" t="s">
        <v>3130</v>
      </c>
      <c r="F3132" t="s"/>
      <c r="G3132" t="s"/>
      <c r="H3132" t="s"/>
      <c r="I3132" t="s"/>
      <c r="J3132" t="n">
        <v>0.4215</v>
      </c>
      <c r="K3132" t="n">
        <v>0</v>
      </c>
      <c r="L3132" t="n">
        <v>0.882</v>
      </c>
      <c r="M3132" t="n">
        <v>0.118</v>
      </c>
    </row>
    <row r="3133" spans="1:13">
      <c r="A3133" s="1">
        <f>HYPERLINK("http://www.twitter.com/NathanBLawrence/status/983780328627232769", "983780328627232769")</f>
        <v/>
      </c>
      <c r="B3133" s="2" t="n">
        <v>43200.78798611111</v>
      </c>
      <c r="C3133" t="n">
        <v>0</v>
      </c>
      <c r="D3133" t="n">
        <v>2</v>
      </c>
      <c r="E3133" t="s">
        <v>3131</v>
      </c>
      <c r="F3133" t="s"/>
      <c r="G3133" t="s"/>
      <c r="H3133" t="s"/>
      <c r="I3133" t="s"/>
      <c r="J3133" t="n">
        <v>0.1511</v>
      </c>
      <c r="K3133" t="n">
        <v>0</v>
      </c>
      <c r="L3133" t="n">
        <v>0.914</v>
      </c>
      <c r="M3133" t="n">
        <v>0.08599999999999999</v>
      </c>
    </row>
    <row r="3134" spans="1:13">
      <c r="A3134" s="1">
        <f>HYPERLINK("http://www.twitter.com/NathanBLawrence/status/983769114987716608", "983769114987716608")</f>
        <v/>
      </c>
      <c r="B3134" s="2" t="n">
        <v>43200.75704861111</v>
      </c>
      <c r="C3134" t="n">
        <v>2</v>
      </c>
      <c r="D3134" t="n">
        <v>0</v>
      </c>
      <c r="E3134" t="s">
        <v>3132</v>
      </c>
      <c r="F3134" t="s"/>
      <c r="G3134" t="s"/>
      <c r="H3134" t="s"/>
      <c r="I3134" t="s"/>
      <c r="J3134" t="n">
        <v>0</v>
      </c>
      <c r="K3134" t="n">
        <v>0</v>
      </c>
      <c r="L3134" t="n">
        <v>1</v>
      </c>
      <c r="M3134" t="n">
        <v>0</v>
      </c>
    </row>
    <row r="3135" spans="1:13">
      <c r="A3135" s="1">
        <f>HYPERLINK("http://www.twitter.com/NathanBLawrence/status/983768837228322822", "983768837228322822")</f>
        <v/>
      </c>
      <c r="B3135" s="2" t="n">
        <v>43200.75627314814</v>
      </c>
      <c r="C3135" t="n">
        <v>0</v>
      </c>
      <c r="D3135" t="n">
        <v>4</v>
      </c>
      <c r="E3135" t="s">
        <v>3133</v>
      </c>
      <c r="F3135" t="s"/>
      <c r="G3135" t="s"/>
      <c r="H3135" t="s"/>
      <c r="I3135" t="s"/>
      <c r="J3135" t="n">
        <v>0.6369</v>
      </c>
      <c r="K3135" t="n">
        <v>0</v>
      </c>
      <c r="L3135" t="n">
        <v>0.819</v>
      </c>
      <c r="M3135" t="n">
        <v>0.181</v>
      </c>
    </row>
    <row r="3136" spans="1:13">
      <c r="A3136" s="1">
        <f>HYPERLINK("http://www.twitter.com/NathanBLawrence/status/983767645114830848", "983767645114830848")</f>
        <v/>
      </c>
      <c r="B3136" s="2" t="n">
        <v>43200.75298611111</v>
      </c>
      <c r="C3136" t="n">
        <v>3</v>
      </c>
      <c r="D3136" t="n">
        <v>2</v>
      </c>
      <c r="E3136" t="s">
        <v>3134</v>
      </c>
      <c r="F3136" t="s"/>
      <c r="G3136" t="s"/>
      <c r="H3136" t="s"/>
      <c r="I3136" t="s"/>
      <c r="J3136" t="n">
        <v>0.743</v>
      </c>
      <c r="K3136" t="n">
        <v>0</v>
      </c>
      <c r="L3136" t="n">
        <v>0.855</v>
      </c>
      <c r="M3136" t="n">
        <v>0.145</v>
      </c>
    </row>
    <row r="3137" spans="1:13">
      <c r="A3137" s="1">
        <f>HYPERLINK("http://www.twitter.com/NathanBLawrence/status/983764445120917505", "983764445120917505")</f>
        <v/>
      </c>
      <c r="B3137" s="2" t="n">
        <v>43200.74415509259</v>
      </c>
      <c r="C3137" t="n">
        <v>4</v>
      </c>
      <c r="D3137" t="n">
        <v>2</v>
      </c>
      <c r="E3137" t="s">
        <v>3135</v>
      </c>
      <c r="F3137" t="s"/>
      <c r="G3137" t="s"/>
      <c r="H3137" t="s"/>
      <c r="I3137" t="s"/>
      <c r="J3137" t="n">
        <v>0.3431</v>
      </c>
      <c r="K3137" t="n">
        <v>0.07099999999999999</v>
      </c>
      <c r="L3137" t="n">
        <v>0.804</v>
      </c>
      <c r="M3137" t="n">
        <v>0.125</v>
      </c>
    </row>
    <row r="3138" spans="1:13">
      <c r="A3138" s="1">
        <f>HYPERLINK("http://www.twitter.com/NathanBLawrence/status/983760163990573057", "983760163990573057")</f>
        <v/>
      </c>
      <c r="B3138" s="2" t="n">
        <v>43200.73234953704</v>
      </c>
      <c r="C3138" t="n">
        <v>5</v>
      </c>
      <c r="D3138" t="n">
        <v>3</v>
      </c>
      <c r="E3138" t="s">
        <v>3136</v>
      </c>
      <c r="F3138" t="s"/>
      <c r="G3138" t="s"/>
      <c r="H3138" t="s"/>
      <c r="I3138" t="s"/>
      <c r="J3138" t="n">
        <v>-0.872</v>
      </c>
      <c r="K3138" t="n">
        <v>0.206</v>
      </c>
      <c r="L3138" t="n">
        <v>0.794</v>
      </c>
      <c r="M3138" t="n">
        <v>0</v>
      </c>
    </row>
    <row r="3139" spans="1:13">
      <c r="A3139" s="1">
        <f>HYPERLINK("http://www.twitter.com/NathanBLawrence/status/983759086574538753", "983759086574538753")</f>
        <v/>
      </c>
      <c r="B3139" s="2" t="n">
        <v>43200.729375</v>
      </c>
      <c r="C3139" t="n">
        <v>0</v>
      </c>
      <c r="D3139" t="n">
        <v>0</v>
      </c>
      <c r="E3139" t="s">
        <v>3137</v>
      </c>
      <c r="F3139" t="s"/>
      <c r="G3139" t="s"/>
      <c r="H3139" t="s"/>
      <c r="I3139" t="s"/>
      <c r="J3139" t="n">
        <v>-0.296</v>
      </c>
      <c r="K3139" t="n">
        <v>0.104</v>
      </c>
      <c r="L3139" t="n">
        <v>0.896</v>
      </c>
      <c r="M3139" t="n">
        <v>0</v>
      </c>
    </row>
    <row r="3140" spans="1:13">
      <c r="A3140" s="1">
        <f>HYPERLINK("http://www.twitter.com/NathanBLawrence/status/983758688673509377", "983758688673509377")</f>
        <v/>
      </c>
      <c r="B3140" s="2" t="n">
        <v>43200.72827546296</v>
      </c>
      <c r="C3140" t="n">
        <v>0</v>
      </c>
      <c r="D3140" t="n">
        <v>31</v>
      </c>
      <c r="E3140" t="s">
        <v>3138</v>
      </c>
      <c r="F3140" t="s"/>
      <c r="G3140" t="s"/>
      <c r="H3140" t="s"/>
      <c r="I3140" t="s"/>
      <c r="J3140" t="n">
        <v>0.0772</v>
      </c>
      <c r="K3140" t="n">
        <v>0.104</v>
      </c>
      <c r="L3140" t="n">
        <v>0.779</v>
      </c>
      <c r="M3140" t="n">
        <v>0.117</v>
      </c>
    </row>
    <row r="3141" spans="1:13">
      <c r="A3141" s="1">
        <f>HYPERLINK("http://www.twitter.com/NathanBLawrence/status/983758581970407424", "983758581970407424")</f>
        <v/>
      </c>
      <c r="B3141" s="2" t="n">
        <v>43200.72797453704</v>
      </c>
      <c r="C3141" t="n">
        <v>0</v>
      </c>
      <c r="D3141" t="n">
        <v>1</v>
      </c>
      <c r="E3141" t="s">
        <v>3139</v>
      </c>
      <c r="F3141" t="s"/>
      <c r="G3141" t="s"/>
      <c r="H3141" t="s"/>
      <c r="I3141" t="s"/>
      <c r="J3141" t="n">
        <v>-0.4215</v>
      </c>
      <c r="K3141" t="n">
        <v>0.155</v>
      </c>
      <c r="L3141" t="n">
        <v>0.755</v>
      </c>
      <c r="M3141" t="n">
        <v>0.09</v>
      </c>
    </row>
    <row r="3142" spans="1:13">
      <c r="A3142" s="1">
        <f>HYPERLINK("http://www.twitter.com/NathanBLawrence/status/983753419444883457", "983753419444883457")</f>
        <v/>
      </c>
      <c r="B3142" s="2" t="n">
        <v>43200.71373842593</v>
      </c>
      <c r="C3142" t="n">
        <v>1</v>
      </c>
      <c r="D3142" t="n">
        <v>0</v>
      </c>
      <c r="E3142" t="s">
        <v>3140</v>
      </c>
      <c r="F3142" t="s"/>
      <c r="G3142" t="s"/>
      <c r="H3142" t="s"/>
      <c r="I3142" t="s"/>
      <c r="J3142" t="n">
        <v>-0.4019</v>
      </c>
      <c r="K3142" t="n">
        <v>0.137</v>
      </c>
      <c r="L3142" t="n">
        <v>0.863</v>
      </c>
      <c r="M3142" t="n">
        <v>0</v>
      </c>
    </row>
    <row r="3143" spans="1:13">
      <c r="A3143" s="1">
        <f>HYPERLINK("http://www.twitter.com/NathanBLawrence/status/983750291307880448", "983750291307880448")</f>
        <v/>
      </c>
      <c r="B3143" s="2" t="n">
        <v>43200.70510416666</v>
      </c>
      <c r="C3143" t="n">
        <v>2</v>
      </c>
      <c r="D3143" t="n">
        <v>0</v>
      </c>
      <c r="E3143" t="s">
        <v>3141</v>
      </c>
      <c r="F3143" t="s"/>
      <c r="G3143" t="s"/>
      <c r="H3143" t="s"/>
      <c r="I3143" t="s"/>
      <c r="J3143" t="n">
        <v>0.34</v>
      </c>
      <c r="K3143" t="n">
        <v>0.112</v>
      </c>
      <c r="L3143" t="n">
        <v>0.672</v>
      </c>
      <c r="M3143" t="n">
        <v>0.216</v>
      </c>
    </row>
    <row r="3144" spans="1:13">
      <c r="A3144" s="1">
        <f>HYPERLINK("http://www.twitter.com/NathanBLawrence/status/983748599606661120", "983748599606661120")</f>
        <v/>
      </c>
      <c r="B3144" s="2" t="n">
        <v>43200.70042824074</v>
      </c>
      <c r="C3144" t="n">
        <v>1</v>
      </c>
      <c r="D3144" t="n">
        <v>0</v>
      </c>
      <c r="E3144" t="s">
        <v>3142</v>
      </c>
      <c r="F3144" t="s"/>
      <c r="G3144" t="s"/>
      <c r="H3144" t="s"/>
      <c r="I3144" t="s"/>
      <c r="J3144" t="n">
        <v>0.0258</v>
      </c>
      <c r="K3144" t="n">
        <v>0</v>
      </c>
      <c r="L3144" t="n">
        <v>0.9320000000000001</v>
      </c>
      <c r="M3144" t="n">
        <v>0.068</v>
      </c>
    </row>
    <row r="3145" spans="1:13">
      <c r="A3145" s="1">
        <f>HYPERLINK("http://www.twitter.com/NathanBLawrence/status/983748025381203969", "983748025381203969")</f>
        <v/>
      </c>
      <c r="B3145" s="2" t="n">
        <v>43200.69885416667</v>
      </c>
      <c r="C3145" t="n">
        <v>0</v>
      </c>
      <c r="D3145" t="n">
        <v>3</v>
      </c>
      <c r="E3145" t="s">
        <v>3143</v>
      </c>
      <c r="F3145" t="s"/>
      <c r="G3145" t="s"/>
      <c r="H3145" t="s"/>
      <c r="I3145" t="s"/>
      <c r="J3145" t="n">
        <v>-0.4939</v>
      </c>
      <c r="K3145" t="n">
        <v>0.273</v>
      </c>
      <c r="L3145" t="n">
        <v>0.552</v>
      </c>
      <c r="M3145" t="n">
        <v>0.175</v>
      </c>
    </row>
    <row r="3146" spans="1:13">
      <c r="A3146" s="1">
        <f>HYPERLINK("http://www.twitter.com/NathanBLawrence/status/983742746778394626", "983742746778394626")</f>
        <v/>
      </c>
      <c r="B3146" s="2" t="n">
        <v>43200.6842824074</v>
      </c>
      <c r="C3146" t="n">
        <v>0</v>
      </c>
      <c r="D3146" t="n">
        <v>0</v>
      </c>
      <c r="E3146" t="s">
        <v>3144</v>
      </c>
      <c r="F3146" t="s"/>
      <c r="G3146" t="s"/>
      <c r="H3146" t="s"/>
      <c r="I3146" t="s"/>
      <c r="J3146" t="n">
        <v>0.4404</v>
      </c>
      <c r="K3146" t="n">
        <v>0.133</v>
      </c>
      <c r="L3146" t="n">
        <v>0.627</v>
      </c>
      <c r="M3146" t="n">
        <v>0.24</v>
      </c>
    </row>
    <row r="3147" spans="1:13">
      <c r="A3147" s="1">
        <f>HYPERLINK("http://www.twitter.com/NathanBLawrence/status/983741943770476545", "983741943770476545")</f>
        <v/>
      </c>
      <c r="B3147" s="2" t="n">
        <v>43200.68207175926</v>
      </c>
      <c r="C3147" t="n">
        <v>0</v>
      </c>
      <c r="D3147" t="n">
        <v>1</v>
      </c>
      <c r="E3147" t="s">
        <v>3145</v>
      </c>
      <c r="F3147" t="s"/>
      <c r="G3147" t="s"/>
      <c r="H3147" t="s"/>
      <c r="I3147" t="s"/>
      <c r="J3147" t="n">
        <v>-0.296</v>
      </c>
      <c r="K3147" t="n">
        <v>0.155</v>
      </c>
      <c r="L3147" t="n">
        <v>0.845</v>
      </c>
      <c r="M3147" t="n">
        <v>0</v>
      </c>
    </row>
    <row r="3148" spans="1:13">
      <c r="A3148" s="1">
        <f>HYPERLINK("http://www.twitter.com/NathanBLawrence/status/983741513468383232", "983741513468383232")</f>
        <v/>
      </c>
      <c r="B3148" s="2" t="n">
        <v>43200.68087962963</v>
      </c>
      <c r="C3148" t="n">
        <v>0</v>
      </c>
      <c r="D3148" t="n">
        <v>3</v>
      </c>
      <c r="E3148" t="s">
        <v>3146</v>
      </c>
      <c r="F3148" t="s"/>
      <c r="G3148" t="s"/>
      <c r="H3148" t="s"/>
      <c r="I3148" t="s"/>
      <c r="J3148" t="n">
        <v>0.25</v>
      </c>
      <c r="K3148" t="n">
        <v>0</v>
      </c>
      <c r="L3148" t="n">
        <v>0.889</v>
      </c>
      <c r="M3148" t="n">
        <v>0.111</v>
      </c>
    </row>
    <row r="3149" spans="1:13">
      <c r="A3149" s="1">
        <f>HYPERLINK("http://www.twitter.com/NathanBLawrence/status/983741370761392129", "983741370761392129")</f>
        <v/>
      </c>
      <c r="B3149" s="2" t="n">
        <v>43200.68048611111</v>
      </c>
      <c r="C3149" t="n">
        <v>3</v>
      </c>
      <c r="D3149" t="n">
        <v>3</v>
      </c>
      <c r="E3149" t="s">
        <v>3147</v>
      </c>
      <c r="F3149" t="s"/>
      <c r="G3149" t="s"/>
      <c r="H3149" t="s"/>
      <c r="I3149" t="s"/>
      <c r="J3149" t="n">
        <v>-0.8779</v>
      </c>
      <c r="K3149" t="n">
        <v>0.502</v>
      </c>
      <c r="L3149" t="n">
        <v>0.498</v>
      </c>
      <c r="M3149" t="n">
        <v>0</v>
      </c>
    </row>
    <row r="3150" spans="1:13">
      <c r="A3150" s="1">
        <f>HYPERLINK("http://www.twitter.com/NathanBLawrence/status/983741022097281026", "983741022097281026")</f>
        <v/>
      </c>
      <c r="B3150" s="2" t="n">
        <v>43200.67952546296</v>
      </c>
      <c r="C3150" t="n">
        <v>0</v>
      </c>
      <c r="D3150" t="n">
        <v>1</v>
      </c>
      <c r="E3150" t="s">
        <v>3148</v>
      </c>
      <c r="F3150" t="s"/>
      <c r="G3150" t="s"/>
      <c r="H3150" t="s"/>
      <c r="I3150" t="s"/>
      <c r="J3150" t="n">
        <v>-0.5266999999999999</v>
      </c>
      <c r="K3150" t="n">
        <v>0.306</v>
      </c>
      <c r="L3150" t="n">
        <v>0.694</v>
      </c>
      <c r="M3150" t="n">
        <v>0</v>
      </c>
    </row>
    <row r="3151" spans="1:13">
      <c r="A3151" s="1">
        <f>HYPERLINK("http://www.twitter.com/NathanBLawrence/status/983740869038804992", "983740869038804992")</f>
        <v/>
      </c>
      <c r="B3151" s="2" t="n">
        <v>43200.67909722222</v>
      </c>
      <c r="C3151" t="n">
        <v>8</v>
      </c>
      <c r="D3151" t="n">
        <v>6</v>
      </c>
      <c r="E3151" t="s">
        <v>3149</v>
      </c>
      <c r="F3151">
        <f>HYPERLINK("http://pbs.twimg.com/media/DabzGjjUQAAVOex.jpg", "http://pbs.twimg.com/media/DabzGjjUQAAVOex.jpg")</f>
        <v/>
      </c>
      <c r="G3151" t="s"/>
      <c r="H3151" t="s"/>
      <c r="I3151" t="s"/>
      <c r="J3151" t="n">
        <v>0.4995</v>
      </c>
      <c r="K3151" t="n">
        <v>0.146</v>
      </c>
      <c r="L3151" t="n">
        <v>0.62</v>
      </c>
      <c r="M3151" t="n">
        <v>0.234</v>
      </c>
    </row>
    <row r="3152" spans="1:13">
      <c r="A3152" s="1">
        <f>HYPERLINK("http://www.twitter.com/NathanBLawrence/status/983740061467529216", "983740061467529216")</f>
        <v/>
      </c>
      <c r="B3152" s="2" t="n">
        <v>43200.676875</v>
      </c>
      <c r="C3152" t="n">
        <v>0</v>
      </c>
      <c r="D3152" t="n">
        <v>1</v>
      </c>
      <c r="E3152" t="s">
        <v>3150</v>
      </c>
      <c r="F3152" t="s"/>
      <c r="G3152" t="s"/>
      <c r="H3152" t="s"/>
      <c r="I3152" t="s"/>
      <c r="J3152" t="n">
        <v>0</v>
      </c>
      <c r="K3152" t="n">
        <v>0</v>
      </c>
      <c r="L3152" t="n">
        <v>1</v>
      </c>
      <c r="M3152" t="n">
        <v>0</v>
      </c>
    </row>
    <row r="3153" spans="1:13">
      <c r="A3153" s="1">
        <f>HYPERLINK("http://www.twitter.com/NathanBLawrence/status/983737529219407872", "983737529219407872")</f>
        <v/>
      </c>
      <c r="B3153" s="2" t="n">
        <v>43200.66988425926</v>
      </c>
      <c r="C3153" t="n">
        <v>6</v>
      </c>
      <c r="D3153" t="n">
        <v>6</v>
      </c>
      <c r="E3153" t="s">
        <v>3151</v>
      </c>
      <c r="F3153" t="s"/>
      <c r="G3153" t="s"/>
      <c r="H3153" t="s"/>
      <c r="I3153" t="s"/>
      <c r="J3153" t="n">
        <v>0.3182</v>
      </c>
      <c r="K3153" t="n">
        <v>0</v>
      </c>
      <c r="L3153" t="n">
        <v>0.839</v>
      </c>
      <c r="M3153" t="n">
        <v>0.161</v>
      </c>
    </row>
    <row r="3154" spans="1:13">
      <c r="A3154" s="1">
        <f>HYPERLINK("http://www.twitter.com/NathanBLawrence/status/983726974832177152", "983726974832177152")</f>
        <v/>
      </c>
      <c r="B3154" s="2" t="n">
        <v>43200.64076388889</v>
      </c>
      <c r="C3154" t="n">
        <v>1</v>
      </c>
      <c r="D3154" t="n">
        <v>1</v>
      </c>
      <c r="E3154" t="s">
        <v>3152</v>
      </c>
      <c r="F3154" t="s"/>
      <c r="G3154" t="s"/>
      <c r="H3154" t="s"/>
      <c r="I3154" t="s"/>
      <c r="J3154" t="n">
        <v>-0.765</v>
      </c>
      <c r="K3154" t="n">
        <v>0.186</v>
      </c>
      <c r="L3154" t="n">
        <v>0.774</v>
      </c>
      <c r="M3154" t="n">
        <v>0.04</v>
      </c>
    </row>
    <row r="3155" spans="1:13">
      <c r="A3155" s="1">
        <f>HYPERLINK("http://www.twitter.com/NathanBLawrence/status/983725316970614786", "983725316970614786")</f>
        <v/>
      </c>
      <c r="B3155" s="2" t="n">
        <v>43200.63618055556</v>
      </c>
      <c r="C3155" t="n">
        <v>2</v>
      </c>
      <c r="D3155" t="n">
        <v>1</v>
      </c>
      <c r="E3155" t="s">
        <v>3153</v>
      </c>
      <c r="F3155" t="s"/>
      <c r="G3155" t="s"/>
      <c r="H3155" t="s"/>
      <c r="I3155" t="s"/>
      <c r="J3155" t="n">
        <v>-0.4404</v>
      </c>
      <c r="K3155" t="n">
        <v>0.495</v>
      </c>
      <c r="L3155" t="n">
        <v>0.186</v>
      </c>
      <c r="M3155" t="n">
        <v>0.319</v>
      </c>
    </row>
    <row r="3156" spans="1:13">
      <c r="A3156" s="1">
        <f>HYPERLINK("http://www.twitter.com/NathanBLawrence/status/983725211857113088", "983725211857113088")</f>
        <v/>
      </c>
      <c r="B3156" s="2" t="n">
        <v>43200.6358912037</v>
      </c>
      <c r="C3156" t="n">
        <v>0</v>
      </c>
      <c r="D3156" t="n">
        <v>2776</v>
      </c>
      <c r="E3156" t="s">
        <v>3154</v>
      </c>
      <c r="F3156" t="s"/>
      <c r="G3156" t="s"/>
      <c r="H3156" t="s"/>
      <c r="I3156" t="s"/>
      <c r="J3156" t="n">
        <v>-0.6597</v>
      </c>
      <c r="K3156" t="n">
        <v>0.228</v>
      </c>
      <c r="L3156" t="n">
        <v>0.709</v>
      </c>
      <c r="M3156" t="n">
        <v>0.063</v>
      </c>
    </row>
    <row r="3157" spans="1:13">
      <c r="A3157" s="1">
        <f>HYPERLINK("http://www.twitter.com/NathanBLawrence/status/983723154248994817", "983723154248994817")</f>
        <v/>
      </c>
      <c r="B3157" s="2" t="n">
        <v>43200.63021990741</v>
      </c>
      <c r="C3157" t="n">
        <v>0</v>
      </c>
      <c r="D3157" t="n">
        <v>0</v>
      </c>
      <c r="E3157" t="s">
        <v>3155</v>
      </c>
      <c r="F3157" t="s"/>
      <c r="G3157" t="s"/>
      <c r="H3157" t="s"/>
      <c r="I3157" t="s"/>
      <c r="J3157" t="n">
        <v>-0.8772</v>
      </c>
      <c r="K3157" t="n">
        <v>0.348</v>
      </c>
      <c r="L3157" t="n">
        <v>0.535</v>
      </c>
      <c r="M3157" t="n">
        <v>0.117</v>
      </c>
    </row>
    <row r="3158" spans="1:13">
      <c r="A3158" s="1">
        <f>HYPERLINK("http://www.twitter.com/NathanBLawrence/status/983720859633319936", "983720859633319936")</f>
        <v/>
      </c>
      <c r="B3158" s="2" t="n">
        <v>43200.62388888889</v>
      </c>
      <c r="C3158" t="n">
        <v>2</v>
      </c>
      <c r="D3158" t="n">
        <v>0</v>
      </c>
      <c r="E3158" t="s">
        <v>3156</v>
      </c>
      <c r="F3158" t="s"/>
      <c r="G3158" t="s"/>
      <c r="H3158" t="s"/>
      <c r="I3158" t="s"/>
      <c r="J3158" t="n">
        <v>-0.8713</v>
      </c>
      <c r="K3158" t="n">
        <v>0.23</v>
      </c>
      <c r="L3158" t="n">
        <v>0.73</v>
      </c>
      <c r="M3158" t="n">
        <v>0.04</v>
      </c>
    </row>
    <row r="3159" spans="1:13">
      <c r="A3159" s="1">
        <f>HYPERLINK("http://www.twitter.com/NathanBLawrence/status/983719471155154944", "983719471155154944")</f>
        <v/>
      </c>
      <c r="B3159" s="2" t="n">
        <v>43200.62005787037</v>
      </c>
      <c r="C3159" t="n">
        <v>0</v>
      </c>
      <c r="D3159" t="n">
        <v>3</v>
      </c>
      <c r="E3159" t="s">
        <v>3157</v>
      </c>
      <c r="F3159">
        <f>HYPERLINK("http://pbs.twimg.com/media/DabAIpOV4AIs9T_.jpg", "http://pbs.twimg.com/media/DabAIpOV4AIs9T_.jpg")</f>
        <v/>
      </c>
      <c r="G3159" t="s"/>
      <c r="H3159" t="s"/>
      <c r="I3159" t="s"/>
      <c r="J3159" t="n">
        <v>0.128</v>
      </c>
      <c r="K3159" t="n">
        <v>0</v>
      </c>
      <c r="L3159" t="n">
        <v>0.87</v>
      </c>
      <c r="M3159" t="n">
        <v>0.13</v>
      </c>
    </row>
    <row r="3160" spans="1:13">
      <c r="A3160" s="1">
        <f>HYPERLINK("http://www.twitter.com/NathanBLawrence/status/983717253135912961", "983717253135912961")</f>
        <v/>
      </c>
      <c r="B3160" s="2" t="n">
        <v>43200.61393518518</v>
      </c>
      <c r="C3160" t="n">
        <v>0</v>
      </c>
      <c r="D3160" t="n">
        <v>0</v>
      </c>
      <c r="E3160" t="s">
        <v>3158</v>
      </c>
      <c r="F3160" t="s"/>
      <c r="G3160" t="s"/>
      <c r="H3160" t="s"/>
      <c r="I3160" t="s"/>
      <c r="J3160" t="n">
        <v>0.8398</v>
      </c>
      <c r="K3160" t="n">
        <v>0.198</v>
      </c>
      <c r="L3160" t="n">
        <v>0.35</v>
      </c>
      <c r="M3160" t="n">
        <v>0.452</v>
      </c>
    </row>
    <row r="3161" spans="1:13">
      <c r="A3161" s="1">
        <f>HYPERLINK("http://www.twitter.com/NathanBLawrence/status/983715699234344961", "983715699234344961")</f>
        <v/>
      </c>
      <c r="B3161" s="2" t="n">
        <v>43200.6096412037</v>
      </c>
      <c r="C3161" t="n">
        <v>0</v>
      </c>
      <c r="D3161" t="n">
        <v>3</v>
      </c>
      <c r="E3161" t="s">
        <v>3159</v>
      </c>
      <c r="F3161" t="s"/>
      <c r="G3161" t="s"/>
      <c r="H3161" t="s"/>
      <c r="I3161" t="s"/>
      <c r="J3161" t="n">
        <v>-0.3182</v>
      </c>
      <c r="K3161" t="n">
        <v>0.141</v>
      </c>
      <c r="L3161" t="n">
        <v>0.859</v>
      </c>
      <c r="M3161" t="n">
        <v>0</v>
      </c>
    </row>
    <row r="3162" spans="1:13">
      <c r="A3162" s="1">
        <f>HYPERLINK("http://www.twitter.com/NathanBLawrence/status/983715634793021440", "983715634793021440")</f>
        <v/>
      </c>
      <c r="B3162" s="2" t="n">
        <v>43200.60946759259</v>
      </c>
      <c r="C3162" t="n">
        <v>1</v>
      </c>
      <c r="D3162" t="n">
        <v>1</v>
      </c>
      <c r="E3162" t="s">
        <v>3160</v>
      </c>
      <c r="F3162" t="s"/>
      <c r="G3162" t="s"/>
      <c r="H3162" t="s"/>
      <c r="I3162" t="s"/>
      <c r="J3162" t="n">
        <v>0</v>
      </c>
      <c r="K3162" t="n">
        <v>0</v>
      </c>
      <c r="L3162" t="n">
        <v>1</v>
      </c>
      <c r="M3162" t="n">
        <v>0</v>
      </c>
    </row>
    <row r="3163" spans="1:13">
      <c r="A3163" s="1">
        <f>HYPERLINK("http://www.twitter.com/NathanBLawrence/status/983715507483312128", "983715507483312128")</f>
        <v/>
      </c>
      <c r="B3163" s="2" t="n">
        <v>43200.60912037037</v>
      </c>
      <c r="C3163" t="n">
        <v>1</v>
      </c>
      <c r="D3163" t="n">
        <v>1</v>
      </c>
      <c r="E3163" t="s">
        <v>3161</v>
      </c>
      <c r="F3163" t="s"/>
      <c r="G3163" t="s"/>
      <c r="H3163" t="s"/>
      <c r="I3163" t="s"/>
      <c r="J3163" t="n">
        <v>0</v>
      </c>
      <c r="K3163" t="n">
        <v>0</v>
      </c>
      <c r="L3163" t="n">
        <v>1</v>
      </c>
      <c r="M3163" t="n">
        <v>0</v>
      </c>
    </row>
    <row r="3164" spans="1:13">
      <c r="A3164" s="1">
        <f>HYPERLINK("http://www.twitter.com/NathanBLawrence/status/983714798109159424", "983714798109159424")</f>
        <v/>
      </c>
      <c r="B3164" s="2" t="n">
        <v>43200.60716435185</v>
      </c>
      <c r="C3164" t="n">
        <v>2</v>
      </c>
      <c r="D3164" t="n">
        <v>1</v>
      </c>
      <c r="E3164" t="s">
        <v>3162</v>
      </c>
      <c r="F3164" t="s"/>
      <c r="G3164" t="s"/>
      <c r="H3164" t="s"/>
      <c r="I3164" t="s"/>
      <c r="J3164" t="n">
        <v>0.2023</v>
      </c>
      <c r="K3164" t="n">
        <v>0</v>
      </c>
      <c r="L3164" t="n">
        <v>0.9429999999999999</v>
      </c>
      <c r="M3164" t="n">
        <v>0.057</v>
      </c>
    </row>
    <row r="3165" spans="1:13">
      <c r="A3165" s="1">
        <f>HYPERLINK("http://www.twitter.com/NathanBLawrence/status/983709266103144448", "983709266103144448")</f>
        <v/>
      </c>
      <c r="B3165" s="2" t="n">
        <v>43200.59189814814</v>
      </c>
      <c r="C3165" t="n">
        <v>0</v>
      </c>
      <c r="D3165" t="n">
        <v>3</v>
      </c>
      <c r="E3165" t="s">
        <v>3163</v>
      </c>
      <c r="F3165" t="s"/>
      <c r="G3165" t="s"/>
      <c r="H3165" t="s"/>
      <c r="I3165" t="s"/>
      <c r="J3165" t="n">
        <v>-0.4019</v>
      </c>
      <c r="K3165" t="n">
        <v>0.109</v>
      </c>
      <c r="L3165" t="n">
        <v>0.891</v>
      </c>
      <c r="M3165" t="n">
        <v>0</v>
      </c>
    </row>
    <row r="3166" spans="1:13">
      <c r="A3166" s="1">
        <f>HYPERLINK("http://www.twitter.com/NathanBLawrence/status/983708904969392128", "983708904969392128")</f>
        <v/>
      </c>
      <c r="B3166" s="2" t="n">
        <v>43200.59090277777</v>
      </c>
      <c r="C3166" t="n">
        <v>2</v>
      </c>
      <c r="D3166" t="n">
        <v>1</v>
      </c>
      <c r="E3166" t="s">
        <v>3164</v>
      </c>
      <c r="F3166" t="s"/>
      <c r="G3166" t="s"/>
      <c r="H3166" t="s"/>
      <c r="I3166" t="s"/>
      <c r="J3166" t="n">
        <v>-0.296</v>
      </c>
      <c r="K3166" t="n">
        <v>0.078</v>
      </c>
      <c r="L3166" t="n">
        <v>0.922</v>
      </c>
      <c r="M3166" t="n">
        <v>0</v>
      </c>
    </row>
    <row r="3167" spans="1:13">
      <c r="A3167" s="1">
        <f>HYPERLINK("http://www.twitter.com/NathanBLawrence/status/983708311789940736", "983708311789940736")</f>
        <v/>
      </c>
      <c r="B3167" s="2" t="n">
        <v>43200.58925925926</v>
      </c>
      <c r="C3167" t="n">
        <v>0</v>
      </c>
      <c r="D3167" t="n">
        <v>5</v>
      </c>
      <c r="E3167" t="s">
        <v>3165</v>
      </c>
      <c r="F3167" t="s"/>
      <c r="G3167" t="s"/>
      <c r="H3167" t="s"/>
      <c r="I3167" t="s"/>
      <c r="J3167" t="n">
        <v>-0.4939</v>
      </c>
      <c r="K3167" t="n">
        <v>0.144</v>
      </c>
      <c r="L3167" t="n">
        <v>0.856</v>
      </c>
      <c r="M3167" t="n">
        <v>0</v>
      </c>
    </row>
    <row r="3168" spans="1:13">
      <c r="A3168" s="1">
        <f>HYPERLINK("http://www.twitter.com/NathanBLawrence/status/983707404582965248", "983707404582965248")</f>
        <v/>
      </c>
      <c r="B3168" s="2" t="n">
        <v>43200.58675925926</v>
      </c>
      <c r="C3168" t="n">
        <v>1</v>
      </c>
      <c r="D3168" t="n">
        <v>1</v>
      </c>
      <c r="E3168" t="s">
        <v>3166</v>
      </c>
      <c r="F3168" t="s"/>
      <c r="G3168" t="s"/>
      <c r="H3168" t="s"/>
      <c r="I3168" t="s"/>
      <c r="J3168" t="n">
        <v>-0.3182</v>
      </c>
      <c r="K3168" t="n">
        <v>0.161</v>
      </c>
      <c r="L3168" t="n">
        <v>0.839</v>
      </c>
      <c r="M3168" t="n">
        <v>0</v>
      </c>
    </row>
    <row r="3169" spans="1:13">
      <c r="A3169" s="1">
        <f>HYPERLINK("http://www.twitter.com/NathanBLawrence/status/983706585611546624", "983706585611546624")</f>
        <v/>
      </c>
      <c r="B3169" s="2" t="n">
        <v>43200.58450231481</v>
      </c>
      <c r="C3169" t="n">
        <v>3</v>
      </c>
      <c r="D3169" t="n">
        <v>3</v>
      </c>
      <c r="E3169" t="s">
        <v>3167</v>
      </c>
      <c r="F3169" t="s"/>
      <c r="G3169" t="s"/>
      <c r="H3169" t="s"/>
      <c r="I3169" t="s"/>
      <c r="J3169" t="n">
        <v>0</v>
      </c>
      <c r="K3169" t="n">
        <v>0</v>
      </c>
      <c r="L3169" t="n">
        <v>1</v>
      </c>
      <c r="M3169" t="n">
        <v>0</v>
      </c>
    </row>
    <row r="3170" spans="1:13">
      <c r="A3170" s="1">
        <f>HYPERLINK("http://www.twitter.com/NathanBLawrence/status/983704811370680321", "983704811370680321")</f>
        <v/>
      </c>
      <c r="B3170" s="2" t="n">
        <v>43200.57960648148</v>
      </c>
      <c r="C3170" t="n">
        <v>0</v>
      </c>
      <c r="D3170" t="n">
        <v>1</v>
      </c>
      <c r="E3170" t="s">
        <v>3168</v>
      </c>
      <c r="F3170" t="s"/>
      <c r="G3170" t="s"/>
      <c r="H3170" t="s"/>
      <c r="I3170" t="s"/>
      <c r="J3170" t="n">
        <v>-0.5266999999999999</v>
      </c>
      <c r="K3170" t="n">
        <v>0.167</v>
      </c>
      <c r="L3170" t="n">
        <v>0.833</v>
      </c>
      <c r="M3170" t="n">
        <v>0</v>
      </c>
    </row>
    <row r="3171" spans="1:13">
      <c r="A3171" s="1">
        <f>HYPERLINK("http://www.twitter.com/NathanBLawrence/status/983701511460007936", "983701511460007936")</f>
        <v/>
      </c>
      <c r="B3171" s="2" t="n">
        <v>43200.57049768518</v>
      </c>
      <c r="C3171" t="n">
        <v>0</v>
      </c>
      <c r="D3171" t="n">
        <v>5</v>
      </c>
      <c r="E3171" t="s">
        <v>3169</v>
      </c>
      <c r="F3171" t="s"/>
      <c r="G3171" t="s"/>
      <c r="H3171" t="s"/>
      <c r="I3171" t="s"/>
      <c r="J3171" t="n">
        <v>-0.8591</v>
      </c>
      <c r="K3171" t="n">
        <v>0.442</v>
      </c>
      <c r="L3171" t="n">
        <v>0.5580000000000001</v>
      </c>
      <c r="M3171" t="n">
        <v>0</v>
      </c>
    </row>
    <row r="3172" spans="1:13">
      <c r="A3172" s="1">
        <f>HYPERLINK("http://www.twitter.com/NathanBLawrence/status/983701460163747840", "983701460163747840")</f>
        <v/>
      </c>
      <c r="B3172" s="2" t="n">
        <v>43200.5703587963</v>
      </c>
      <c r="C3172" t="n">
        <v>2</v>
      </c>
      <c r="D3172" t="n">
        <v>0</v>
      </c>
      <c r="E3172" t="s">
        <v>3170</v>
      </c>
      <c r="F3172" t="s"/>
      <c r="G3172" t="s"/>
      <c r="H3172" t="s"/>
      <c r="I3172" t="s"/>
      <c r="J3172" t="n">
        <v>-0.5423</v>
      </c>
      <c r="K3172" t="n">
        <v>0.232</v>
      </c>
      <c r="L3172" t="n">
        <v>0.58</v>
      </c>
      <c r="M3172" t="n">
        <v>0.188</v>
      </c>
    </row>
    <row r="3173" spans="1:13">
      <c r="A3173" s="1">
        <f>HYPERLINK("http://www.twitter.com/NathanBLawrence/status/983699770010210304", "983699770010210304")</f>
        <v/>
      </c>
      <c r="B3173" s="2" t="n">
        <v>43200.56569444444</v>
      </c>
      <c r="C3173" t="n">
        <v>1</v>
      </c>
      <c r="D3173" t="n">
        <v>0</v>
      </c>
      <c r="E3173" t="s">
        <v>3171</v>
      </c>
      <c r="F3173" t="s"/>
      <c r="G3173" t="s"/>
      <c r="H3173" t="s"/>
      <c r="I3173" t="s"/>
      <c r="J3173" t="n">
        <v>-0.2023</v>
      </c>
      <c r="K3173" t="n">
        <v>0.181</v>
      </c>
      <c r="L3173" t="n">
        <v>0.6879999999999999</v>
      </c>
      <c r="M3173" t="n">
        <v>0.131</v>
      </c>
    </row>
    <row r="3174" spans="1:13">
      <c r="A3174" s="1">
        <f>HYPERLINK("http://www.twitter.com/NathanBLawrence/status/983697853628538880", "983697853628538880")</f>
        <v/>
      </c>
      <c r="B3174" s="2" t="n">
        <v>43200.56040509259</v>
      </c>
      <c r="C3174" t="n">
        <v>0</v>
      </c>
      <c r="D3174" t="n">
        <v>0</v>
      </c>
      <c r="E3174" t="s">
        <v>3172</v>
      </c>
      <c r="F3174" t="s"/>
      <c r="G3174" t="s"/>
      <c r="H3174" t="s"/>
      <c r="I3174" t="s"/>
      <c r="J3174" t="n">
        <v>0.8481</v>
      </c>
      <c r="K3174" t="n">
        <v>0</v>
      </c>
      <c r="L3174" t="n">
        <v>0.662</v>
      </c>
      <c r="M3174" t="n">
        <v>0.338</v>
      </c>
    </row>
    <row r="3175" spans="1:13">
      <c r="A3175" s="1">
        <f>HYPERLINK("http://www.twitter.com/NathanBLawrence/status/983688140039827456", "983688140039827456")</f>
        <v/>
      </c>
      <c r="B3175" s="2" t="n">
        <v>43200.53359953704</v>
      </c>
      <c r="C3175" t="n">
        <v>1</v>
      </c>
      <c r="D3175" t="n">
        <v>0</v>
      </c>
      <c r="E3175" t="s">
        <v>3173</v>
      </c>
      <c r="F3175" t="s"/>
      <c r="G3175" t="s"/>
      <c r="H3175" t="s"/>
      <c r="I3175" t="s"/>
      <c r="J3175" t="n">
        <v>-0.34</v>
      </c>
      <c r="K3175" t="n">
        <v>0.168</v>
      </c>
      <c r="L3175" t="n">
        <v>0.73</v>
      </c>
      <c r="M3175" t="n">
        <v>0.103</v>
      </c>
    </row>
    <row r="3176" spans="1:13">
      <c r="A3176" s="1">
        <f>HYPERLINK("http://www.twitter.com/NathanBLawrence/status/983686041126277120", "983686041126277120")</f>
        <v/>
      </c>
      <c r="B3176" s="2" t="n">
        <v>43200.52780092593</v>
      </c>
      <c r="C3176" t="n">
        <v>2</v>
      </c>
      <c r="D3176" t="n">
        <v>0</v>
      </c>
      <c r="E3176" t="s">
        <v>3174</v>
      </c>
      <c r="F3176" t="s"/>
      <c r="G3176" t="s"/>
      <c r="H3176" t="s"/>
      <c r="I3176" t="s"/>
      <c r="J3176" t="n">
        <v>-0.9391</v>
      </c>
      <c r="K3176" t="n">
        <v>0.304</v>
      </c>
      <c r="L3176" t="n">
        <v>0.611</v>
      </c>
      <c r="M3176" t="n">
        <v>0.08500000000000001</v>
      </c>
    </row>
    <row r="3177" spans="1:13">
      <c r="A3177" s="1">
        <f>HYPERLINK("http://www.twitter.com/NathanBLawrence/status/983683704110440449", "983683704110440449")</f>
        <v/>
      </c>
      <c r="B3177" s="2" t="n">
        <v>43200.52135416667</v>
      </c>
      <c r="C3177" t="n">
        <v>0</v>
      </c>
      <c r="D3177" t="n">
        <v>3</v>
      </c>
      <c r="E3177" t="s">
        <v>3175</v>
      </c>
      <c r="F3177" t="s"/>
      <c r="G3177" t="s"/>
      <c r="H3177" t="s"/>
      <c r="I3177" t="s"/>
      <c r="J3177" t="n">
        <v>0</v>
      </c>
      <c r="K3177" t="n">
        <v>0</v>
      </c>
      <c r="L3177" t="n">
        <v>1</v>
      </c>
      <c r="M3177" t="n">
        <v>0</v>
      </c>
    </row>
    <row r="3178" spans="1:13">
      <c r="A3178" s="1">
        <f>HYPERLINK("http://www.twitter.com/NathanBLawrence/status/983678377491132417", "983678377491132417")</f>
        <v/>
      </c>
      <c r="B3178" s="2" t="n">
        <v>43200.50665509259</v>
      </c>
      <c r="C3178" t="n">
        <v>2</v>
      </c>
      <c r="D3178" t="n">
        <v>0</v>
      </c>
      <c r="E3178" t="s">
        <v>3176</v>
      </c>
      <c r="F3178" t="s"/>
      <c r="G3178" t="s"/>
      <c r="H3178" t="s"/>
      <c r="I3178" t="s"/>
      <c r="J3178" t="n">
        <v>-0.7003</v>
      </c>
      <c r="K3178" t="n">
        <v>0.335</v>
      </c>
      <c r="L3178" t="n">
        <v>0.484</v>
      </c>
      <c r="M3178" t="n">
        <v>0.181</v>
      </c>
    </row>
    <row r="3179" spans="1:13">
      <c r="A3179" s="1">
        <f>HYPERLINK("http://www.twitter.com/NathanBLawrence/status/983566766625447936", "983566766625447936")</f>
        <v/>
      </c>
      <c r="B3179" s="2" t="n">
        <v>43200.19866898148</v>
      </c>
      <c r="C3179" t="n">
        <v>8</v>
      </c>
      <c r="D3179" t="n">
        <v>6</v>
      </c>
      <c r="E3179" t="s">
        <v>3177</v>
      </c>
      <c r="F3179" t="s"/>
      <c r="G3179" t="s"/>
      <c r="H3179" t="s"/>
      <c r="I3179" t="s"/>
      <c r="J3179" t="n">
        <v>-0.4215</v>
      </c>
      <c r="K3179" t="n">
        <v>0.081</v>
      </c>
      <c r="L3179" t="n">
        <v>0.885</v>
      </c>
      <c r="M3179" t="n">
        <v>0.034</v>
      </c>
    </row>
    <row r="3180" spans="1:13">
      <c r="A3180" s="1">
        <f>HYPERLINK("http://www.twitter.com/NathanBLawrence/status/983565822940639233", "983565822940639233")</f>
        <v/>
      </c>
      <c r="B3180" s="2" t="n">
        <v>43200.19606481482</v>
      </c>
      <c r="C3180" t="n">
        <v>6</v>
      </c>
      <c r="D3180" t="n">
        <v>2</v>
      </c>
      <c r="E3180" t="s">
        <v>3178</v>
      </c>
      <c r="F3180" t="s"/>
      <c r="G3180" t="s"/>
      <c r="H3180" t="s"/>
      <c r="I3180" t="s"/>
      <c r="J3180" t="n">
        <v>0.7579</v>
      </c>
      <c r="K3180" t="n">
        <v>0</v>
      </c>
      <c r="L3180" t="n">
        <v>0.711</v>
      </c>
      <c r="M3180" t="n">
        <v>0.289</v>
      </c>
    </row>
    <row r="3181" spans="1:13">
      <c r="A3181" s="1">
        <f>HYPERLINK("http://www.twitter.com/NathanBLawrence/status/983543565518299136", "983543565518299136")</f>
        <v/>
      </c>
      <c r="B3181" s="2" t="n">
        <v>43200.13465277778</v>
      </c>
      <c r="C3181" t="n">
        <v>0</v>
      </c>
      <c r="D3181" t="n">
        <v>0</v>
      </c>
      <c r="E3181" t="s">
        <v>3179</v>
      </c>
      <c r="F3181" t="s"/>
      <c r="G3181" t="s"/>
      <c r="H3181" t="s"/>
      <c r="I3181" t="s"/>
      <c r="J3181" t="n">
        <v>-0.4215</v>
      </c>
      <c r="K3181" t="n">
        <v>0.483</v>
      </c>
      <c r="L3181" t="n">
        <v>0.517</v>
      </c>
      <c r="M3181" t="n">
        <v>0</v>
      </c>
    </row>
    <row r="3182" spans="1:13">
      <c r="A3182" s="1">
        <f>HYPERLINK("http://www.twitter.com/NathanBLawrence/status/983542452928876545", "983542452928876545")</f>
        <v/>
      </c>
      <c r="B3182" s="2" t="n">
        <v>43200.13157407408</v>
      </c>
      <c r="C3182" t="n">
        <v>1</v>
      </c>
      <c r="D3182" t="n">
        <v>0</v>
      </c>
      <c r="E3182" t="s">
        <v>3180</v>
      </c>
      <c r="F3182" t="s"/>
      <c r="G3182" t="s"/>
      <c r="H3182" t="s"/>
      <c r="I3182" t="s"/>
      <c r="J3182" t="n">
        <v>-0.4019</v>
      </c>
      <c r="K3182" t="n">
        <v>0.094</v>
      </c>
      <c r="L3182" t="n">
        <v>0.906</v>
      </c>
      <c r="M3182"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